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0"/>
  </bookViews>
  <sheets>
    <sheet name="01.17" sheetId="17" r:id="rId1"/>
    <sheet name="02.17" sheetId="18" r:id="rId2"/>
    <sheet name="03.17" sheetId="19" r:id="rId3"/>
    <sheet name="04.17" sheetId="20" r:id="rId4"/>
    <sheet name="05.17" sheetId="21" r:id="rId5"/>
    <sheet name="06.17" sheetId="22" r:id="rId6"/>
    <sheet name="07.17" sheetId="23" r:id="rId7"/>
    <sheet name="08.17" sheetId="24" r:id="rId8"/>
    <sheet name="09.17" sheetId="25" r:id="rId9"/>
    <sheet name="10.17" sheetId="26" r:id="rId10"/>
    <sheet name="11.17" sheetId="27" r:id="rId11"/>
    <sheet name="12.17" sheetId="28" r:id="rId12"/>
  </sheets>
  <definedNames>
    <definedName name="_xlnm._FilterDatabase" localSheetId="0" hidden="1">'01.17'!$I$12:$I$60</definedName>
    <definedName name="_xlnm._FilterDatabase" localSheetId="1" hidden="1">'02.17'!$I$12:$I$60</definedName>
    <definedName name="_xlnm._FilterDatabase" localSheetId="2" hidden="1">'03.17'!$I$12:$I$60</definedName>
    <definedName name="_xlnm._FilterDatabase" localSheetId="3" hidden="1">'04.17'!$I$12:$I$60</definedName>
    <definedName name="_xlnm._FilterDatabase" localSheetId="4" hidden="1">'05.17'!$I$12:$I$60</definedName>
    <definedName name="_xlnm._FilterDatabase" localSheetId="5" hidden="1">'06.17'!$I$12:$I$60</definedName>
    <definedName name="_xlnm._FilterDatabase" localSheetId="6" hidden="1">'07.17'!$I$12:$I$60</definedName>
    <definedName name="_xlnm._FilterDatabase" localSheetId="7" hidden="1">'08.17'!$I$12:$I$60</definedName>
    <definedName name="_xlnm._FilterDatabase" localSheetId="8" hidden="1">'09.17'!$I$12:$I$60</definedName>
    <definedName name="_xlnm._FilterDatabase" localSheetId="9" hidden="1">'10.17'!$I$12:$I$60</definedName>
    <definedName name="_xlnm._FilterDatabase" localSheetId="10" hidden="1">'11.17'!$I$12:$I$60</definedName>
    <definedName name="_xlnm._FilterDatabase" localSheetId="11" hidden="1">'12.17'!$I$12:$I$60</definedName>
    <definedName name="_xlnm.Print_Titles" localSheetId="3">'04.17'!$12:$13</definedName>
    <definedName name="_xlnm.Print_Titles" localSheetId="9">'10.17'!$12:$13</definedName>
    <definedName name="_xlnm.Print_Titles" localSheetId="10">'11.17'!$12:$13</definedName>
    <definedName name="_xlnm.Print_Titles" localSheetId="11">'12.17'!$12:$13</definedName>
    <definedName name="_xlnm.Print_Area" localSheetId="0">'01.17'!$A$1:$I$118</definedName>
    <definedName name="_xlnm.Print_Area" localSheetId="1">'02.17'!$A$1:$I$115</definedName>
    <definedName name="_xlnm.Print_Area" localSheetId="2">'03.17'!$A$1:$I$127</definedName>
    <definedName name="_xlnm.Print_Area" localSheetId="3">'04.17'!$A$1:$I$123</definedName>
    <definedName name="_xlnm.Print_Area" localSheetId="4">'05.17'!$A$1:$I$113</definedName>
    <definedName name="_xlnm.Print_Area" localSheetId="5">'06.17'!$A$1:$I$121</definedName>
    <definedName name="_xlnm.Print_Area" localSheetId="6">'07.17'!$A$1:$I$133</definedName>
    <definedName name="_xlnm.Print_Area" localSheetId="7">'08.17'!$A$1:$I$120</definedName>
    <definedName name="_xlnm.Print_Area" localSheetId="8">'09.17'!$A$1:$I$117</definedName>
    <definedName name="_xlnm.Print_Area" localSheetId="9">'10.17'!$A$1:$I$123</definedName>
    <definedName name="_xlnm.Print_Area" localSheetId="10">'11.17'!$A$1:$I$114</definedName>
    <definedName name="_xlnm.Print_Area" localSheetId="11">'12.17'!$A$1:$I$117</definedName>
  </definedNames>
  <calcPr calcId="124519"/>
</workbook>
</file>

<file path=xl/calcChain.xml><?xml version="1.0" encoding="utf-8"?>
<calcChain xmlns="http://schemas.openxmlformats.org/spreadsheetml/2006/main">
  <c r="I91" i="27"/>
  <c r="I90"/>
  <c r="I89"/>
  <c r="I84" i="28"/>
  <c r="I84" i="27"/>
  <c r="F44" i="20"/>
  <c r="H44" s="1"/>
  <c r="I44" i="19"/>
  <c r="H44"/>
  <c r="F44"/>
  <c r="I84" i="18"/>
  <c r="I84" i="17"/>
  <c r="I44" i="20" l="1"/>
  <c r="I94" i="28" l="1"/>
  <c r="I93" l="1"/>
  <c r="H93"/>
  <c r="I92"/>
  <c r="H92"/>
  <c r="I91"/>
  <c r="H91"/>
  <c r="I90"/>
  <c r="I89"/>
  <c r="H90"/>
  <c r="H89"/>
  <c r="I88"/>
  <c r="F88"/>
  <c r="H88" s="1"/>
  <c r="I86"/>
  <c r="H86"/>
  <c r="I74"/>
  <c r="I87"/>
  <c r="H87"/>
  <c r="E83"/>
  <c r="F83" s="1"/>
  <c r="F82"/>
  <c r="H82" s="1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I66"/>
  <c r="H66"/>
  <c r="I65"/>
  <c r="H65"/>
  <c r="F63"/>
  <c r="I63" s="1"/>
  <c r="I62"/>
  <c r="H62"/>
  <c r="F60"/>
  <c r="H60" s="1"/>
  <c r="I59"/>
  <c r="H59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H4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30"/>
  <c r="H30" s="1"/>
  <c r="F27"/>
  <c r="I27" s="1"/>
  <c r="F26"/>
  <c r="H26" s="1"/>
  <c r="F25"/>
  <c r="I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87" i="27"/>
  <c r="F88"/>
  <c r="I88" s="1"/>
  <c r="F87"/>
  <c r="H87" s="1"/>
  <c r="I86"/>
  <c r="H86"/>
  <c r="E83"/>
  <c r="F83" s="1"/>
  <c r="F82"/>
  <c r="I82" s="1"/>
  <c r="H80"/>
  <c r="H78"/>
  <c r="H76"/>
  <c r="H75"/>
  <c r="I74"/>
  <c r="H74"/>
  <c r="I72"/>
  <c r="H72"/>
  <c r="F71"/>
  <c r="I71" s="1"/>
  <c r="F70"/>
  <c r="H70" s="1"/>
  <c r="F69"/>
  <c r="I69" s="1"/>
  <c r="F68"/>
  <c r="H68" s="1"/>
  <c r="F67"/>
  <c r="I67" s="1"/>
  <c r="I66"/>
  <c r="H66"/>
  <c r="I65"/>
  <c r="H65"/>
  <c r="F63"/>
  <c r="H63" s="1"/>
  <c r="I62"/>
  <c r="H62"/>
  <c r="F60"/>
  <c r="I60" s="1"/>
  <c r="I59"/>
  <c r="H59"/>
  <c r="F58"/>
  <c r="H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H41"/>
  <c r="F40"/>
  <c r="I40" s="1"/>
  <c r="I39"/>
  <c r="H39"/>
  <c r="I38"/>
  <c r="H38"/>
  <c r="H36"/>
  <c r="H35"/>
  <c r="H34"/>
  <c r="F34"/>
  <c r="I34" s="1"/>
  <c r="F33"/>
  <c r="H33" s="1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H68" i="28" l="1"/>
  <c r="H83"/>
  <c r="H84" s="1"/>
  <c r="I83"/>
  <c r="H16"/>
  <c r="I17"/>
  <c r="H18"/>
  <c r="I20"/>
  <c r="H21"/>
  <c r="I24"/>
  <c r="H25"/>
  <c r="I26"/>
  <c r="H27"/>
  <c r="I30"/>
  <c r="H31"/>
  <c r="I32"/>
  <c r="H33"/>
  <c r="H40"/>
  <c r="H42"/>
  <c r="I43"/>
  <c r="H44"/>
  <c r="I51"/>
  <c r="H58"/>
  <c r="I60"/>
  <c r="H63"/>
  <c r="I67"/>
  <c r="I69"/>
  <c r="H70"/>
  <c r="I71"/>
  <c r="I82"/>
  <c r="H88" i="27"/>
  <c r="H40"/>
  <c r="I83"/>
  <c r="H83"/>
  <c r="H84" s="1"/>
  <c r="I16"/>
  <c r="H17"/>
  <c r="I18"/>
  <c r="H20"/>
  <c r="I21"/>
  <c r="H24"/>
  <c r="I25"/>
  <c r="H26"/>
  <c r="I27"/>
  <c r="H30"/>
  <c r="I31"/>
  <c r="H32"/>
  <c r="I33"/>
  <c r="I42"/>
  <c r="H43"/>
  <c r="I44"/>
  <c r="H51"/>
  <c r="I58"/>
  <c r="H60"/>
  <c r="I63"/>
  <c r="H67"/>
  <c r="I68"/>
  <c r="H69"/>
  <c r="I70"/>
  <c r="H71"/>
  <c r="H82"/>
  <c r="I96" i="28" l="1"/>
  <c r="H79"/>
  <c r="H79" i="27"/>
  <c r="I93"/>
  <c r="I99" i="26" l="1"/>
  <c r="H99"/>
  <c r="I97"/>
  <c r="H98"/>
  <c r="H97"/>
  <c r="I96"/>
  <c r="I95"/>
  <c r="H96"/>
  <c r="H95"/>
  <c r="I94"/>
  <c r="I93"/>
  <c r="H94"/>
  <c r="H93"/>
  <c r="I92"/>
  <c r="I91"/>
  <c r="I90"/>
  <c r="H92"/>
  <c r="H91"/>
  <c r="H90"/>
  <c r="I89"/>
  <c r="H89"/>
  <c r="I88"/>
  <c r="F88"/>
  <c r="H88" s="1"/>
  <c r="I86"/>
  <c r="H86"/>
  <c r="I74"/>
  <c r="I65"/>
  <c r="I94" i="25" l="1"/>
  <c r="I93"/>
  <c r="I92"/>
  <c r="H93"/>
  <c r="H92"/>
  <c r="I91"/>
  <c r="I90"/>
  <c r="H91"/>
  <c r="H90"/>
  <c r="F89"/>
  <c r="H89" s="1"/>
  <c r="I88"/>
  <c r="H88"/>
  <c r="I87"/>
  <c r="H87"/>
  <c r="I86"/>
  <c r="H86"/>
  <c r="I65"/>
  <c r="I84" i="24"/>
  <c r="I97"/>
  <c r="I96" l="1"/>
  <c r="I95"/>
  <c r="I94"/>
  <c r="I93"/>
  <c r="I92"/>
  <c r="I91"/>
  <c r="H96"/>
  <c r="H95"/>
  <c r="F94"/>
  <c r="H94" s="1"/>
  <c r="H93"/>
  <c r="H92"/>
  <c r="H91"/>
  <c r="I90"/>
  <c r="H90"/>
  <c r="I89"/>
  <c r="I88"/>
  <c r="H89"/>
  <c r="H88"/>
  <c r="I87"/>
  <c r="F87"/>
  <c r="H87" s="1"/>
  <c r="I65"/>
  <c r="I110" i="23"/>
  <c r="I108"/>
  <c r="I107"/>
  <c r="I104"/>
  <c r="I105"/>
  <c r="I106"/>
  <c r="I103"/>
  <c r="I102"/>
  <c r="I101"/>
  <c r="H109"/>
  <c r="F108"/>
  <c r="H108" s="1"/>
  <c r="H107"/>
  <c r="H106"/>
  <c r="H105"/>
  <c r="H104"/>
  <c r="H103"/>
  <c r="H102"/>
  <c r="H101"/>
  <c r="I100"/>
  <c r="H100"/>
  <c r="I99"/>
  <c r="I98"/>
  <c r="H99"/>
  <c r="H98"/>
  <c r="I97"/>
  <c r="H97"/>
  <c r="I96"/>
  <c r="I94"/>
  <c r="I93"/>
  <c r="I95"/>
  <c r="H96"/>
  <c r="H95"/>
  <c r="H94"/>
  <c r="H93"/>
  <c r="H92"/>
  <c r="I91"/>
  <c r="H91"/>
  <c r="I90"/>
  <c r="F90"/>
  <c r="H90" s="1"/>
  <c r="I89"/>
  <c r="H89"/>
  <c r="I88"/>
  <c r="H88"/>
  <c r="I87"/>
  <c r="H87"/>
  <c r="I86"/>
  <c r="H86"/>
  <c r="I65"/>
  <c r="I96" i="22"/>
  <c r="I94"/>
  <c r="I93"/>
  <c r="H97"/>
  <c r="F96"/>
  <c r="H96" s="1"/>
  <c r="H95"/>
  <c r="H94"/>
  <c r="H93"/>
  <c r="I92"/>
  <c r="H92"/>
  <c r="I91"/>
  <c r="H91"/>
  <c r="I90"/>
  <c r="F90"/>
  <c r="H90" s="1"/>
  <c r="I89"/>
  <c r="H89"/>
  <c r="I88"/>
  <c r="H88"/>
  <c r="I87"/>
  <c r="H87"/>
  <c r="I86"/>
  <c r="H86"/>
  <c r="I65"/>
  <c r="I89" i="21"/>
  <c r="I88"/>
  <c r="H89"/>
  <c r="H88"/>
  <c r="I87"/>
  <c r="F87"/>
  <c r="H87" s="1"/>
  <c r="I84" i="20"/>
  <c r="I41"/>
  <c r="I100"/>
  <c r="I99"/>
  <c r="I98"/>
  <c r="I96"/>
  <c r="I95"/>
  <c r="H99"/>
  <c r="F99"/>
  <c r="H98"/>
  <c r="H97"/>
  <c r="H96"/>
  <c r="H95"/>
  <c r="I94"/>
  <c r="I93"/>
  <c r="H94"/>
  <c r="H93"/>
  <c r="H92"/>
  <c r="I91"/>
  <c r="H91"/>
  <c r="I90"/>
  <c r="H90"/>
  <c r="I89"/>
  <c r="H89"/>
  <c r="F89"/>
  <c r="I88"/>
  <c r="H88"/>
  <c r="I87"/>
  <c r="H87"/>
  <c r="I86"/>
  <c r="H86"/>
  <c r="I74"/>
  <c r="I65"/>
  <c r="I54" i="19"/>
  <c r="I104"/>
  <c r="I102"/>
  <c r="I101"/>
  <c r="I100"/>
  <c r="I99"/>
  <c r="I98"/>
  <c r="I97"/>
  <c r="I96"/>
  <c r="I95"/>
  <c r="I94"/>
  <c r="I93"/>
  <c r="I92"/>
  <c r="I91"/>
  <c r="H103"/>
  <c r="H102"/>
  <c r="H101"/>
  <c r="H100"/>
  <c r="H99"/>
  <c r="H98"/>
  <c r="H97"/>
  <c r="H96"/>
  <c r="H95"/>
  <c r="H94"/>
  <c r="H93"/>
  <c r="H92"/>
  <c r="H91"/>
  <c r="I90"/>
  <c r="F90"/>
  <c r="H90" s="1"/>
  <c r="I89"/>
  <c r="I88"/>
  <c r="I87"/>
  <c r="H89"/>
  <c r="H88"/>
  <c r="H87"/>
  <c r="I86"/>
  <c r="H86"/>
  <c r="I74"/>
  <c r="I91" i="18" l="1"/>
  <c r="I90"/>
  <c r="H91"/>
  <c r="F90"/>
  <c r="H90" s="1"/>
  <c r="H89"/>
  <c r="I88"/>
  <c r="H88"/>
  <c r="I87"/>
  <c r="H87"/>
  <c r="I86"/>
  <c r="H86"/>
  <c r="I94" i="17" l="1"/>
  <c r="H94"/>
  <c r="I93"/>
  <c r="H93"/>
  <c r="I92"/>
  <c r="H92"/>
  <c r="I91"/>
  <c r="H91"/>
  <c r="I90"/>
  <c r="H90"/>
  <c r="I89"/>
  <c r="H89"/>
  <c r="I88"/>
  <c r="H88"/>
  <c r="I87"/>
  <c r="H87"/>
  <c r="I86"/>
  <c r="H86"/>
  <c r="I65"/>
  <c r="I98" i="26" l="1"/>
  <c r="I87"/>
  <c r="I100" s="1"/>
  <c r="H87"/>
  <c r="E83"/>
  <c r="F83" s="1"/>
  <c r="I83" s="1"/>
  <c r="F82"/>
  <c r="I82" s="1"/>
  <c r="H80"/>
  <c r="H78"/>
  <c r="H76"/>
  <c r="H75"/>
  <c r="H74"/>
  <c r="I72"/>
  <c r="H72"/>
  <c r="F71"/>
  <c r="I71" s="1"/>
  <c r="F70"/>
  <c r="I70" s="1"/>
  <c r="F69"/>
  <c r="I69" s="1"/>
  <c r="F68"/>
  <c r="I68" s="1"/>
  <c r="F67"/>
  <c r="I67" s="1"/>
  <c r="I66"/>
  <c r="H66"/>
  <c r="H65"/>
  <c r="F63"/>
  <c r="I63" s="1"/>
  <c r="I62"/>
  <c r="H62"/>
  <c r="F60"/>
  <c r="I60" s="1"/>
  <c r="I59"/>
  <c r="H59"/>
  <c r="F58"/>
  <c r="I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4"/>
  <c r="I44" s="1"/>
  <c r="F43"/>
  <c r="I43" s="1"/>
  <c r="F42"/>
  <c r="I42" s="1"/>
  <c r="H41"/>
  <c r="F40"/>
  <c r="I40" s="1"/>
  <c r="I39"/>
  <c r="H39"/>
  <c r="I38"/>
  <c r="H38"/>
  <c r="H36"/>
  <c r="H35"/>
  <c r="H34"/>
  <c r="F34"/>
  <c r="I34" s="1"/>
  <c r="F33"/>
  <c r="I33" s="1"/>
  <c r="F32"/>
  <c r="I32" s="1"/>
  <c r="F31"/>
  <c r="I31" s="1"/>
  <c r="F30"/>
  <c r="I30" s="1"/>
  <c r="F27"/>
  <c r="I27" s="1"/>
  <c r="F26"/>
  <c r="I26" s="1"/>
  <c r="F25"/>
  <c r="I25" s="1"/>
  <c r="F24"/>
  <c r="I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I84" s="1"/>
  <c r="H51" l="1"/>
  <c r="H20"/>
  <c r="H26"/>
  <c r="I102"/>
  <c r="H17"/>
  <c r="H24"/>
  <c r="H67"/>
  <c r="H71"/>
  <c r="H69"/>
  <c r="H60"/>
  <c r="H43"/>
  <c r="H32"/>
  <c r="H30"/>
  <c r="H16"/>
  <c r="H18"/>
  <c r="H21"/>
  <c r="H25"/>
  <c r="H27"/>
  <c r="H31"/>
  <c r="H33"/>
  <c r="H40"/>
  <c r="H42"/>
  <c r="H44"/>
  <c r="H58"/>
  <c r="H63"/>
  <c r="H68"/>
  <c r="H70"/>
  <c r="H82"/>
  <c r="H83"/>
  <c r="H84" s="1"/>
  <c r="H79" l="1"/>
  <c r="I89" i="25" l="1"/>
  <c r="I54"/>
  <c r="E83"/>
  <c r="F83" s="1"/>
  <c r="F82"/>
  <c r="I82" s="1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I66"/>
  <c r="H66"/>
  <c r="H65"/>
  <c r="F63"/>
  <c r="I63" s="1"/>
  <c r="I62"/>
  <c r="H62"/>
  <c r="F60"/>
  <c r="H60" s="1"/>
  <c r="I59"/>
  <c r="H59"/>
  <c r="F58"/>
  <c r="I58" s="1"/>
  <c r="I55"/>
  <c r="F55"/>
  <c r="H55" s="1"/>
  <c r="H54"/>
  <c r="F53"/>
  <c r="I53" s="1"/>
  <c r="F52"/>
  <c r="I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H4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30"/>
  <c r="H30" s="1"/>
  <c r="F27"/>
  <c r="I27" s="1"/>
  <c r="F26"/>
  <c r="H26" s="1"/>
  <c r="F25"/>
  <c r="I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74" i="24"/>
  <c r="I86"/>
  <c r="H86"/>
  <c r="E83"/>
  <c r="F83" s="1"/>
  <c r="F82"/>
  <c r="I82" s="1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I66"/>
  <c r="H66"/>
  <c r="H65"/>
  <c r="F63"/>
  <c r="I63" s="1"/>
  <c r="I62"/>
  <c r="H62"/>
  <c r="F60"/>
  <c r="H60" s="1"/>
  <c r="I59"/>
  <c r="H59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H4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30"/>
  <c r="H30" s="1"/>
  <c r="F27"/>
  <c r="I27" s="1"/>
  <c r="F26"/>
  <c r="H26" s="1"/>
  <c r="F25"/>
  <c r="I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109" i="23"/>
  <c r="I92"/>
  <c r="E83"/>
  <c r="F83" s="1"/>
  <c r="F82"/>
  <c r="I82" s="1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I66"/>
  <c r="H66"/>
  <c r="H65"/>
  <c r="F63"/>
  <c r="I63" s="1"/>
  <c r="I62"/>
  <c r="H62"/>
  <c r="F60"/>
  <c r="H60" s="1"/>
  <c r="I59"/>
  <c r="H59"/>
  <c r="F58"/>
  <c r="I58" s="1"/>
  <c r="I55"/>
  <c r="F55"/>
  <c r="H55" s="1"/>
  <c r="H54"/>
  <c r="F53"/>
  <c r="F52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H4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30"/>
  <c r="H30" s="1"/>
  <c r="F27"/>
  <c r="I27" s="1"/>
  <c r="F26"/>
  <c r="I26" s="1"/>
  <c r="F25"/>
  <c r="I25" s="1"/>
  <c r="F24"/>
  <c r="I24" s="1"/>
  <c r="F23"/>
  <c r="H23" s="1"/>
  <c r="F22"/>
  <c r="H22" s="1"/>
  <c r="F21"/>
  <c r="I21" s="1"/>
  <c r="F20"/>
  <c r="I20" s="1"/>
  <c r="F19"/>
  <c r="H19" s="1"/>
  <c r="F18"/>
  <c r="I18" s="1"/>
  <c r="F17"/>
  <c r="H17" s="1"/>
  <c r="F16"/>
  <c r="I16" s="1"/>
  <c r="I97" i="22"/>
  <c r="I95"/>
  <c r="I98"/>
  <c r="E83"/>
  <c r="F83" s="1"/>
  <c r="F82"/>
  <c r="I82" s="1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I66"/>
  <c r="H66"/>
  <c r="H65"/>
  <c r="H63"/>
  <c r="F63"/>
  <c r="I63" s="1"/>
  <c r="I62"/>
  <c r="H62"/>
  <c r="F60"/>
  <c r="H60" s="1"/>
  <c r="I59"/>
  <c r="H59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H4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30"/>
  <c r="H30" s="1"/>
  <c r="F27"/>
  <c r="I27" s="1"/>
  <c r="F26"/>
  <c r="H26" s="1"/>
  <c r="F25"/>
  <c r="I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86" i="21"/>
  <c r="H86"/>
  <c r="I90"/>
  <c r="E83"/>
  <c r="F83" s="1"/>
  <c r="F82"/>
  <c r="I82" s="1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I66"/>
  <c r="H66"/>
  <c r="I65"/>
  <c r="H65"/>
  <c r="F63"/>
  <c r="I63" s="1"/>
  <c r="I62"/>
  <c r="H62"/>
  <c r="F60"/>
  <c r="H60" s="1"/>
  <c r="I59"/>
  <c r="H59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H4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30"/>
  <c r="H30" s="1"/>
  <c r="F27"/>
  <c r="I27" s="1"/>
  <c r="F26"/>
  <c r="H26" s="1"/>
  <c r="F25"/>
  <c r="I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97" i="20"/>
  <c r="I92"/>
  <c r="I80"/>
  <c r="E83"/>
  <c r="F83" s="1"/>
  <c r="I83" s="1"/>
  <c r="F82"/>
  <c r="I82" s="1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I66"/>
  <c r="H66"/>
  <c r="H65"/>
  <c r="F63"/>
  <c r="I63" s="1"/>
  <c r="I62"/>
  <c r="H62"/>
  <c r="F60"/>
  <c r="H60" s="1"/>
  <c r="I59"/>
  <c r="H59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I45"/>
  <c r="H45"/>
  <c r="F43"/>
  <c r="H43" s="1"/>
  <c r="F42"/>
  <c r="I42" s="1"/>
  <c r="H4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30"/>
  <c r="H30" s="1"/>
  <c r="F27"/>
  <c r="I27" s="1"/>
  <c r="F26"/>
  <c r="H26" s="1"/>
  <c r="F25"/>
  <c r="I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103" i="19"/>
  <c r="I65"/>
  <c r="E83"/>
  <c r="F83" s="1"/>
  <c r="H82"/>
  <c r="F82"/>
  <c r="I82" s="1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I66"/>
  <c r="H66"/>
  <c r="H65"/>
  <c r="F63"/>
  <c r="I63" s="1"/>
  <c r="I62"/>
  <c r="H62"/>
  <c r="F60"/>
  <c r="H60" s="1"/>
  <c r="I59"/>
  <c r="H59"/>
  <c r="F58"/>
  <c r="I58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I45"/>
  <c r="H45"/>
  <c r="I84"/>
  <c r="F43"/>
  <c r="H43" s="1"/>
  <c r="F42"/>
  <c r="I42" s="1"/>
  <c r="H4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30"/>
  <c r="H30" s="1"/>
  <c r="F27"/>
  <c r="I27" s="1"/>
  <c r="F26"/>
  <c r="H26" s="1"/>
  <c r="F25"/>
  <c r="I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106" l="1"/>
  <c r="H52" i="23"/>
  <c r="I52"/>
  <c r="H53"/>
  <c r="I53"/>
  <c r="H82" i="21"/>
  <c r="H16" i="25"/>
  <c r="H52"/>
  <c r="H53"/>
  <c r="H40"/>
  <c r="H63"/>
  <c r="I50"/>
  <c r="I48"/>
  <c r="I49"/>
  <c r="I47"/>
  <c r="H68"/>
  <c r="H70"/>
  <c r="H58"/>
  <c r="H79" s="1"/>
  <c r="H42"/>
  <c r="H44"/>
  <c r="I83"/>
  <c r="H83"/>
  <c r="H84" s="1"/>
  <c r="I17"/>
  <c r="I84" s="1"/>
  <c r="H18"/>
  <c r="I20"/>
  <c r="H21"/>
  <c r="I24"/>
  <c r="H25"/>
  <c r="I26"/>
  <c r="H27"/>
  <c r="I30"/>
  <c r="H31"/>
  <c r="I32"/>
  <c r="H33"/>
  <c r="I43"/>
  <c r="I51"/>
  <c r="I60"/>
  <c r="I67"/>
  <c r="I69"/>
  <c r="I71"/>
  <c r="H82"/>
  <c r="H68" i="24"/>
  <c r="I83"/>
  <c r="H83"/>
  <c r="H84" s="1"/>
  <c r="H16"/>
  <c r="I17"/>
  <c r="H18"/>
  <c r="I20"/>
  <c r="H21"/>
  <c r="I24"/>
  <c r="H25"/>
  <c r="I26"/>
  <c r="H27"/>
  <c r="I30"/>
  <c r="H31"/>
  <c r="I32"/>
  <c r="H33"/>
  <c r="H40"/>
  <c r="H42"/>
  <c r="I43"/>
  <c r="H44"/>
  <c r="I51"/>
  <c r="H58"/>
  <c r="I60"/>
  <c r="H63"/>
  <c r="I67"/>
  <c r="I69"/>
  <c r="H70"/>
  <c r="I71"/>
  <c r="H82"/>
  <c r="H63" i="23"/>
  <c r="H20"/>
  <c r="H26"/>
  <c r="H24"/>
  <c r="I83"/>
  <c r="H83"/>
  <c r="H84" s="1"/>
  <c r="H16"/>
  <c r="I17"/>
  <c r="H18"/>
  <c r="H21"/>
  <c r="H25"/>
  <c r="H27"/>
  <c r="I30"/>
  <c r="H31"/>
  <c r="I32"/>
  <c r="H33"/>
  <c r="H40"/>
  <c r="H42"/>
  <c r="I43"/>
  <c r="H44"/>
  <c r="I51"/>
  <c r="H58"/>
  <c r="I60"/>
  <c r="I67"/>
  <c r="H68"/>
  <c r="I69"/>
  <c r="H70"/>
  <c r="I71"/>
  <c r="H82"/>
  <c r="H16" i="22"/>
  <c r="I83"/>
  <c r="H83"/>
  <c r="H84" s="1"/>
  <c r="I17"/>
  <c r="H18"/>
  <c r="I20"/>
  <c r="H21"/>
  <c r="I24"/>
  <c r="H25"/>
  <c r="I26"/>
  <c r="H27"/>
  <c r="I30"/>
  <c r="H31"/>
  <c r="I32"/>
  <c r="H33"/>
  <c r="H40"/>
  <c r="H42"/>
  <c r="I43"/>
  <c r="H44"/>
  <c r="I51"/>
  <c r="H58"/>
  <c r="I60"/>
  <c r="I67"/>
  <c r="H68"/>
  <c r="I69"/>
  <c r="H70"/>
  <c r="I71"/>
  <c r="H82"/>
  <c r="H63" i="21"/>
  <c r="H16"/>
  <c r="H27"/>
  <c r="I22"/>
  <c r="I47"/>
  <c r="I49"/>
  <c r="H18"/>
  <c r="H21"/>
  <c r="H33"/>
  <c r="H40"/>
  <c r="I19"/>
  <c r="I23"/>
  <c r="I50"/>
  <c r="I48"/>
  <c r="H68"/>
  <c r="H70"/>
  <c r="H58"/>
  <c r="H79" s="1"/>
  <c r="H44"/>
  <c r="H42"/>
  <c r="H31"/>
  <c r="H25"/>
  <c r="I83"/>
  <c r="H83"/>
  <c r="H84" s="1"/>
  <c r="I17"/>
  <c r="I20"/>
  <c r="I24"/>
  <c r="I26"/>
  <c r="I30"/>
  <c r="I32"/>
  <c r="I43"/>
  <c r="I51"/>
  <c r="I60"/>
  <c r="I67"/>
  <c r="I69"/>
  <c r="I71"/>
  <c r="H40" i="20"/>
  <c r="H63"/>
  <c r="I52"/>
  <c r="I53"/>
  <c r="H68"/>
  <c r="H70"/>
  <c r="H16"/>
  <c r="I17"/>
  <c r="H18"/>
  <c r="I20"/>
  <c r="H21"/>
  <c r="I24"/>
  <c r="H25"/>
  <c r="I26"/>
  <c r="H27"/>
  <c r="I30"/>
  <c r="H31"/>
  <c r="I32"/>
  <c r="H33"/>
  <c r="H42"/>
  <c r="I43"/>
  <c r="I51"/>
  <c r="H58"/>
  <c r="H79" s="1"/>
  <c r="I60"/>
  <c r="I67"/>
  <c r="I69"/>
  <c r="I71"/>
  <c r="H82"/>
  <c r="H83"/>
  <c r="H84" s="1"/>
  <c r="H70" i="19"/>
  <c r="H40"/>
  <c r="H16"/>
  <c r="H25"/>
  <c r="H31"/>
  <c r="H42"/>
  <c r="H63"/>
  <c r="H68"/>
  <c r="H18"/>
  <c r="H21"/>
  <c r="H27"/>
  <c r="H33"/>
  <c r="H58"/>
  <c r="I83"/>
  <c r="H83"/>
  <c r="H84" s="1"/>
  <c r="I17"/>
  <c r="I20"/>
  <c r="I24"/>
  <c r="I26"/>
  <c r="I30"/>
  <c r="I32"/>
  <c r="I43"/>
  <c r="I51"/>
  <c r="I60"/>
  <c r="I67"/>
  <c r="I69"/>
  <c r="I71"/>
  <c r="I84" i="23" l="1"/>
  <c r="I112" s="1"/>
  <c r="I96" i="25"/>
  <c r="I99" i="24"/>
  <c r="H79"/>
  <c r="H79" i="23"/>
  <c r="I84" i="22"/>
  <c r="I100" s="1"/>
  <c r="H79"/>
  <c r="I84" i="21"/>
  <c r="I92" s="1"/>
  <c r="I102" i="20"/>
  <c r="H79" i="19"/>
  <c r="I89" i="18" l="1"/>
  <c r="I92"/>
  <c r="I54"/>
  <c r="E83" l="1"/>
  <c r="F83" s="1"/>
  <c r="I83" s="1"/>
  <c r="F82"/>
  <c r="I82" s="1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I66"/>
  <c r="H66"/>
  <c r="I65"/>
  <c r="H65"/>
  <c r="F63"/>
  <c r="I63" s="1"/>
  <c r="I62"/>
  <c r="H62"/>
  <c r="F60"/>
  <c r="H60" s="1"/>
  <c r="I59"/>
  <c r="H59"/>
  <c r="F58"/>
  <c r="I58" s="1"/>
  <c r="I55"/>
  <c r="F55"/>
  <c r="H55" s="1"/>
  <c r="H54"/>
  <c r="F53"/>
  <c r="F52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H41"/>
  <c r="F40"/>
  <c r="I40" s="1"/>
  <c r="I39"/>
  <c r="H39"/>
  <c r="I38"/>
  <c r="H38"/>
  <c r="H36"/>
  <c r="H35"/>
  <c r="H34"/>
  <c r="F34"/>
  <c r="I34" s="1"/>
  <c r="F33"/>
  <c r="I33" s="1"/>
  <c r="F32"/>
  <c r="H32" s="1"/>
  <c r="F31"/>
  <c r="I31" s="1"/>
  <c r="F30"/>
  <c r="H30" s="1"/>
  <c r="F27"/>
  <c r="I27" s="1"/>
  <c r="F26"/>
  <c r="H26" s="1"/>
  <c r="F25"/>
  <c r="I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H52" l="1"/>
  <c r="I52"/>
  <c r="H63"/>
  <c r="H53"/>
  <c r="I53"/>
  <c r="H16"/>
  <c r="I17"/>
  <c r="H18"/>
  <c r="I20"/>
  <c r="H21"/>
  <c r="I24"/>
  <c r="H25"/>
  <c r="I26"/>
  <c r="H27"/>
  <c r="I30"/>
  <c r="H31"/>
  <c r="I32"/>
  <c r="H33"/>
  <c r="H40"/>
  <c r="H42"/>
  <c r="I43"/>
  <c r="H44"/>
  <c r="I51"/>
  <c r="H58"/>
  <c r="I60"/>
  <c r="I67"/>
  <c r="H68"/>
  <c r="I69"/>
  <c r="H70"/>
  <c r="I71"/>
  <c r="H82"/>
  <c r="H83"/>
  <c r="H84" s="1"/>
  <c r="I72" i="17"/>
  <c r="I95"/>
  <c r="E83"/>
  <c r="F83" s="1"/>
  <c r="F82"/>
  <c r="I82" s="1"/>
  <c r="H80"/>
  <c r="H78"/>
  <c r="H76"/>
  <c r="H75"/>
  <c r="H74"/>
  <c r="H72"/>
  <c r="F71"/>
  <c r="H71" s="1"/>
  <c r="F70"/>
  <c r="H70" s="1"/>
  <c r="F69"/>
  <c r="H69" s="1"/>
  <c r="F68"/>
  <c r="H68" s="1"/>
  <c r="F67"/>
  <c r="H67" s="1"/>
  <c r="I66"/>
  <c r="H66"/>
  <c r="H65"/>
  <c r="F63"/>
  <c r="I63" s="1"/>
  <c r="I62"/>
  <c r="H62"/>
  <c r="F60"/>
  <c r="I59"/>
  <c r="H59"/>
  <c r="F58"/>
  <c r="I58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I45"/>
  <c r="H45"/>
  <c r="F44"/>
  <c r="I44" s="1"/>
  <c r="F43"/>
  <c r="I43" s="1"/>
  <c r="F42"/>
  <c r="I42" s="1"/>
  <c r="H41"/>
  <c r="F40"/>
  <c r="I40" s="1"/>
  <c r="I39"/>
  <c r="H39"/>
  <c r="I38"/>
  <c r="H38"/>
  <c r="F27"/>
  <c r="I27" s="1"/>
  <c r="H36"/>
  <c r="H35"/>
  <c r="F26"/>
  <c r="I26" s="1"/>
  <c r="H34"/>
  <c r="F34"/>
  <c r="I34" s="1"/>
  <c r="F33"/>
  <c r="H33" s="1"/>
  <c r="F32"/>
  <c r="H32" s="1"/>
  <c r="F31"/>
  <c r="H31" s="1"/>
  <c r="F30"/>
  <c r="H30" s="1"/>
  <c r="F25"/>
  <c r="I25" s="1"/>
  <c r="F24"/>
  <c r="I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H60" l="1"/>
  <c r="I60"/>
  <c r="H79" i="18"/>
  <c r="I94"/>
  <c r="I70" i="17"/>
  <c r="I68"/>
  <c r="I67"/>
  <c r="I71"/>
  <c r="I69"/>
  <c r="I30"/>
  <c r="I33"/>
  <c r="I32"/>
  <c r="I31"/>
  <c r="H44"/>
  <c r="H51"/>
  <c r="H17"/>
  <c r="H24"/>
  <c r="H27"/>
  <c r="H40"/>
  <c r="H63"/>
  <c r="H20"/>
  <c r="H42"/>
  <c r="H82"/>
  <c r="I83"/>
  <c r="H83"/>
  <c r="H84" s="1"/>
  <c r="H16"/>
  <c r="H18"/>
  <c r="H21"/>
  <c r="H25"/>
  <c r="H26"/>
  <c r="H43"/>
  <c r="H58"/>
  <c r="H79" s="1"/>
  <c r="I97" l="1"/>
</calcChain>
</file>

<file path=xl/sharedStrings.xml><?xml version="1.0" encoding="utf-8"?>
<sst xmlns="http://schemas.openxmlformats.org/spreadsheetml/2006/main" count="2822" uniqueCount="276">
  <si>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</si>
  <si>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</si>
  <si>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</si>
  <si>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</si>
  <si>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</si>
  <si>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</si>
  <si>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</si>
  <si>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</si>
  <si>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</si>
  <si>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</si>
  <si>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</si>
  <si>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</si>
  <si>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</si>
  <si>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</si>
  <si>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</si>
  <si>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</si>
  <si>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</si>
  <si>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</si>
  <si>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</si>
  <si>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</si>
  <si>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</si>
  <si>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</si>
  <si>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</si>
  <si>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</si>
  <si>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</si>
  <si>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</si>
  <si>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</si>
  <si>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</si>
  <si>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</si>
  <si>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</si>
  <si>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</si>
  <si>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</si>
  <si>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</si>
  <si>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</si>
  <si>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</si>
  <si>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</si>
  <si>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</si>
  <si>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</si>
  <si>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</si>
  <si>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</si>
  <si>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</si>
  <si>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</si>
  <si>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</si>
  <si>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</si>
  <si>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</si>
  <si>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</si>
  <si>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</si>
  <si>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</si>
  <si>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</si>
  <si>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</si>
  <si>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</si>
  <si>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</si>
  <si>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</si>
  <si>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</si>
  <si>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</si>
  <si>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</si>
  <si>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</si>
  <si>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</si>
  <si>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</si>
  <si>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</si>
  <si>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</si>
  <si>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</si>
  <si>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</si>
  <si>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</si>
  <si>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</si>
  <si>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</si>
  <si>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</si>
  <si>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</si>
  <si>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</si>
  <si>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</si>
  <si>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</si>
  <si>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</si>
  <si>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</si>
  <si>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</si>
  <si>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</si>
  <si>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</si>
  <si>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</si>
  <si>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</si>
  <si>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</si>
  <si>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</si>
  <si>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</si>
  <si>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</si>
  <si>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</si>
  <si>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</si>
  <si>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</si>
  <si>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</si>
  <si>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дверных приборов (замки навесные)</t>
  </si>
  <si>
    <t>II. Уборка земельного участка</t>
  </si>
  <si>
    <t>ООО «Жилсервис»</t>
  </si>
  <si>
    <t>Влажное подметание лестничных клеток 1 этажа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</si>
  <si>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</si>
  <si>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</si>
  <si>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</si>
  <si>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</si>
  <si>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</si>
  <si>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</si>
  <si>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</si>
  <si>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</si>
  <si>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</si>
  <si>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</si>
  <si>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</si>
  <si>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</si>
  <si>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</si>
  <si>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</si>
  <si>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</si>
  <si>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</si>
  <si>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</si>
  <si>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</si>
  <si>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</si>
  <si>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Уборка газонов</t>
  </si>
  <si>
    <t>Сдвигание снега в дни снегопада (крыльца, тротуары)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</si>
  <si>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</si>
  <si>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</si>
  <si>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</si>
  <si>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</si>
  <si>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</si>
  <si>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</si>
  <si>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</si>
  <si>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Замена ламп ДРЛ</t>
  </si>
  <si>
    <t>Аварийно-диспетчерское обслуживание</t>
  </si>
  <si>
    <t>Влажное подметание лестничных клеток 2-5 этажа</t>
  </si>
  <si>
    <t>Мытье лестничных  площадок и маршей 1-5 этаж.</t>
  </si>
  <si>
    <t xml:space="preserve">1 раз в месяц </t>
  </si>
  <si>
    <t xml:space="preserve">1 раз в месяц  </t>
  </si>
  <si>
    <t>Очистка урн от мусора</t>
  </si>
  <si>
    <t>Подметание территории с усовершенствованным покрытием асф.: крыльца, контейнерн пл., проезд, тротуар</t>
  </si>
  <si>
    <t>Перекидывания снега и скола</t>
  </si>
  <si>
    <t>25 раз за сезон</t>
  </si>
  <si>
    <t>Вывоз снега с придомовой территории</t>
  </si>
  <si>
    <t>1м3</t>
  </si>
  <si>
    <t>50 раз за сезон</t>
  </si>
  <si>
    <t>Осмотр рулонной кровли</t>
  </si>
  <si>
    <t>Очистка края кровли от слежавшегося снега со сбрасыванием сосулек (козырьки)</t>
  </si>
  <si>
    <t>Очистка внутреннего водостока</t>
  </si>
  <si>
    <t>водосток</t>
  </si>
  <si>
    <t>Очистка водостоков от наледи</t>
  </si>
  <si>
    <t>Очистка  от мусора</t>
  </si>
  <si>
    <t>Дератизация</t>
  </si>
  <si>
    <t>Снятие показаний эл.счетчика коммунального назначения</t>
  </si>
  <si>
    <t>Внеплановый осмотр электросетей, армазуры и электрооборудования на лестничных клетках</t>
  </si>
  <si>
    <t>Смена светодиодных светильников</t>
  </si>
  <si>
    <t xml:space="preserve">приемки оказанных услуг и выполненных работ по содержанию и текущему ремонту
общего имущества в многоквартирном доме №5 по ул.Строительная пгт.Ярега
</t>
  </si>
  <si>
    <t>3м</t>
  </si>
  <si>
    <t>Устройство хомута диаметром до 50 мм</t>
  </si>
  <si>
    <t>генеральный директор Куканов Ю.Л.</t>
  </si>
  <si>
    <t>IV. Прочие услуги</t>
  </si>
  <si>
    <t>III. Содержание общего имущества МКД</t>
  </si>
  <si>
    <r>
      <t xml:space="preserve">    Собственники помещений в многоквартирном доме, расположенном по адресу: пгт.Ярега, ул.Строительная, д.5,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06.05.2013г.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</si>
  <si>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</si>
  <si>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</si>
  <si>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</si>
  <si>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</si>
  <si>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 xml:space="preserve"> 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</si>
  <si>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</si>
  <si>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</si>
  <si>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Смена арматуры - вентилей и клапанов обратных муфтовых диаметром до 20 мм</t>
  </si>
  <si>
    <t>1 шт</t>
  </si>
  <si>
    <t>Установка заглушек диаметром трубопроводов до 100 мм</t>
  </si>
  <si>
    <t>заглушка</t>
  </si>
  <si>
    <t>Внеплановая проверка вентканалов</t>
  </si>
  <si>
    <t>1 сгон</t>
  </si>
  <si>
    <t>Смена арматуры - вентилей и клапанов обратных муфтовых диаметром до 32 мм</t>
  </si>
  <si>
    <t>Смена сгонов у трубопроводов диаметром до  32 мм</t>
  </si>
  <si>
    <t>маш/час</t>
  </si>
  <si>
    <t>Манжета 110 мм</t>
  </si>
  <si>
    <t>Смена трубопроводов на полипропиленовые трубы PN25 диаметром 20 мм</t>
  </si>
  <si>
    <t>Смена трубопроводов на полипропиленовые трубы PN25 диаметром 25 мм</t>
  </si>
  <si>
    <t>Дезинфекция подвала</t>
  </si>
  <si>
    <t>Отвод 110*45°</t>
  </si>
  <si>
    <t>5 раз в год</t>
  </si>
  <si>
    <t>Прочистка каналов</t>
  </si>
  <si>
    <t>АКТ №2</t>
  </si>
  <si>
    <t>АКТ №3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</si>
  <si>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</si>
  <si>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</si>
  <si>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</si>
  <si>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</si>
  <si>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</si>
  <si>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</si>
  <si>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</si>
  <si>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t>Работа гона</t>
  </si>
  <si>
    <t>за период с 01.01.2017 г. по 31.01.2017 г.</t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</si>
  <si>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д.5</t>
    </r>
  </si>
  <si>
    <t xml:space="preserve">ежедневно </t>
  </si>
  <si>
    <t xml:space="preserve">24 раза в год </t>
  </si>
  <si>
    <t>104 раза в год</t>
  </si>
  <si>
    <t>156 раз в год</t>
  </si>
  <si>
    <t>Смена вентилей диаметром до 32 мм (без стоимости материалов)</t>
  </si>
  <si>
    <t>Ревизия вентеля диаметром до 20 мм</t>
  </si>
  <si>
    <t>Итого затраты за месяц</t>
  </si>
  <si>
    <t>за период с 01.02.2017 г. по 28.02.2017 г.</t>
  </si>
  <si>
    <t>Смена вентилей диаметром до 20 мм (без стоимости материалов)</t>
  </si>
  <si>
    <t>Прочистка засоров канализации</t>
  </si>
  <si>
    <t>Смена трубопроводов на металл-полимерные трубы диамером 15 мм</t>
  </si>
  <si>
    <t>за период с 01.03.2017 г. по 31.03.2017 г.</t>
  </si>
  <si>
    <t>Смена полиэтиленовых канализационных труб 110×2000 мм</t>
  </si>
  <si>
    <t>Тройник 100-90°</t>
  </si>
  <si>
    <t xml:space="preserve">Переход чугун-пластик Ду 110 </t>
  </si>
  <si>
    <t>1 шт.</t>
  </si>
  <si>
    <t>Патрубок компенсационный ПП Ду 100</t>
  </si>
  <si>
    <t>Переход 110×50</t>
  </si>
  <si>
    <t>Отвод 50×90°</t>
  </si>
  <si>
    <t>Отвод 50×45°</t>
  </si>
  <si>
    <t xml:space="preserve">Смена полипропиленовых канализационных труб 50×2000 мм </t>
  </si>
  <si>
    <t>2. Всего за период с 01.03.2017 по 31.03.2017 выполнено работ (оказано услуг) на общую сумму: 168033,19 руб.</t>
  </si>
  <si>
    <t>(сто шестьдесят восемь тысяч тридцать три рубля 19 копеек)</t>
  </si>
  <si>
    <t>за период с 01.04.2017 г. по 30.04.2017 г.</t>
  </si>
  <si>
    <t xml:space="preserve">Ремонт дверных полотен </t>
  </si>
  <si>
    <t>Ремонт отдельными местами рулонного покрытия, промазка битумными составами отдельными местами рулонного покрытия, замена 1 слоя</t>
  </si>
  <si>
    <t>10 м2</t>
  </si>
  <si>
    <t>2. Всего за период с 01.04.2017 по 30.04.2017 выполнено работ (оказано услуг) на общую сумму: 209025,34 руб.</t>
  </si>
  <si>
    <t>(двести девять тысяч двадцать пять рублей 34 копейки)</t>
  </si>
  <si>
    <t>за период с 01.05.2017 г. по 31.05.2017 г.</t>
  </si>
  <si>
    <t>52 раза в сезон</t>
  </si>
  <si>
    <t>78 раз за сезон</t>
  </si>
  <si>
    <t>Смена арматуры - задвижек диаметром 80 мм</t>
  </si>
  <si>
    <t>Прочистка фановой трубы</t>
  </si>
  <si>
    <t>2. Всего за период с 01.05.2017 по 31.05.2017 выполнено работ (оказано услуг) на общую сумму: 292160,18 руб.</t>
  </si>
  <si>
    <t>(двести девяносто две тысячи сто шестьдесят рублей 18 копеек)</t>
  </si>
  <si>
    <t>за период с 01.06.2017 г. по 30.06.2017 г.</t>
  </si>
  <si>
    <t xml:space="preserve">Смена внутренних трубопроводов из стальных труб диаметром до 80 мм </t>
  </si>
  <si>
    <t>Смена внутренних трубопроводов из стальных труб диаметром до 25 мм</t>
  </si>
  <si>
    <t>Смена арматуры - вентилей и клапанов обратных муфтовых диаметром до 50 мм</t>
  </si>
  <si>
    <t>Внеплановый осмотр элекгросетей, арматуры и электрооборудования на чердаках и подвалах</t>
  </si>
  <si>
    <t>Укрепление стекол в оконной раме</t>
  </si>
  <si>
    <t>2. Всего за период с 01.06.2017 по 30.06.2017 выполнено работ (оказано услуг) на общую сумму: 140607,41 руб.</t>
  </si>
  <si>
    <t>(сто сорок тысяч шестьсот семь рублей 41 копейка)</t>
  </si>
  <si>
    <t>за период с 01.07.2017 г. по 31.07.2017 г.</t>
  </si>
  <si>
    <t>Ревизия 110</t>
  </si>
  <si>
    <t xml:space="preserve">Переход чугун-пластик Ду 50 </t>
  </si>
  <si>
    <t>Тройник 100-45°</t>
  </si>
  <si>
    <t xml:space="preserve">Герметизация стыков трубопроводов    </t>
  </si>
  <si>
    <t>1 место</t>
  </si>
  <si>
    <t>Устройство стяжек цементных толщиной 20 мм</t>
  </si>
  <si>
    <t>Ремонт штукатурки балкона цементно-известковым раствором площадью до 10 м2 толщиной слоя до 20 мм</t>
  </si>
  <si>
    <t>Установка почтовых ящиков</t>
  </si>
  <si>
    <t>Тройник 100×50/45°</t>
  </si>
  <si>
    <t>Тройник 100×50/90°</t>
  </si>
  <si>
    <t>2. Всего за период с 01.07.2017 по 31.07.2017 выполнено работ (оказано услуг) на общую сумму: 147424,57 руб.</t>
  </si>
  <si>
    <t>(сто сорок семь тысяч четыреста двадцать четыре рубля 57 копеек)</t>
  </si>
  <si>
    <t>за период с 01.08.2017 г. по 31.08.2017 г.</t>
  </si>
  <si>
    <t>Смена трубопроводов на полипропиленовые трубы PN25 диаметром до 32 мм</t>
  </si>
  <si>
    <t>1м</t>
  </si>
  <si>
    <t>Простая масляная окраска ранее окрашенных входных металлических дверей (I-VI под.)</t>
  </si>
  <si>
    <t>Ремонт деревянного настила (IV под.)</t>
  </si>
  <si>
    <t>2. Всего за период с 01.08.2017 по 31.08.2017 выполнено работ (оказано услуг) на общую сумму: 147315,27 руб.</t>
  </si>
  <si>
    <t>(сто сорок семь тысяч триста пятнадцать рублей 27 копеек)</t>
  </si>
  <si>
    <t>за период с 01.09.2017 г. по 30.09.2017 г.</t>
  </si>
  <si>
    <t>Смена пробко-спускных кранов (без материала)</t>
  </si>
  <si>
    <t>(сто двадцать одна тысяча сорок рублей 97 копеек)</t>
  </si>
  <si>
    <t>за период с 01.10.2017 г. по 31.10.2017 г.</t>
  </si>
  <si>
    <t>2. Всего за период с 01.10.2017 по 31.10.2017 выполнено работ (оказано услуг) на общую сумму: 121040,97 руб.</t>
  </si>
  <si>
    <t>Смена вентилей ПП диаметром до 20 мм</t>
  </si>
  <si>
    <t>2. Всего за период с 01.10.2017 по 31.10.2017 выполнено работ (оказано услуг) на общую сумму: 131863,70 руб.</t>
  </si>
  <si>
    <t>(сто тридцать одна тысяча восемьсот шестьдесят три рубля 70 копеек)</t>
  </si>
  <si>
    <t>АКТ №11</t>
  </si>
  <si>
    <t>за период с 01.11.2017 г. по 30.11.2017 г.</t>
  </si>
  <si>
    <t>Демонтаж осветительных приборов. Светодиодные светильники (тамбур под.№5)</t>
  </si>
  <si>
    <t>10шт</t>
  </si>
  <si>
    <t>Смена стекол в деревянных переплетах при площади стекла до 1,0 м2</t>
  </si>
  <si>
    <t>АКТ №12</t>
  </si>
  <si>
    <t>за период с 01.12.2017 г. по 31.12.2017 г.</t>
  </si>
  <si>
    <t>Смена светодиодных светильников в.о.</t>
  </si>
  <si>
    <t>Внеплановый осмотр вводных электрических щитков</t>
  </si>
  <si>
    <t>100шт</t>
  </si>
  <si>
    <t>2. Всего за период с 01.01.2017 по 31.01.2017 выполнено работ (оказано услуг) на общую сумму: 145865,77 руб.</t>
  </si>
  <si>
    <t>(сто сорок пять тысяч восемьсот шестьдесят пять рублей 77 копеек)</t>
  </si>
  <si>
    <t>2. Всего за период с 01.02.2017 по 28.02.2017 выполнено работ (оказано услуг) на общую сумму: 119126,58 руб.</t>
  </si>
  <si>
    <t>(сто девятнадцать тысяч сто двадцать шесть рублей 58 копеек)</t>
  </si>
  <si>
    <t>15 раз за сезон</t>
  </si>
  <si>
    <t>2. Всего за период с 01.12.2017 по 31.12.2017 выполнено работ (оказано услуг) на общую сумму: 141740,46 руб.</t>
  </si>
  <si>
    <t>(сто сорок одна тысяча семьсот сорок рублей 46 копеек)</t>
  </si>
  <si>
    <t>Демонтаж тамбура (V подъезд)</t>
  </si>
  <si>
    <t>Ремонт крыльца (V подъезд)</t>
  </si>
  <si>
    <t>2. Всего за период с 01.11.2017 по 30.11.2017 выполнено работ (оказано услуг) на общую сумму: 215667,83 руб.</t>
  </si>
  <si>
    <t>(двести пятнадцать тысяч шестьсот шестьдесят семь рублей 83 копейки 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</si>
</sst>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4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8" fillId="0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/>
    </xf>
    <xf numFmtId="4" fontId="14" fillId="0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3" borderId="8" xfId="0" applyNumberFormat="1" applyFont="1" applyFill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8"/>
  <sheetViews>
    <sheetView topLeftCell="A8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88</v>
      </c>
      <c r="I1" s="29"/>
      <c r="J1" s="1"/>
      <c r="K1" s="1"/>
      <c r="L1" s="1"/>
      <c r="M1" s="1"/>
    </row>
    <row r="2" spans="1:13" ht="15.75">
      <c r="A2" s="31" t="s">
        <v>62</v>
      </c>
      <c r="J2" s="2"/>
      <c r="K2" s="2"/>
      <c r="L2" s="2"/>
      <c r="M2" s="2"/>
    </row>
    <row r="3" spans="1:13" ht="15.75" customHeight="1">
      <c r="A3" s="143" t="s">
        <v>151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141</v>
      </c>
      <c r="B4" s="144"/>
      <c r="C4" s="144"/>
      <c r="D4" s="144"/>
      <c r="E4" s="144"/>
      <c r="F4" s="144"/>
      <c r="G4" s="144"/>
      <c r="H4" s="144"/>
      <c r="I4" s="144"/>
    </row>
    <row r="5" spans="1:13" ht="15.75">
      <c r="A5" s="143" t="s">
        <v>181</v>
      </c>
      <c r="B5" s="145"/>
      <c r="C5" s="145"/>
      <c r="D5" s="145"/>
      <c r="E5" s="145"/>
      <c r="F5" s="145"/>
      <c r="G5" s="145"/>
      <c r="H5" s="145"/>
      <c r="I5" s="145"/>
      <c r="J5" s="2"/>
      <c r="K5" s="2"/>
      <c r="L5" s="2"/>
      <c r="M5" s="2"/>
    </row>
    <row r="6" spans="1:13" ht="15.75">
      <c r="A6" s="2"/>
      <c r="B6" s="59"/>
      <c r="C6" s="59"/>
      <c r="D6" s="59"/>
      <c r="E6" s="59"/>
      <c r="F6" s="59"/>
      <c r="G6" s="59"/>
      <c r="H6" s="59"/>
      <c r="I6" s="33">
        <v>42766</v>
      </c>
      <c r="J6" s="2"/>
      <c r="K6" s="2"/>
      <c r="L6" s="2"/>
      <c r="M6" s="2"/>
    </row>
    <row r="7" spans="1:13" ht="15.75">
      <c r="B7" s="57"/>
      <c r="C7" s="57"/>
      <c r="D7" s="5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6" t="s">
        <v>147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7" t="s">
        <v>182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2" t="s">
        <v>59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6.5" customHeight="1">
      <c r="A16" s="32">
        <v>1</v>
      </c>
      <c r="B16" s="76" t="s">
        <v>89</v>
      </c>
      <c r="C16" s="77" t="s">
        <v>90</v>
      </c>
      <c r="D16" s="76" t="s">
        <v>186</v>
      </c>
      <c r="E16" s="78">
        <v>208.08</v>
      </c>
      <c r="F16" s="79">
        <f>SUM(E16*156/100)</f>
        <v>324.60480000000001</v>
      </c>
      <c r="G16" s="79">
        <v>175.38</v>
      </c>
      <c r="H16" s="80">
        <f t="shared" ref="H16:H25" si="0">SUM(F16*G16/1000)</f>
        <v>56.929189823999998</v>
      </c>
      <c r="I16" s="13">
        <f>F16/12*G16</f>
        <v>4744.0991519999998</v>
      </c>
      <c r="J16" s="24"/>
      <c r="K16" s="8"/>
      <c r="L16" s="8"/>
      <c r="M16" s="8"/>
    </row>
    <row r="17" spans="1:13" ht="16.5" customHeight="1">
      <c r="A17" s="32">
        <v>2</v>
      </c>
      <c r="B17" s="76" t="s">
        <v>120</v>
      </c>
      <c r="C17" s="77" t="s">
        <v>90</v>
      </c>
      <c r="D17" s="76" t="s">
        <v>185</v>
      </c>
      <c r="E17" s="78">
        <v>832.32</v>
      </c>
      <c r="F17" s="79">
        <f>SUM(E17*104/100)</f>
        <v>865.61279999999999</v>
      </c>
      <c r="G17" s="79">
        <v>175.38</v>
      </c>
      <c r="H17" s="80">
        <f t="shared" si="0"/>
        <v>151.81117286399999</v>
      </c>
      <c r="I17" s="13">
        <f>F17/12*G17</f>
        <v>12650.931071999999</v>
      </c>
      <c r="J17" s="25"/>
      <c r="K17" s="8"/>
      <c r="L17" s="8"/>
      <c r="M17" s="8"/>
    </row>
    <row r="18" spans="1:13" ht="16.5" customHeight="1">
      <c r="A18" s="32">
        <v>3</v>
      </c>
      <c r="B18" s="76" t="s">
        <v>121</v>
      </c>
      <c r="C18" s="77" t="s">
        <v>90</v>
      </c>
      <c r="D18" s="76" t="s">
        <v>184</v>
      </c>
      <c r="E18" s="78">
        <v>1040.4000000000001</v>
      </c>
      <c r="F18" s="79">
        <f>SUM(E18*24/100)</f>
        <v>249.69600000000003</v>
      </c>
      <c r="G18" s="79">
        <v>504.5</v>
      </c>
      <c r="H18" s="80">
        <f t="shared" si="0"/>
        <v>125.97163200000001</v>
      </c>
      <c r="I18" s="13">
        <f>F18/12*G18</f>
        <v>10497.636000000002</v>
      </c>
      <c r="J18" s="25"/>
      <c r="K18" s="8"/>
      <c r="L18" s="8"/>
      <c r="M18" s="8"/>
    </row>
    <row r="19" spans="1:13" ht="15.75" hidden="1" customHeight="1">
      <c r="A19" s="32"/>
      <c r="B19" s="76" t="s">
        <v>97</v>
      </c>
      <c r="C19" s="77" t="s">
        <v>98</v>
      </c>
      <c r="D19" s="76" t="s">
        <v>99</v>
      </c>
      <c r="E19" s="78">
        <v>48</v>
      </c>
      <c r="F19" s="79">
        <f>SUM(E19/10)</f>
        <v>4.8</v>
      </c>
      <c r="G19" s="79">
        <v>170.16</v>
      </c>
      <c r="H19" s="80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76" t="s">
        <v>100</v>
      </c>
      <c r="C20" s="77" t="s">
        <v>90</v>
      </c>
      <c r="D20" s="76" t="s">
        <v>122</v>
      </c>
      <c r="E20" s="78">
        <v>30.6</v>
      </c>
      <c r="F20" s="79">
        <f>SUM(E20*12/100)</f>
        <v>3.6720000000000006</v>
      </c>
      <c r="G20" s="79">
        <v>217.88</v>
      </c>
      <c r="H20" s="80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customHeight="1">
      <c r="A21" s="32">
        <v>5</v>
      </c>
      <c r="B21" s="76" t="s">
        <v>101</v>
      </c>
      <c r="C21" s="77" t="s">
        <v>90</v>
      </c>
      <c r="D21" s="76" t="s">
        <v>30</v>
      </c>
      <c r="E21" s="78">
        <v>10.06</v>
      </c>
      <c r="F21" s="79">
        <f>SUM(E21*12/100)</f>
        <v>1.2072000000000001</v>
      </c>
      <c r="G21" s="79">
        <v>216.12</v>
      </c>
      <c r="H21" s="80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6" t="s">
        <v>102</v>
      </c>
      <c r="C22" s="77" t="s">
        <v>52</v>
      </c>
      <c r="D22" s="76" t="s">
        <v>99</v>
      </c>
      <c r="E22" s="78">
        <v>769.2</v>
      </c>
      <c r="F22" s="79">
        <f>SUM(E22/100)</f>
        <v>7.6920000000000002</v>
      </c>
      <c r="G22" s="79">
        <v>269.26</v>
      </c>
      <c r="H22" s="80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6" t="s">
        <v>103</v>
      </c>
      <c r="C23" s="77" t="s">
        <v>52</v>
      </c>
      <c r="D23" s="76" t="s">
        <v>99</v>
      </c>
      <c r="E23" s="81">
        <v>35.28</v>
      </c>
      <c r="F23" s="79">
        <f>SUM(E23/100)</f>
        <v>0.3528</v>
      </c>
      <c r="G23" s="79">
        <v>44.29</v>
      </c>
      <c r="H23" s="80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customHeight="1">
      <c r="A24" s="32">
        <v>6</v>
      </c>
      <c r="B24" s="76" t="s">
        <v>104</v>
      </c>
      <c r="C24" s="77" t="s">
        <v>52</v>
      </c>
      <c r="D24" s="76" t="s">
        <v>30</v>
      </c>
      <c r="E24" s="78">
        <v>10.8</v>
      </c>
      <c r="F24" s="79">
        <f>E24*12/100</f>
        <v>1.2960000000000003</v>
      </c>
      <c r="G24" s="79">
        <v>389.72</v>
      </c>
      <c r="H24" s="80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customHeight="1">
      <c r="A25" s="32">
        <v>7</v>
      </c>
      <c r="B25" s="76" t="s">
        <v>105</v>
      </c>
      <c r="C25" s="77" t="s">
        <v>52</v>
      </c>
      <c r="D25" s="76" t="s">
        <v>123</v>
      </c>
      <c r="E25" s="78">
        <v>21.6</v>
      </c>
      <c r="F25" s="79">
        <f>SUM(E25*12/100)</f>
        <v>2.5920000000000005</v>
      </c>
      <c r="G25" s="79">
        <v>520.79999999999995</v>
      </c>
      <c r="H25" s="80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8</v>
      </c>
      <c r="B26" s="76" t="s">
        <v>64</v>
      </c>
      <c r="C26" s="77" t="s">
        <v>33</v>
      </c>
      <c r="D26" s="76" t="s">
        <v>183</v>
      </c>
      <c r="E26" s="78">
        <v>0.1</v>
      </c>
      <c r="F26" s="79">
        <f>SUM(E26*365)</f>
        <v>36.5</v>
      </c>
      <c r="G26" s="79">
        <v>147.03</v>
      </c>
      <c r="H26" s="80">
        <f>SUM(F26*G26/1000)</f>
        <v>5.3665950000000002</v>
      </c>
      <c r="I26" s="13">
        <f>F26/12*G26</f>
        <v>447.21625</v>
      </c>
      <c r="J26" s="26"/>
    </row>
    <row r="27" spans="1:13" ht="15.75" customHeight="1">
      <c r="A27" s="32">
        <v>9</v>
      </c>
      <c r="B27" s="84" t="s">
        <v>23</v>
      </c>
      <c r="C27" s="77" t="s">
        <v>24</v>
      </c>
      <c r="D27" s="76" t="s">
        <v>183</v>
      </c>
      <c r="E27" s="78">
        <v>6980.3</v>
      </c>
      <c r="F27" s="79">
        <f>SUM(E27*12)</f>
        <v>83763.600000000006</v>
      </c>
      <c r="G27" s="79">
        <v>4.4000000000000004</v>
      </c>
      <c r="H27" s="80">
        <f>SUM(F27*G27/1000)</f>
        <v>368.55984000000007</v>
      </c>
      <c r="I27" s="13">
        <f>F27/12*G27</f>
        <v>30713.320000000003</v>
      </c>
      <c r="J27" s="26"/>
    </row>
    <row r="28" spans="1:13" ht="15" customHeight="1">
      <c r="A28" s="138" t="s">
        <v>87</v>
      </c>
      <c r="B28" s="138"/>
      <c r="C28" s="138"/>
      <c r="D28" s="138"/>
      <c r="E28" s="138"/>
      <c r="F28" s="138"/>
      <c r="G28" s="138"/>
      <c r="H28" s="138"/>
      <c r="I28" s="138"/>
      <c r="J28" s="25"/>
      <c r="K28" s="8"/>
      <c r="L28" s="8"/>
      <c r="M28" s="8"/>
    </row>
    <row r="29" spans="1:13" ht="15.75" hidden="1" customHeight="1">
      <c r="A29" s="32"/>
      <c r="B29" s="100" t="s">
        <v>28</v>
      </c>
      <c r="C29" s="77"/>
      <c r="D29" s="76"/>
      <c r="E29" s="78"/>
      <c r="F29" s="79"/>
      <c r="G29" s="79"/>
      <c r="H29" s="80"/>
      <c r="I29" s="13"/>
      <c r="J29" s="25"/>
      <c r="K29" s="8"/>
      <c r="L29" s="8"/>
      <c r="M29" s="8"/>
    </row>
    <row r="30" spans="1:13" ht="31.5" hidden="1" customHeight="1">
      <c r="A30" s="32">
        <v>10</v>
      </c>
      <c r="B30" s="76" t="s">
        <v>109</v>
      </c>
      <c r="C30" s="77" t="s">
        <v>92</v>
      </c>
      <c r="D30" s="76" t="s">
        <v>106</v>
      </c>
      <c r="E30" s="79">
        <v>1168.05</v>
      </c>
      <c r="F30" s="79">
        <f>SUM(E30*52/1000)</f>
        <v>60.738599999999998</v>
      </c>
      <c r="G30" s="79">
        <v>155.88999999999999</v>
      </c>
      <c r="H30" s="80">
        <f t="shared" ref="H30:H36" si="1">SUM(F30*G30/1000)</f>
        <v>9.4685403539999982</v>
      </c>
      <c r="I30" s="13">
        <f>F30/6*G30</f>
        <v>1578.0900589999997</v>
      </c>
      <c r="J30" s="25"/>
      <c r="K30" s="8"/>
      <c r="L30" s="8"/>
      <c r="M30" s="8"/>
    </row>
    <row r="31" spans="1:13" ht="31.5" hidden="1" customHeight="1">
      <c r="A31" s="32">
        <v>11</v>
      </c>
      <c r="B31" s="76" t="s">
        <v>125</v>
      </c>
      <c r="C31" s="77" t="s">
        <v>92</v>
      </c>
      <c r="D31" s="76" t="s">
        <v>107</v>
      </c>
      <c r="E31" s="79">
        <v>1039.2</v>
      </c>
      <c r="F31" s="79">
        <f>SUM(E31*78/1000)</f>
        <v>81.057600000000008</v>
      </c>
      <c r="G31" s="79">
        <v>258.63</v>
      </c>
      <c r="H31" s="80">
        <f t="shared" si="1"/>
        <v>20.963927088000002</v>
      </c>
      <c r="I31" s="13">
        <f t="shared" ref="I31:I34" si="2">F31/6*G31</f>
        <v>3493.9878480000002</v>
      </c>
      <c r="J31" s="25"/>
      <c r="K31" s="8"/>
      <c r="L31" s="8"/>
      <c r="M31" s="8"/>
    </row>
    <row r="32" spans="1:13" ht="15.75" hidden="1" customHeight="1">
      <c r="A32" s="32">
        <v>16</v>
      </c>
      <c r="B32" s="76" t="s">
        <v>27</v>
      </c>
      <c r="C32" s="77" t="s">
        <v>92</v>
      </c>
      <c r="D32" s="76" t="s">
        <v>53</v>
      </c>
      <c r="E32" s="79">
        <v>584.03</v>
      </c>
      <c r="F32" s="79">
        <f>SUM(E32/1000)</f>
        <v>0.58402999999999994</v>
      </c>
      <c r="G32" s="79">
        <v>3020.33</v>
      </c>
      <c r="H32" s="80">
        <f t="shared" si="1"/>
        <v>1.7639633298999997</v>
      </c>
      <c r="I32" s="13">
        <f>F32*G32</f>
        <v>1763.9633298999997</v>
      </c>
      <c r="J32" s="25"/>
      <c r="K32" s="8"/>
      <c r="L32" s="8"/>
      <c r="M32" s="8"/>
    </row>
    <row r="33" spans="1:14" ht="15.75" hidden="1" customHeight="1">
      <c r="A33" s="32">
        <v>12</v>
      </c>
      <c r="B33" s="76" t="s">
        <v>124</v>
      </c>
      <c r="C33" s="77" t="s">
        <v>39</v>
      </c>
      <c r="D33" s="76" t="s">
        <v>63</v>
      </c>
      <c r="E33" s="79">
        <v>6</v>
      </c>
      <c r="F33" s="79">
        <f>E33*155/100</f>
        <v>9.3000000000000007</v>
      </c>
      <c r="G33" s="79">
        <v>1302.02</v>
      </c>
      <c r="H33" s="80">
        <f>G33*F33/1000</f>
        <v>12.108786</v>
      </c>
      <c r="I33" s="13">
        <f t="shared" si="2"/>
        <v>2018.1310000000001</v>
      </c>
      <c r="J33" s="25"/>
      <c r="K33" s="8"/>
      <c r="L33" s="8"/>
      <c r="M33" s="8"/>
    </row>
    <row r="34" spans="1:14" ht="15.75" hidden="1" customHeight="1">
      <c r="A34" s="32">
        <v>13</v>
      </c>
      <c r="B34" s="76" t="s">
        <v>108</v>
      </c>
      <c r="C34" s="77" t="s">
        <v>31</v>
      </c>
      <c r="D34" s="76" t="s">
        <v>63</v>
      </c>
      <c r="E34" s="83">
        <v>0.33333333333333331</v>
      </c>
      <c r="F34" s="79">
        <f>155/3</f>
        <v>51.666666666666664</v>
      </c>
      <c r="G34" s="79">
        <v>56.69</v>
      </c>
      <c r="H34" s="80">
        <f>SUM(G34*155/3/1000)</f>
        <v>2.9289833333333331</v>
      </c>
      <c r="I34" s="13">
        <f t="shared" si="2"/>
        <v>488.16388888888883</v>
      </c>
      <c r="J34" s="25"/>
      <c r="K34" s="8"/>
    </row>
    <row r="35" spans="1:14" ht="15.75" hidden="1" customHeight="1">
      <c r="A35" s="32"/>
      <c r="B35" s="76" t="s">
        <v>65</v>
      </c>
      <c r="C35" s="77" t="s">
        <v>33</v>
      </c>
      <c r="D35" s="76" t="s">
        <v>67</v>
      </c>
      <c r="E35" s="78"/>
      <c r="F35" s="79">
        <v>4</v>
      </c>
      <c r="G35" s="79">
        <v>180.15</v>
      </c>
      <c r="H35" s="80">
        <f t="shared" si="1"/>
        <v>0.72060000000000002</v>
      </c>
      <c r="I35" s="13">
        <v>0</v>
      </c>
      <c r="J35" s="26"/>
    </row>
    <row r="36" spans="1:14" ht="15.75" hidden="1" customHeight="1">
      <c r="A36" s="32"/>
      <c r="B36" s="76" t="s">
        <v>66</v>
      </c>
      <c r="C36" s="77" t="s">
        <v>32</v>
      </c>
      <c r="D36" s="76" t="s">
        <v>67</v>
      </c>
      <c r="E36" s="78"/>
      <c r="F36" s="79">
        <v>3</v>
      </c>
      <c r="G36" s="79">
        <v>1136.33</v>
      </c>
      <c r="H36" s="80">
        <f t="shared" si="1"/>
        <v>3.4089899999999997</v>
      </c>
      <c r="I36" s="13">
        <v>0</v>
      </c>
      <c r="J36" s="26"/>
    </row>
    <row r="37" spans="1:14" ht="15.75" customHeight="1">
      <c r="A37" s="32"/>
      <c r="B37" s="100" t="s">
        <v>5</v>
      </c>
      <c r="C37" s="77"/>
      <c r="D37" s="76"/>
      <c r="E37" s="78"/>
      <c r="F37" s="79"/>
      <c r="G37" s="79"/>
      <c r="H37" s="80" t="s">
        <v>152</v>
      </c>
      <c r="I37" s="13"/>
      <c r="J37" s="26"/>
    </row>
    <row r="38" spans="1:14" ht="15.75" customHeight="1">
      <c r="A38" s="32">
        <v>10</v>
      </c>
      <c r="B38" s="76" t="s">
        <v>26</v>
      </c>
      <c r="C38" s="77" t="s">
        <v>32</v>
      </c>
      <c r="D38" s="76"/>
      <c r="E38" s="78"/>
      <c r="F38" s="79">
        <v>10</v>
      </c>
      <c r="G38" s="79">
        <v>1527.22</v>
      </c>
      <c r="H38" s="80">
        <f t="shared" ref="H38:H45" si="3">SUM(F38*G38/1000)</f>
        <v>15.272200000000002</v>
      </c>
      <c r="I38" s="13">
        <f>F38/6*G38</f>
        <v>2545.3666666666668</v>
      </c>
      <c r="J38" s="26"/>
    </row>
    <row r="39" spans="1:14" ht="15.75" customHeight="1">
      <c r="A39" s="32">
        <v>11</v>
      </c>
      <c r="B39" s="76" t="s">
        <v>126</v>
      </c>
      <c r="C39" s="77" t="s">
        <v>33</v>
      </c>
      <c r="D39" s="76"/>
      <c r="E39" s="78"/>
      <c r="F39" s="79">
        <v>10</v>
      </c>
      <c r="G39" s="79">
        <v>77.94</v>
      </c>
      <c r="H39" s="80">
        <f>G39*F39/1000</f>
        <v>0.77939999999999998</v>
      </c>
      <c r="I39" s="13">
        <f>F39/6*G39</f>
        <v>129.9</v>
      </c>
      <c r="J39" s="26"/>
      <c r="L39" s="19"/>
      <c r="M39" s="20"/>
      <c r="N39" s="21"/>
    </row>
    <row r="40" spans="1:14" ht="15.75" customHeight="1">
      <c r="A40" s="32">
        <v>12</v>
      </c>
      <c r="B40" s="76" t="s">
        <v>110</v>
      </c>
      <c r="C40" s="77" t="s">
        <v>29</v>
      </c>
      <c r="D40" s="76" t="s">
        <v>127</v>
      </c>
      <c r="E40" s="78">
        <v>1039.2</v>
      </c>
      <c r="F40" s="79">
        <f>E40*25/1000</f>
        <v>25.98</v>
      </c>
      <c r="G40" s="79">
        <v>2102.71</v>
      </c>
      <c r="H40" s="80">
        <f>G40*F40/1000</f>
        <v>54.628405800000003</v>
      </c>
      <c r="I40" s="13">
        <f>F40/6*G40</f>
        <v>9104.7343000000001</v>
      </c>
      <c r="J40" s="26"/>
      <c r="L40" s="19"/>
      <c r="M40" s="20"/>
      <c r="N40" s="21"/>
    </row>
    <row r="41" spans="1:14" ht="15.75" hidden="1" customHeight="1">
      <c r="A41" s="32"/>
      <c r="B41" s="76" t="s">
        <v>128</v>
      </c>
      <c r="C41" s="77" t="s">
        <v>129</v>
      </c>
      <c r="D41" s="76" t="s">
        <v>67</v>
      </c>
      <c r="E41" s="78"/>
      <c r="F41" s="79">
        <v>50</v>
      </c>
      <c r="G41" s="79">
        <v>213.2</v>
      </c>
      <c r="H41" s="80">
        <f>G41*F41/1000</f>
        <v>10.66</v>
      </c>
      <c r="I41" s="13">
        <v>0</v>
      </c>
      <c r="J41" s="26"/>
      <c r="L41" s="19"/>
      <c r="M41" s="20"/>
      <c r="N41" s="21"/>
    </row>
    <row r="42" spans="1:14" ht="15.75" customHeight="1">
      <c r="A42" s="32">
        <v>13</v>
      </c>
      <c r="B42" s="76" t="s">
        <v>68</v>
      </c>
      <c r="C42" s="77" t="s">
        <v>29</v>
      </c>
      <c r="D42" s="76" t="s">
        <v>91</v>
      </c>
      <c r="E42" s="79">
        <v>153</v>
      </c>
      <c r="F42" s="79">
        <f>SUM(E42*155/1000)</f>
        <v>23.715</v>
      </c>
      <c r="G42" s="79">
        <v>350.75</v>
      </c>
      <c r="H42" s="80">
        <f t="shared" si="3"/>
        <v>8.3180362499999987</v>
      </c>
      <c r="I42" s="13">
        <f>F42/6*G42</f>
        <v>1386.339375</v>
      </c>
      <c r="J42" s="26"/>
      <c r="L42" s="19"/>
      <c r="M42" s="20"/>
      <c r="N42" s="21"/>
    </row>
    <row r="43" spans="1:14" ht="47.25" customHeight="1">
      <c r="A43" s="32">
        <v>14</v>
      </c>
      <c r="B43" s="76" t="s">
        <v>84</v>
      </c>
      <c r="C43" s="77" t="s">
        <v>92</v>
      </c>
      <c r="D43" s="76" t="s">
        <v>130</v>
      </c>
      <c r="E43" s="79">
        <v>24</v>
      </c>
      <c r="F43" s="79">
        <f>SUM(E43*50/1000)</f>
        <v>1.2</v>
      </c>
      <c r="G43" s="79">
        <v>5803.28</v>
      </c>
      <c r="H43" s="80">
        <f t="shared" si="3"/>
        <v>6.9639359999999995</v>
      </c>
      <c r="I43" s="13">
        <f>F43/6*G43</f>
        <v>1160.6559999999999</v>
      </c>
      <c r="J43" s="26"/>
      <c r="L43" s="19"/>
      <c r="M43" s="20"/>
      <c r="N43" s="21"/>
    </row>
    <row r="44" spans="1:14" ht="15.75" hidden="1" customHeight="1">
      <c r="A44" s="32">
        <v>15</v>
      </c>
      <c r="B44" s="76" t="s">
        <v>93</v>
      </c>
      <c r="C44" s="77" t="s">
        <v>92</v>
      </c>
      <c r="D44" s="76" t="s">
        <v>69</v>
      </c>
      <c r="E44" s="79">
        <v>153</v>
      </c>
      <c r="F44" s="79">
        <f>SUM(E44*45/1000)</f>
        <v>6.8849999999999998</v>
      </c>
      <c r="G44" s="79">
        <v>428.7</v>
      </c>
      <c r="H44" s="80">
        <f t="shared" si="3"/>
        <v>2.9515994999999999</v>
      </c>
      <c r="I44" s="13">
        <f>F44/6*G44</f>
        <v>491.93324999999999</v>
      </c>
      <c r="J44" s="26"/>
      <c r="L44" s="19"/>
      <c r="M44" s="20"/>
      <c r="N44" s="21"/>
    </row>
    <row r="45" spans="1:14" ht="15.75" customHeight="1">
      <c r="A45" s="32">
        <v>15</v>
      </c>
      <c r="B45" s="76" t="s">
        <v>70</v>
      </c>
      <c r="C45" s="77" t="s">
        <v>33</v>
      </c>
      <c r="D45" s="76"/>
      <c r="E45" s="78"/>
      <c r="F45" s="79">
        <v>0.9</v>
      </c>
      <c r="G45" s="79">
        <v>798</v>
      </c>
      <c r="H45" s="80">
        <f t="shared" si="3"/>
        <v>0.71820000000000006</v>
      </c>
      <c r="I45" s="13">
        <f>F45/6*G45</f>
        <v>119.69999999999999</v>
      </c>
      <c r="J45" s="26"/>
      <c r="L45" s="19"/>
      <c r="M45" s="20"/>
      <c r="N45" s="21"/>
    </row>
    <row r="46" spans="1:14" ht="15" customHeight="1">
      <c r="A46" s="139" t="s">
        <v>148</v>
      </c>
      <c r="B46" s="140"/>
      <c r="C46" s="140"/>
      <c r="D46" s="140"/>
      <c r="E46" s="140"/>
      <c r="F46" s="140"/>
      <c r="G46" s="140"/>
      <c r="H46" s="140"/>
      <c r="I46" s="141"/>
      <c r="J46" s="26"/>
      <c r="L46" s="19"/>
      <c r="M46" s="20"/>
      <c r="N46" s="21"/>
    </row>
    <row r="47" spans="1:14" ht="15.75" hidden="1" customHeight="1">
      <c r="A47" s="32"/>
      <c r="B47" s="76" t="s">
        <v>131</v>
      </c>
      <c r="C47" s="77" t="s">
        <v>92</v>
      </c>
      <c r="D47" s="76" t="s">
        <v>42</v>
      </c>
      <c r="E47" s="78">
        <v>1895</v>
      </c>
      <c r="F47" s="79">
        <f>SUM(E47*2/1000)</f>
        <v>3.79</v>
      </c>
      <c r="G47" s="13">
        <v>849.49</v>
      </c>
      <c r="H47" s="80">
        <f t="shared" ref="H47:H55" si="4">SUM(F47*G47/1000)</f>
        <v>3.2195671000000003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76" t="s">
        <v>34</v>
      </c>
      <c r="C48" s="77" t="s">
        <v>92</v>
      </c>
      <c r="D48" s="76" t="s">
        <v>42</v>
      </c>
      <c r="E48" s="78">
        <v>118.2</v>
      </c>
      <c r="F48" s="79">
        <f>E48*2/1000</f>
        <v>0.2364</v>
      </c>
      <c r="G48" s="13">
        <v>579.48</v>
      </c>
      <c r="H48" s="80">
        <f t="shared" si="4"/>
        <v>0.13698907199999999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76" t="s">
        <v>35</v>
      </c>
      <c r="C49" s="77" t="s">
        <v>92</v>
      </c>
      <c r="D49" s="76" t="s">
        <v>42</v>
      </c>
      <c r="E49" s="78">
        <v>4675</v>
      </c>
      <c r="F49" s="79">
        <f>SUM(E49*2/1000)</f>
        <v>9.35</v>
      </c>
      <c r="G49" s="13">
        <v>579.48</v>
      </c>
      <c r="H49" s="80">
        <f t="shared" si="4"/>
        <v>5.4181379999999999</v>
      </c>
      <c r="I49" s="13">
        <v>0</v>
      </c>
      <c r="J49" s="26"/>
      <c r="L49" s="19"/>
      <c r="M49" s="20"/>
      <c r="N49" s="21"/>
    </row>
    <row r="50" spans="1:22" ht="15.75" hidden="1" customHeight="1">
      <c r="A50" s="32"/>
      <c r="B50" s="76" t="s">
        <v>36</v>
      </c>
      <c r="C50" s="77" t="s">
        <v>92</v>
      </c>
      <c r="D50" s="76" t="s">
        <v>42</v>
      </c>
      <c r="E50" s="78">
        <v>4675</v>
      </c>
      <c r="F50" s="79">
        <f>SUM(E50*2/1000)</f>
        <v>9.35</v>
      </c>
      <c r="G50" s="13">
        <v>606.77</v>
      </c>
      <c r="H50" s="80">
        <f t="shared" si="4"/>
        <v>5.6732994999999988</v>
      </c>
      <c r="I50" s="13">
        <v>0</v>
      </c>
      <c r="J50" s="26"/>
      <c r="L50" s="19"/>
      <c r="M50" s="20"/>
      <c r="N50" s="21"/>
    </row>
    <row r="51" spans="1:22" ht="15.75" customHeight="1">
      <c r="A51" s="32">
        <v>16</v>
      </c>
      <c r="B51" s="76" t="s">
        <v>56</v>
      </c>
      <c r="C51" s="77" t="s">
        <v>92</v>
      </c>
      <c r="D51" s="76" t="s">
        <v>169</v>
      </c>
      <c r="E51" s="78">
        <v>3988</v>
      </c>
      <c r="F51" s="79">
        <f>SUM(E51*5/1000)</f>
        <v>19.940000000000001</v>
      </c>
      <c r="G51" s="13">
        <v>1142.7</v>
      </c>
      <c r="H51" s="80">
        <f t="shared" si="4"/>
        <v>22.785438000000003</v>
      </c>
      <c r="I51" s="13">
        <f>F51/5*G51</f>
        <v>4557.0876000000007</v>
      </c>
      <c r="J51" s="26"/>
      <c r="L51" s="19"/>
      <c r="M51" s="20"/>
      <c r="N51" s="21"/>
    </row>
    <row r="52" spans="1:22" ht="31.5" hidden="1" customHeight="1">
      <c r="A52" s="32"/>
      <c r="B52" s="76" t="s">
        <v>94</v>
      </c>
      <c r="C52" s="77" t="s">
        <v>92</v>
      </c>
      <c r="D52" s="76" t="s">
        <v>42</v>
      </c>
      <c r="E52" s="78">
        <v>3988</v>
      </c>
      <c r="F52" s="79">
        <f>SUM(E52*2/1000)</f>
        <v>7.976</v>
      </c>
      <c r="G52" s="13">
        <v>1213.55</v>
      </c>
      <c r="H52" s="80">
        <f t="shared" si="4"/>
        <v>9.6792748</v>
      </c>
      <c r="I52" s="13">
        <v>0</v>
      </c>
      <c r="J52" s="26"/>
      <c r="L52" s="19"/>
      <c r="M52" s="20"/>
      <c r="N52" s="21"/>
    </row>
    <row r="53" spans="1:22" ht="31.5" hidden="1" customHeight="1">
      <c r="A53" s="32"/>
      <c r="B53" s="76" t="s">
        <v>95</v>
      </c>
      <c r="C53" s="77" t="s">
        <v>37</v>
      </c>
      <c r="D53" s="76" t="s">
        <v>42</v>
      </c>
      <c r="E53" s="78">
        <v>30</v>
      </c>
      <c r="F53" s="79">
        <f>SUM(E53*2/100)</f>
        <v>0.6</v>
      </c>
      <c r="G53" s="13">
        <v>2730.49</v>
      </c>
      <c r="H53" s="80">
        <f>SUM(F53*G53/1000)</f>
        <v>1.6382939999999999</v>
      </c>
      <c r="I53" s="13">
        <v>0</v>
      </c>
      <c r="J53" s="26"/>
      <c r="L53" s="19"/>
      <c r="M53" s="20"/>
      <c r="N53" s="21"/>
    </row>
    <row r="54" spans="1:22" ht="15.75" hidden="1" customHeight="1">
      <c r="A54" s="32"/>
      <c r="B54" s="76" t="s">
        <v>38</v>
      </c>
      <c r="C54" s="77" t="s">
        <v>39</v>
      </c>
      <c r="D54" s="76" t="s">
        <v>42</v>
      </c>
      <c r="E54" s="78">
        <v>1</v>
      </c>
      <c r="F54" s="79">
        <v>0.02</v>
      </c>
      <c r="G54" s="13">
        <v>5652.13</v>
      </c>
      <c r="H54" s="80">
        <f t="shared" si="4"/>
        <v>0.11304260000000001</v>
      </c>
      <c r="I54" s="13">
        <v>0</v>
      </c>
      <c r="J54" s="26"/>
      <c r="L54" s="19"/>
      <c r="M54" s="20"/>
      <c r="N54" s="21"/>
    </row>
    <row r="55" spans="1:22" ht="15.75" hidden="1" customHeight="1">
      <c r="A55" s="32">
        <v>18</v>
      </c>
      <c r="B55" s="76" t="s">
        <v>41</v>
      </c>
      <c r="C55" s="77" t="s">
        <v>111</v>
      </c>
      <c r="D55" s="76" t="s">
        <v>71</v>
      </c>
      <c r="E55" s="78">
        <v>236</v>
      </c>
      <c r="F55" s="79">
        <f>SUM(E55)*3</f>
        <v>708</v>
      </c>
      <c r="G55" s="13">
        <v>65.67</v>
      </c>
      <c r="H55" s="80">
        <f t="shared" si="4"/>
        <v>46.49436</v>
      </c>
      <c r="I55" s="13">
        <f>E55*G55</f>
        <v>15498.12</v>
      </c>
      <c r="J55" s="26"/>
      <c r="L55" s="19"/>
      <c r="M55" s="20"/>
      <c r="N55" s="21"/>
    </row>
    <row r="56" spans="1:22" ht="15.75" customHeight="1">
      <c r="A56" s="139" t="s">
        <v>149</v>
      </c>
      <c r="B56" s="140"/>
      <c r="C56" s="140"/>
      <c r="D56" s="140"/>
      <c r="E56" s="140"/>
      <c r="F56" s="140"/>
      <c r="G56" s="140"/>
      <c r="H56" s="140"/>
      <c r="I56" s="141"/>
      <c r="J56" s="26"/>
      <c r="L56" s="19"/>
      <c r="M56" s="20"/>
      <c r="N56" s="21"/>
    </row>
    <row r="57" spans="1:22" ht="15.75" customHeight="1">
      <c r="A57" s="32"/>
      <c r="B57" s="100" t="s">
        <v>43</v>
      </c>
      <c r="C57" s="77"/>
      <c r="D57" s="76"/>
      <c r="E57" s="78"/>
      <c r="F57" s="79"/>
      <c r="G57" s="79"/>
      <c r="H57" s="80"/>
      <c r="I57" s="13"/>
      <c r="J57" s="26"/>
      <c r="L57" s="19"/>
      <c r="M57" s="20"/>
      <c r="N57" s="21"/>
    </row>
    <row r="58" spans="1:22" ht="31.5" customHeight="1">
      <c r="A58" s="32">
        <v>17</v>
      </c>
      <c r="B58" s="76" t="s">
        <v>132</v>
      </c>
      <c r="C58" s="77" t="s">
        <v>90</v>
      </c>
      <c r="D58" s="76" t="s">
        <v>112</v>
      </c>
      <c r="E58" s="78">
        <v>30</v>
      </c>
      <c r="F58" s="79">
        <f>SUM(E58*6/100)</f>
        <v>1.8</v>
      </c>
      <c r="G58" s="13">
        <v>1547.28</v>
      </c>
      <c r="H58" s="80">
        <f>SUM(F58*G58/1000)</f>
        <v>2.785104</v>
      </c>
      <c r="I58" s="13">
        <f>F58/6*G58</f>
        <v>464.18399999999997</v>
      </c>
      <c r="J58" s="26"/>
      <c r="L58" s="19"/>
    </row>
    <row r="59" spans="1:22" ht="15.75" customHeight="1">
      <c r="A59" s="32">
        <v>18</v>
      </c>
      <c r="B59" s="85" t="s">
        <v>133</v>
      </c>
      <c r="C59" s="86" t="s">
        <v>134</v>
      </c>
      <c r="D59" s="85" t="s">
        <v>42</v>
      </c>
      <c r="E59" s="87">
        <v>6</v>
      </c>
      <c r="F59" s="88">
        <v>12</v>
      </c>
      <c r="G59" s="13">
        <v>180.78</v>
      </c>
      <c r="H59" s="89">
        <f>G59*F59/1000</f>
        <v>2.1693600000000002</v>
      </c>
      <c r="I59" s="13">
        <f>F59/2*G59</f>
        <v>1084.68</v>
      </c>
    </row>
    <row r="60" spans="1:22" ht="15.75" hidden="1" customHeight="1">
      <c r="A60" s="32">
        <v>21</v>
      </c>
      <c r="B60" s="85" t="s">
        <v>135</v>
      </c>
      <c r="C60" s="86" t="s">
        <v>52</v>
      </c>
      <c r="D60" s="85" t="s">
        <v>40</v>
      </c>
      <c r="E60" s="87">
        <v>6</v>
      </c>
      <c r="F60" s="88">
        <f>E60*4/100</f>
        <v>0.24</v>
      </c>
      <c r="G60" s="13">
        <v>1547.28</v>
      </c>
      <c r="H60" s="89">
        <f>G60*F60/1000</f>
        <v>0.37134719999999999</v>
      </c>
      <c r="I60" s="13">
        <f>F60/4*G60</f>
        <v>92.836799999999997</v>
      </c>
    </row>
    <row r="61" spans="1:22" ht="15.75" customHeight="1">
      <c r="A61" s="32"/>
      <c r="B61" s="101" t="s">
        <v>44</v>
      </c>
      <c r="C61" s="86"/>
      <c r="D61" s="85"/>
      <c r="E61" s="87"/>
      <c r="F61" s="88"/>
      <c r="G61" s="13"/>
      <c r="H61" s="89"/>
      <c r="I61" s="13"/>
    </row>
    <row r="62" spans="1:22" ht="15.75" hidden="1" customHeight="1">
      <c r="A62" s="32">
        <v>22</v>
      </c>
      <c r="B62" s="85" t="s">
        <v>136</v>
      </c>
      <c r="C62" s="86" t="s">
        <v>52</v>
      </c>
      <c r="D62" s="85" t="s">
        <v>53</v>
      </c>
      <c r="E62" s="87">
        <v>997</v>
      </c>
      <c r="F62" s="88">
        <v>9.9700000000000006</v>
      </c>
      <c r="G62" s="13">
        <v>793.61</v>
      </c>
      <c r="H62" s="89">
        <f>F62*G62/1000</f>
        <v>7.9122917000000008</v>
      </c>
      <c r="I62" s="13">
        <f>G62*F62</f>
        <v>7912.2917000000007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customHeight="1">
      <c r="A63" s="32">
        <v>19</v>
      </c>
      <c r="B63" s="85" t="s">
        <v>137</v>
      </c>
      <c r="C63" s="86" t="s">
        <v>25</v>
      </c>
      <c r="D63" s="85" t="s">
        <v>30</v>
      </c>
      <c r="E63" s="87">
        <v>394</v>
      </c>
      <c r="F63" s="90">
        <f>E63*12</f>
        <v>4728</v>
      </c>
      <c r="G63" s="71">
        <v>2.6</v>
      </c>
      <c r="H63" s="88">
        <f>F63*G63/1000</f>
        <v>12.292800000000002</v>
      </c>
      <c r="I63" s="13">
        <f>F63/12*G63</f>
        <v>1024.4000000000001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2"/>
      <c r="B64" s="101" t="s">
        <v>45</v>
      </c>
      <c r="C64" s="86"/>
      <c r="D64" s="85"/>
      <c r="E64" s="87"/>
      <c r="F64" s="90"/>
      <c r="G64" s="90"/>
      <c r="H64" s="88" t="s">
        <v>152</v>
      </c>
      <c r="I64" s="13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32">
        <v>20</v>
      </c>
      <c r="B65" s="14" t="s">
        <v>46</v>
      </c>
      <c r="C65" s="16" t="s">
        <v>111</v>
      </c>
      <c r="D65" s="76" t="s">
        <v>67</v>
      </c>
      <c r="E65" s="18">
        <v>15</v>
      </c>
      <c r="F65" s="79">
        <v>15</v>
      </c>
      <c r="G65" s="13">
        <v>222.4</v>
      </c>
      <c r="H65" s="91">
        <f t="shared" ref="H65:H78" si="5">SUM(F65*G65/1000)</f>
        <v>3.3359999999999999</v>
      </c>
      <c r="I65" s="13">
        <f>G65</f>
        <v>222.4</v>
      </c>
      <c r="J65" s="5"/>
      <c r="K65" s="5"/>
      <c r="L65" s="5"/>
      <c r="M65" s="5"/>
      <c r="N65" s="5"/>
      <c r="O65" s="5"/>
      <c r="P65" s="5"/>
      <c r="Q65" s="5"/>
      <c r="R65" s="123"/>
      <c r="S65" s="123"/>
      <c r="T65" s="123"/>
      <c r="U65" s="123"/>
    </row>
    <row r="66" spans="1:21" ht="15.75" hidden="1" customHeight="1">
      <c r="A66" s="32">
        <v>25</v>
      </c>
      <c r="B66" s="14" t="s">
        <v>47</v>
      </c>
      <c r="C66" s="16" t="s">
        <v>111</v>
      </c>
      <c r="D66" s="76" t="s">
        <v>67</v>
      </c>
      <c r="E66" s="18">
        <v>10</v>
      </c>
      <c r="F66" s="79">
        <v>10</v>
      </c>
      <c r="G66" s="13">
        <v>76.25</v>
      </c>
      <c r="H66" s="91">
        <f t="shared" si="5"/>
        <v>0.76249999999999996</v>
      </c>
      <c r="I66" s="13">
        <f>G66</f>
        <v>76.25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48</v>
      </c>
      <c r="C67" s="16" t="s">
        <v>113</v>
      </c>
      <c r="D67" s="14" t="s">
        <v>53</v>
      </c>
      <c r="E67" s="78">
        <v>28608</v>
      </c>
      <c r="F67" s="13">
        <f>SUM(E67/100)</f>
        <v>286.08</v>
      </c>
      <c r="G67" s="13">
        <v>199.77</v>
      </c>
      <c r="H67" s="91">
        <f t="shared" si="5"/>
        <v>57.150201600000003</v>
      </c>
      <c r="I67" s="13">
        <f>F67*G67</f>
        <v>57150.2016</v>
      </c>
    </row>
    <row r="68" spans="1:21" ht="15.75" hidden="1" customHeight="1">
      <c r="A68" s="32"/>
      <c r="B68" s="14" t="s">
        <v>49</v>
      </c>
      <c r="C68" s="16" t="s">
        <v>114</v>
      </c>
      <c r="D68" s="14"/>
      <c r="E68" s="78">
        <v>28608</v>
      </c>
      <c r="F68" s="13">
        <f>SUM(E68/1000)</f>
        <v>28.608000000000001</v>
      </c>
      <c r="G68" s="13">
        <v>155.57</v>
      </c>
      <c r="H68" s="91">
        <f t="shared" si="5"/>
        <v>4.4505465599999994</v>
      </c>
      <c r="I68" s="13">
        <f t="shared" ref="I68:I72" si="6">F68*G68</f>
        <v>4450.5465599999998</v>
      </c>
    </row>
    <row r="69" spans="1:21" ht="15.75" hidden="1" customHeight="1">
      <c r="A69" s="32"/>
      <c r="B69" s="14" t="s">
        <v>50</v>
      </c>
      <c r="C69" s="16" t="s">
        <v>77</v>
      </c>
      <c r="D69" s="14" t="s">
        <v>53</v>
      </c>
      <c r="E69" s="78">
        <v>4550</v>
      </c>
      <c r="F69" s="13">
        <f>SUM(E69/100)</f>
        <v>45.5</v>
      </c>
      <c r="G69" s="13">
        <v>2074.63</v>
      </c>
      <c r="H69" s="91">
        <f t="shared" si="5"/>
        <v>94.395665000000008</v>
      </c>
      <c r="I69" s="13">
        <f t="shared" si="6"/>
        <v>94395.665000000008</v>
      </c>
    </row>
    <row r="70" spans="1:21" ht="15.75" hidden="1" customHeight="1">
      <c r="A70" s="32"/>
      <c r="B70" s="92" t="s">
        <v>115</v>
      </c>
      <c r="C70" s="16" t="s">
        <v>33</v>
      </c>
      <c r="D70" s="14"/>
      <c r="E70" s="78">
        <v>58.5</v>
      </c>
      <c r="F70" s="13">
        <f>SUM(E70)</f>
        <v>58.5</v>
      </c>
      <c r="G70" s="13">
        <v>45.32</v>
      </c>
      <c r="H70" s="91">
        <f t="shared" si="5"/>
        <v>2.6512199999999999</v>
      </c>
      <c r="I70" s="13">
        <f t="shared" si="6"/>
        <v>2651.22</v>
      </c>
    </row>
    <row r="71" spans="1:21" ht="15.75" hidden="1" customHeight="1">
      <c r="A71" s="32"/>
      <c r="B71" s="92" t="s">
        <v>116</v>
      </c>
      <c r="C71" s="16" t="s">
        <v>33</v>
      </c>
      <c r="D71" s="14"/>
      <c r="E71" s="78">
        <v>58.5</v>
      </c>
      <c r="F71" s="13">
        <f>SUM(E71)</f>
        <v>58.5</v>
      </c>
      <c r="G71" s="13">
        <v>42.28</v>
      </c>
      <c r="H71" s="91">
        <f t="shared" si="5"/>
        <v>2.4733800000000001</v>
      </c>
      <c r="I71" s="13">
        <f t="shared" si="6"/>
        <v>2473.38</v>
      </c>
    </row>
    <row r="72" spans="1:21" ht="15.75" hidden="1" customHeight="1">
      <c r="A72" s="32"/>
      <c r="B72" s="14" t="s">
        <v>57</v>
      </c>
      <c r="C72" s="16" t="s">
        <v>58</v>
      </c>
      <c r="D72" s="14" t="s">
        <v>53</v>
      </c>
      <c r="E72" s="18">
        <v>5</v>
      </c>
      <c r="F72" s="79">
        <v>5</v>
      </c>
      <c r="G72" s="13">
        <v>49.88</v>
      </c>
      <c r="H72" s="91">
        <f t="shared" si="5"/>
        <v>0.24940000000000001</v>
      </c>
      <c r="I72" s="13">
        <f t="shared" si="6"/>
        <v>249.4</v>
      </c>
    </row>
    <row r="73" spans="1:21" ht="15.75" hidden="1" customHeight="1">
      <c r="A73" s="32"/>
      <c r="B73" s="58" t="s">
        <v>72</v>
      </c>
      <c r="C73" s="16"/>
      <c r="D73" s="14"/>
      <c r="E73" s="18"/>
      <c r="F73" s="13"/>
      <c r="G73" s="13"/>
      <c r="H73" s="91" t="s">
        <v>152</v>
      </c>
      <c r="I73" s="13"/>
    </row>
    <row r="74" spans="1:21" ht="15.75" hidden="1" customHeight="1">
      <c r="A74" s="32"/>
      <c r="B74" s="14" t="s">
        <v>73</v>
      </c>
      <c r="C74" s="16" t="s">
        <v>75</v>
      </c>
      <c r="D74" s="14"/>
      <c r="E74" s="18">
        <v>10</v>
      </c>
      <c r="F74" s="13">
        <v>1</v>
      </c>
      <c r="G74" s="13">
        <v>501.62</v>
      </c>
      <c r="H74" s="91">
        <f t="shared" si="5"/>
        <v>0.50161999999999995</v>
      </c>
      <c r="I74" s="13">
        <v>0</v>
      </c>
    </row>
    <row r="75" spans="1:21" ht="15.75" hidden="1" customHeight="1">
      <c r="A75" s="32"/>
      <c r="B75" s="14" t="s">
        <v>74</v>
      </c>
      <c r="C75" s="16" t="s">
        <v>31</v>
      </c>
      <c r="D75" s="14"/>
      <c r="E75" s="18">
        <v>3</v>
      </c>
      <c r="F75" s="71">
        <v>3</v>
      </c>
      <c r="G75" s="13">
        <v>852.99</v>
      </c>
      <c r="H75" s="91">
        <f>F75*G75/1000</f>
        <v>2.5589700000000004</v>
      </c>
      <c r="I75" s="13">
        <v>0</v>
      </c>
    </row>
    <row r="76" spans="1:21" ht="15.75" hidden="1" customHeight="1">
      <c r="A76" s="32"/>
      <c r="B76" s="14" t="s">
        <v>118</v>
      </c>
      <c r="C76" s="16" t="s">
        <v>31</v>
      </c>
      <c r="D76" s="14"/>
      <c r="E76" s="18">
        <v>1</v>
      </c>
      <c r="F76" s="13">
        <v>1</v>
      </c>
      <c r="G76" s="13">
        <v>358.51</v>
      </c>
      <c r="H76" s="91">
        <f>G76*F76/1000</f>
        <v>0.35851</v>
      </c>
      <c r="I76" s="13">
        <v>0</v>
      </c>
    </row>
    <row r="77" spans="1:21" ht="15.75" hidden="1" customHeight="1">
      <c r="A77" s="32"/>
      <c r="B77" s="94" t="s">
        <v>76</v>
      </c>
      <c r="C77" s="16"/>
      <c r="D77" s="14"/>
      <c r="E77" s="18"/>
      <c r="F77" s="13"/>
      <c r="G77" s="13" t="s">
        <v>152</v>
      </c>
      <c r="H77" s="91" t="s">
        <v>152</v>
      </c>
      <c r="I77" s="13"/>
    </row>
    <row r="78" spans="1:21" ht="15.75" hidden="1" customHeight="1">
      <c r="A78" s="32"/>
      <c r="B78" s="47" t="s">
        <v>170</v>
      </c>
      <c r="C78" s="16" t="s">
        <v>77</v>
      </c>
      <c r="D78" s="14"/>
      <c r="E78" s="18"/>
      <c r="F78" s="13">
        <v>1.2</v>
      </c>
      <c r="G78" s="13">
        <v>2759.44</v>
      </c>
      <c r="H78" s="91">
        <f t="shared" si="5"/>
        <v>3.311328</v>
      </c>
      <c r="I78" s="13">
        <v>0</v>
      </c>
    </row>
    <row r="79" spans="1:21" ht="15.75" hidden="1" customHeight="1">
      <c r="A79" s="32"/>
      <c r="B79" s="70" t="s">
        <v>96</v>
      </c>
      <c r="C79" s="70"/>
      <c r="D79" s="70"/>
      <c r="E79" s="70"/>
      <c r="F79" s="70"/>
      <c r="G79" s="82"/>
      <c r="H79" s="95">
        <f>SUM(H58:H78)</f>
        <v>197.73024405999999</v>
      </c>
      <c r="I79" s="82"/>
    </row>
    <row r="80" spans="1:21" ht="15.75" hidden="1" customHeight="1">
      <c r="A80" s="32"/>
      <c r="B80" s="102" t="s">
        <v>117</v>
      </c>
      <c r="C80" s="23"/>
      <c r="D80" s="22"/>
      <c r="E80" s="72"/>
      <c r="F80" s="103">
        <v>1</v>
      </c>
      <c r="G80" s="13">
        <v>23072.1</v>
      </c>
      <c r="H80" s="91">
        <f>G80*F80/1000</f>
        <v>23.072099999999999</v>
      </c>
      <c r="I80" s="13">
        <v>0</v>
      </c>
    </row>
    <row r="81" spans="1:9" ht="15.75" customHeight="1">
      <c r="A81" s="124" t="s">
        <v>150</v>
      </c>
      <c r="B81" s="125"/>
      <c r="C81" s="125"/>
      <c r="D81" s="125"/>
      <c r="E81" s="125"/>
      <c r="F81" s="125"/>
      <c r="G81" s="125"/>
      <c r="H81" s="125"/>
      <c r="I81" s="126"/>
    </row>
    <row r="82" spans="1:9" ht="15.75" customHeight="1">
      <c r="A82" s="32">
        <v>21</v>
      </c>
      <c r="B82" s="76" t="s">
        <v>119</v>
      </c>
      <c r="C82" s="16" t="s">
        <v>54</v>
      </c>
      <c r="D82" s="51" t="s">
        <v>55</v>
      </c>
      <c r="E82" s="13">
        <v>6980.3</v>
      </c>
      <c r="F82" s="13">
        <f>SUM(E82*12)</f>
        <v>83763.600000000006</v>
      </c>
      <c r="G82" s="13">
        <v>2.1</v>
      </c>
      <c r="H82" s="91">
        <f>SUM(F82*G82/1000)</f>
        <v>175.90356000000003</v>
      </c>
      <c r="I82" s="13">
        <f>F82/12*G82</f>
        <v>14658.630000000001</v>
      </c>
    </row>
    <row r="83" spans="1:9" ht="31.5" customHeight="1">
      <c r="A83" s="32">
        <v>22</v>
      </c>
      <c r="B83" s="14" t="s">
        <v>78</v>
      </c>
      <c r="C83" s="16"/>
      <c r="D83" s="51" t="s">
        <v>55</v>
      </c>
      <c r="E83" s="78">
        <f>E82</f>
        <v>6980.3</v>
      </c>
      <c r="F83" s="13">
        <f>E83*12</f>
        <v>83763.600000000006</v>
      </c>
      <c r="G83" s="13">
        <v>1.63</v>
      </c>
      <c r="H83" s="91">
        <f>F83*G83/1000</f>
        <v>136.53466800000001</v>
      </c>
      <c r="I83" s="13">
        <f>F83/12*G83</f>
        <v>11377.888999999999</v>
      </c>
    </row>
    <row r="84" spans="1:9" ht="15.75" customHeight="1">
      <c r="A84" s="32"/>
      <c r="B84" s="40" t="s">
        <v>81</v>
      </c>
      <c r="C84" s="94"/>
      <c r="D84" s="93"/>
      <c r="E84" s="82"/>
      <c r="F84" s="82"/>
      <c r="G84" s="82"/>
      <c r="H84" s="95">
        <f>H83</f>
        <v>136.53466800000001</v>
      </c>
      <c r="I84" s="82">
        <f>I16+I17+I18+I20+I21+I24+I25+I26+I27+I38+I39+I40+I42+I43+I45+I51+I58+I59+I63+I65+I82+I83</f>
        <v>107132.16492766664</v>
      </c>
    </row>
    <row r="85" spans="1:9" ht="15.75" customHeight="1">
      <c r="A85" s="135" t="s">
        <v>60</v>
      </c>
      <c r="B85" s="136"/>
      <c r="C85" s="136"/>
      <c r="D85" s="136"/>
      <c r="E85" s="136"/>
      <c r="F85" s="136"/>
      <c r="G85" s="136"/>
      <c r="H85" s="136"/>
      <c r="I85" s="137"/>
    </row>
    <row r="86" spans="1:9" ht="15.75" customHeight="1">
      <c r="A86" s="32">
        <v>23</v>
      </c>
      <c r="B86" s="50" t="s">
        <v>143</v>
      </c>
      <c r="C86" s="62" t="s">
        <v>85</v>
      </c>
      <c r="D86" s="14"/>
      <c r="E86" s="18"/>
      <c r="F86" s="13">
        <v>8</v>
      </c>
      <c r="G86" s="13">
        <v>195.85</v>
      </c>
      <c r="H86" s="91">
        <f>G86*F86/1000</f>
        <v>1.5668</v>
      </c>
      <c r="I86" s="13">
        <f>G86</f>
        <v>195.85</v>
      </c>
    </row>
    <row r="87" spans="1:9" ht="31.5" customHeight="1">
      <c r="A87" s="32">
        <v>24</v>
      </c>
      <c r="B87" s="50" t="s">
        <v>187</v>
      </c>
      <c r="C87" s="62" t="s">
        <v>156</v>
      </c>
      <c r="D87" s="14"/>
      <c r="E87" s="18"/>
      <c r="F87" s="13">
        <v>1</v>
      </c>
      <c r="G87" s="13">
        <v>666.24</v>
      </c>
      <c r="H87" s="91">
        <f t="shared" ref="H87:H94" si="7">G87*F87/1000</f>
        <v>0.66624000000000005</v>
      </c>
      <c r="I87" s="13">
        <f>G87</f>
        <v>666.24</v>
      </c>
    </row>
    <row r="88" spans="1:9" ht="15.75" customHeight="1">
      <c r="A88" s="32">
        <v>25</v>
      </c>
      <c r="B88" s="50" t="s">
        <v>188</v>
      </c>
      <c r="C88" s="62" t="s">
        <v>156</v>
      </c>
      <c r="D88" s="14"/>
      <c r="E88" s="18"/>
      <c r="F88" s="13">
        <v>1</v>
      </c>
      <c r="G88" s="13">
        <v>525.01</v>
      </c>
      <c r="H88" s="91">
        <f t="shared" si="7"/>
        <v>0.52500999999999998</v>
      </c>
      <c r="I88" s="13">
        <f>G88</f>
        <v>525.01</v>
      </c>
    </row>
    <row r="89" spans="1:9" ht="31.5" customHeight="1">
      <c r="A89" s="32">
        <v>26</v>
      </c>
      <c r="B89" s="61" t="s">
        <v>165</v>
      </c>
      <c r="C89" s="32" t="s">
        <v>82</v>
      </c>
      <c r="D89" s="14"/>
      <c r="E89" s="18"/>
      <c r="F89" s="13">
        <v>47.5</v>
      </c>
      <c r="G89" s="13">
        <v>1187</v>
      </c>
      <c r="H89" s="91">
        <f t="shared" si="7"/>
        <v>56.3825</v>
      </c>
      <c r="I89" s="13">
        <f>G89*24</f>
        <v>28488</v>
      </c>
    </row>
    <row r="90" spans="1:9" ht="31.5" customHeight="1">
      <c r="A90" s="32">
        <v>27</v>
      </c>
      <c r="B90" s="50" t="s">
        <v>155</v>
      </c>
      <c r="C90" s="62" t="s">
        <v>156</v>
      </c>
      <c r="D90" s="14"/>
      <c r="E90" s="18"/>
      <c r="F90" s="13">
        <v>13</v>
      </c>
      <c r="G90" s="13">
        <v>589.54</v>
      </c>
      <c r="H90" s="91">
        <f t="shared" si="7"/>
        <v>7.6640199999999998</v>
      </c>
      <c r="I90" s="13">
        <f>G90*2</f>
        <v>1179.08</v>
      </c>
    </row>
    <row r="91" spans="1:9" ht="31.5" customHeight="1">
      <c r="A91" s="32">
        <v>28</v>
      </c>
      <c r="B91" s="50" t="s">
        <v>161</v>
      </c>
      <c r="C91" s="62" t="s">
        <v>156</v>
      </c>
      <c r="D91" s="14"/>
      <c r="E91" s="18"/>
      <c r="F91" s="13">
        <v>3</v>
      </c>
      <c r="G91" s="13">
        <v>803.54</v>
      </c>
      <c r="H91" s="91">
        <f t="shared" si="7"/>
        <v>2.4106199999999998</v>
      </c>
      <c r="I91" s="13">
        <f>G91</f>
        <v>803.54</v>
      </c>
    </row>
    <row r="92" spans="1:9" ht="15.75" customHeight="1">
      <c r="A92" s="32">
        <v>29</v>
      </c>
      <c r="B92" s="50" t="s">
        <v>138</v>
      </c>
      <c r="C92" s="62" t="s">
        <v>111</v>
      </c>
      <c r="D92" s="14"/>
      <c r="E92" s="18"/>
      <c r="F92" s="13">
        <v>1080</v>
      </c>
      <c r="G92" s="13">
        <v>53.42</v>
      </c>
      <c r="H92" s="91">
        <f t="shared" si="7"/>
        <v>57.693599999999996</v>
      </c>
      <c r="I92" s="13">
        <f>G92*120</f>
        <v>6410.4000000000005</v>
      </c>
    </row>
    <row r="93" spans="1:9" ht="15.75" customHeight="1">
      <c r="A93" s="32">
        <v>30</v>
      </c>
      <c r="B93" s="63" t="s">
        <v>86</v>
      </c>
      <c r="C93" s="62" t="s">
        <v>111</v>
      </c>
      <c r="D93" s="14"/>
      <c r="E93" s="18"/>
      <c r="F93" s="13">
        <v>6</v>
      </c>
      <c r="G93" s="13">
        <v>189.67</v>
      </c>
      <c r="H93" s="91">
        <f t="shared" si="7"/>
        <v>1.13802</v>
      </c>
      <c r="I93" s="13">
        <f>G93*2</f>
        <v>379.34</v>
      </c>
    </row>
    <row r="94" spans="1:9" ht="15.75" customHeight="1">
      <c r="A94" s="32">
        <v>31</v>
      </c>
      <c r="B94" s="85" t="s">
        <v>159</v>
      </c>
      <c r="C94" s="86" t="s">
        <v>111</v>
      </c>
      <c r="D94" s="85"/>
      <c r="E94" s="87"/>
      <c r="F94" s="90">
        <v>1</v>
      </c>
      <c r="G94" s="96">
        <v>86.15</v>
      </c>
      <c r="H94" s="91">
        <f t="shared" si="7"/>
        <v>8.6150000000000004E-2</v>
      </c>
      <c r="I94" s="13">
        <f>G94</f>
        <v>86.15</v>
      </c>
    </row>
    <row r="95" spans="1:9" ht="15.75" customHeight="1">
      <c r="A95" s="32"/>
      <c r="B95" s="45" t="s">
        <v>51</v>
      </c>
      <c r="C95" s="41"/>
      <c r="D95" s="48"/>
      <c r="E95" s="41">
        <v>1</v>
      </c>
      <c r="F95" s="41"/>
      <c r="G95" s="41"/>
      <c r="H95" s="41"/>
      <c r="I95" s="34">
        <f>SUM(I86:I94)</f>
        <v>38733.61</v>
      </c>
    </row>
    <row r="96" spans="1:9">
      <c r="A96" s="32"/>
      <c r="B96" s="47" t="s">
        <v>79</v>
      </c>
      <c r="C96" s="15"/>
      <c r="D96" s="15"/>
      <c r="E96" s="42"/>
      <c r="F96" s="42"/>
      <c r="G96" s="43"/>
      <c r="H96" s="43"/>
      <c r="I96" s="17">
        <v>0</v>
      </c>
    </row>
    <row r="97" spans="1:9">
      <c r="A97" s="49"/>
      <c r="B97" s="46" t="s">
        <v>189</v>
      </c>
      <c r="C97" s="35"/>
      <c r="D97" s="35"/>
      <c r="E97" s="35"/>
      <c r="F97" s="35"/>
      <c r="G97" s="35"/>
      <c r="H97" s="35"/>
      <c r="I97" s="44">
        <f>I84+I95</f>
        <v>145865.77492766664</v>
      </c>
    </row>
    <row r="98" spans="1:9" ht="15.75">
      <c r="A98" s="127" t="s">
        <v>265</v>
      </c>
      <c r="B98" s="127"/>
      <c r="C98" s="127"/>
      <c r="D98" s="127"/>
      <c r="E98" s="127"/>
      <c r="F98" s="127"/>
      <c r="G98" s="127"/>
      <c r="H98" s="127"/>
      <c r="I98" s="127"/>
    </row>
    <row r="99" spans="1:9" ht="15.75" customHeight="1">
      <c r="A99" s="60"/>
      <c r="B99" s="128" t="s">
        <v>266</v>
      </c>
      <c r="C99" s="128"/>
      <c r="D99" s="128"/>
      <c r="E99" s="128"/>
      <c r="F99" s="128"/>
      <c r="G99" s="128"/>
      <c r="H99" s="75"/>
      <c r="I99" s="3"/>
    </row>
    <row r="100" spans="1:9">
      <c r="A100" s="56"/>
      <c r="B100" s="129" t="s">
        <v>6</v>
      </c>
      <c r="C100" s="129"/>
      <c r="D100" s="129"/>
      <c r="E100" s="129"/>
      <c r="F100" s="129"/>
      <c r="G100" s="129"/>
      <c r="H100" s="27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130" t="s">
        <v>7</v>
      </c>
      <c r="B102" s="130"/>
      <c r="C102" s="130"/>
      <c r="D102" s="130"/>
      <c r="E102" s="130"/>
      <c r="F102" s="130"/>
      <c r="G102" s="130"/>
      <c r="H102" s="130"/>
      <c r="I102" s="130"/>
    </row>
    <row r="103" spans="1:9" ht="15.75">
      <c r="A103" s="130" t="s">
        <v>8</v>
      </c>
      <c r="B103" s="130"/>
      <c r="C103" s="130"/>
      <c r="D103" s="130"/>
      <c r="E103" s="130"/>
      <c r="F103" s="130"/>
      <c r="G103" s="130"/>
      <c r="H103" s="130"/>
      <c r="I103" s="130"/>
    </row>
    <row r="104" spans="1:9" ht="15.75">
      <c r="A104" s="131" t="s">
        <v>61</v>
      </c>
      <c r="B104" s="131"/>
      <c r="C104" s="131"/>
      <c r="D104" s="131"/>
      <c r="E104" s="131"/>
      <c r="F104" s="131"/>
      <c r="G104" s="131"/>
      <c r="H104" s="131"/>
      <c r="I104" s="131"/>
    </row>
    <row r="105" spans="1:9" ht="15.75">
      <c r="A105" s="11"/>
    </row>
    <row r="106" spans="1:9" ht="15.75">
      <c r="A106" s="132" t="s">
        <v>9</v>
      </c>
      <c r="B106" s="132"/>
      <c r="C106" s="132"/>
      <c r="D106" s="132"/>
      <c r="E106" s="132"/>
      <c r="F106" s="132"/>
      <c r="G106" s="132"/>
      <c r="H106" s="132"/>
      <c r="I106" s="132"/>
    </row>
    <row r="107" spans="1:9" ht="15.75" customHeight="1">
      <c r="A107" s="4"/>
    </row>
    <row r="108" spans="1:9" ht="15.75" customHeight="1">
      <c r="B108" s="57" t="s">
        <v>10</v>
      </c>
      <c r="C108" s="133" t="s">
        <v>144</v>
      </c>
      <c r="D108" s="133"/>
      <c r="E108" s="133"/>
      <c r="F108" s="73"/>
      <c r="I108" s="55"/>
    </row>
    <row r="109" spans="1:9" ht="15.75" customHeight="1">
      <c r="A109" s="56"/>
      <c r="C109" s="129" t="s">
        <v>11</v>
      </c>
      <c r="D109" s="129"/>
      <c r="E109" s="129"/>
      <c r="F109" s="27"/>
      <c r="I109" s="54" t="s">
        <v>12</v>
      </c>
    </row>
    <row r="110" spans="1:9" ht="15.75" customHeight="1">
      <c r="A110" s="28"/>
      <c r="C110" s="12"/>
      <c r="D110" s="12"/>
      <c r="G110" s="12"/>
      <c r="H110" s="12"/>
    </row>
    <row r="111" spans="1:9" ht="15.75">
      <c r="B111" s="57" t="s">
        <v>13</v>
      </c>
      <c r="C111" s="134"/>
      <c r="D111" s="134"/>
      <c r="E111" s="134"/>
      <c r="F111" s="74"/>
      <c r="I111" s="55"/>
    </row>
    <row r="112" spans="1:9">
      <c r="A112" s="56"/>
      <c r="C112" s="123" t="s">
        <v>11</v>
      </c>
      <c r="D112" s="123"/>
      <c r="E112" s="123"/>
      <c r="F112" s="56"/>
      <c r="I112" s="54" t="s">
        <v>12</v>
      </c>
    </row>
    <row r="113" spans="1:9" ht="15.75">
      <c r="A113" s="4" t="s">
        <v>14</v>
      </c>
    </row>
    <row r="114" spans="1:9">
      <c r="A114" s="121" t="s">
        <v>15</v>
      </c>
      <c r="B114" s="121"/>
      <c r="C114" s="121"/>
      <c r="D114" s="121"/>
      <c r="E114" s="121"/>
      <c r="F114" s="121"/>
      <c r="G114" s="121"/>
      <c r="H114" s="121"/>
      <c r="I114" s="121"/>
    </row>
    <row r="115" spans="1:9" ht="45" customHeight="1">
      <c r="A115" s="122" t="s">
        <v>16</v>
      </c>
      <c r="B115" s="122"/>
      <c r="C115" s="122"/>
      <c r="D115" s="122"/>
      <c r="E115" s="122"/>
      <c r="F115" s="122"/>
      <c r="G115" s="122"/>
      <c r="H115" s="122"/>
      <c r="I115" s="122"/>
    </row>
    <row r="116" spans="1:9" ht="30" customHeight="1">
      <c r="A116" s="122" t="s">
        <v>17</v>
      </c>
      <c r="B116" s="122"/>
      <c r="C116" s="122"/>
      <c r="D116" s="122"/>
      <c r="E116" s="122"/>
      <c r="F116" s="122"/>
      <c r="G116" s="122"/>
      <c r="H116" s="122"/>
      <c r="I116" s="122"/>
    </row>
    <row r="117" spans="1:9" ht="30" customHeight="1">
      <c r="A117" s="122" t="s">
        <v>21</v>
      </c>
      <c r="B117" s="122"/>
      <c r="C117" s="122"/>
      <c r="D117" s="122"/>
      <c r="E117" s="122"/>
      <c r="F117" s="122"/>
      <c r="G117" s="122"/>
      <c r="H117" s="122"/>
      <c r="I117" s="122"/>
    </row>
    <row r="118" spans="1:9" ht="15" customHeight="1">
      <c r="A118" s="122" t="s">
        <v>20</v>
      </c>
      <c r="B118" s="122"/>
      <c r="C118" s="122"/>
      <c r="D118" s="122"/>
      <c r="E118" s="122"/>
      <c r="F118" s="122"/>
      <c r="G118" s="122"/>
      <c r="H118" s="122"/>
      <c r="I118" s="122"/>
    </row>
  </sheetData>
  <autoFilter ref="I12:I60"/>
  <mergeCells count="29">
    <mergeCell ref="A14:I14"/>
    <mergeCell ref="A3:I3"/>
    <mergeCell ref="A4:I4"/>
    <mergeCell ref="A5:I5"/>
    <mergeCell ref="A8:I8"/>
    <mergeCell ref="A10:I10"/>
    <mergeCell ref="A15:I15"/>
    <mergeCell ref="A28:I28"/>
    <mergeCell ref="A46:I46"/>
    <mergeCell ref="A56:I56"/>
    <mergeCell ref="R65:U65"/>
    <mergeCell ref="C112:E112"/>
    <mergeCell ref="A81:I81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85:I85"/>
    <mergeCell ref="A114:I114"/>
    <mergeCell ref="A115:I115"/>
    <mergeCell ref="A116:I116"/>
    <mergeCell ref="A117:I117"/>
    <mergeCell ref="A118:I118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23"/>
  <sheetViews>
    <sheetView topLeftCell="A84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88</v>
      </c>
      <c r="I1" s="29"/>
      <c r="J1" s="1"/>
      <c r="K1" s="1"/>
      <c r="L1" s="1"/>
      <c r="M1" s="1"/>
    </row>
    <row r="2" spans="1:13" ht="15.75">
      <c r="A2" s="31" t="s">
        <v>62</v>
      </c>
      <c r="J2" s="2"/>
      <c r="K2" s="2"/>
      <c r="L2" s="2"/>
      <c r="M2" s="2"/>
    </row>
    <row r="3" spans="1:13" ht="15.75" customHeight="1">
      <c r="A3" s="143" t="s">
        <v>179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141</v>
      </c>
      <c r="B4" s="144"/>
      <c r="C4" s="144"/>
      <c r="D4" s="144"/>
      <c r="E4" s="144"/>
      <c r="F4" s="144"/>
      <c r="G4" s="144"/>
      <c r="H4" s="144"/>
      <c r="I4" s="144"/>
    </row>
    <row r="5" spans="1:13" ht="15.75">
      <c r="A5" s="143" t="s">
        <v>250</v>
      </c>
      <c r="B5" s="145"/>
      <c r="C5" s="145"/>
      <c r="D5" s="145"/>
      <c r="E5" s="145"/>
      <c r="F5" s="145"/>
      <c r="G5" s="145"/>
      <c r="H5" s="145"/>
      <c r="I5" s="145"/>
      <c r="J5" s="2"/>
      <c r="K5" s="2"/>
      <c r="L5" s="2"/>
      <c r="M5" s="2"/>
    </row>
    <row r="6" spans="1:13" ht="15.75">
      <c r="A6" s="2"/>
      <c r="B6" s="65"/>
      <c r="C6" s="65"/>
      <c r="D6" s="65"/>
      <c r="E6" s="65"/>
      <c r="F6" s="65"/>
      <c r="G6" s="65"/>
      <c r="H6" s="65"/>
      <c r="I6" s="33">
        <v>43039</v>
      </c>
      <c r="J6" s="2"/>
      <c r="K6" s="2"/>
      <c r="L6" s="2"/>
      <c r="M6" s="2"/>
    </row>
    <row r="7" spans="1:13" ht="15.75">
      <c r="B7" s="66"/>
      <c r="C7" s="66"/>
      <c r="D7" s="6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6" t="s">
        <v>147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7" t="s">
        <v>182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2" t="s">
        <v>59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32">
        <v>1</v>
      </c>
      <c r="B16" s="76" t="s">
        <v>89</v>
      </c>
      <c r="C16" s="77" t="s">
        <v>90</v>
      </c>
      <c r="D16" s="76" t="s">
        <v>186</v>
      </c>
      <c r="E16" s="78">
        <v>208.08</v>
      </c>
      <c r="F16" s="79">
        <f>SUM(E16*156/100)</f>
        <v>324.60480000000001</v>
      </c>
      <c r="G16" s="79">
        <v>175.38</v>
      </c>
      <c r="H16" s="80">
        <f t="shared" ref="H16:H25" si="0">SUM(F16*G16/1000)</f>
        <v>56.929189823999998</v>
      </c>
      <c r="I16" s="13">
        <f>F16/12*G16</f>
        <v>4744.0991519999998</v>
      </c>
      <c r="J16" s="24"/>
      <c r="K16" s="8"/>
      <c r="L16" s="8"/>
      <c r="M16" s="8"/>
    </row>
    <row r="17" spans="1:13" ht="15.75" customHeight="1">
      <c r="A17" s="32">
        <v>2</v>
      </c>
      <c r="B17" s="76" t="s">
        <v>120</v>
      </c>
      <c r="C17" s="77" t="s">
        <v>90</v>
      </c>
      <c r="D17" s="76" t="s">
        <v>185</v>
      </c>
      <c r="E17" s="78">
        <v>832.32</v>
      </c>
      <c r="F17" s="79">
        <f>SUM(E17*104/100)</f>
        <v>865.61279999999999</v>
      </c>
      <c r="G17" s="79">
        <v>175.38</v>
      </c>
      <c r="H17" s="80">
        <f t="shared" si="0"/>
        <v>151.81117286399999</v>
      </c>
      <c r="I17" s="13">
        <f>F17/12*G17</f>
        <v>12650.931071999999</v>
      </c>
      <c r="J17" s="25"/>
      <c r="K17" s="8"/>
      <c r="L17" s="8"/>
      <c r="M17" s="8"/>
    </row>
    <row r="18" spans="1:13" ht="15.75" customHeight="1">
      <c r="A18" s="32">
        <v>3</v>
      </c>
      <c r="B18" s="76" t="s">
        <v>121</v>
      </c>
      <c r="C18" s="77" t="s">
        <v>90</v>
      </c>
      <c r="D18" s="76" t="s">
        <v>184</v>
      </c>
      <c r="E18" s="78">
        <v>1040.4000000000001</v>
      </c>
      <c r="F18" s="79">
        <f>SUM(E18*24/100)</f>
        <v>249.69600000000003</v>
      </c>
      <c r="G18" s="79">
        <v>504.5</v>
      </c>
      <c r="H18" s="80">
        <f t="shared" si="0"/>
        <v>125.97163200000001</v>
      </c>
      <c r="I18" s="13">
        <f>F18/12*G18</f>
        <v>10497.636000000002</v>
      </c>
      <c r="J18" s="25"/>
      <c r="K18" s="8"/>
      <c r="L18" s="8"/>
      <c r="M18" s="8"/>
    </row>
    <row r="19" spans="1:13" ht="15.75" hidden="1" customHeight="1">
      <c r="A19" s="32"/>
      <c r="B19" s="76" t="s">
        <v>97</v>
      </c>
      <c r="C19" s="77" t="s">
        <v>98</v>
      </c>
      <c r="D19" s="76" t="s">
        <v>99</v>
      </c>
      <c r="E19" s="78">
        <v>48</v>
      </c>
      <c r="F19" s="79">
        <f>SUM(E19/10)</f>
        <v>4.8</v>
      </c>
      <c r="G19" s="79">
        <v>170.16</v>
      </c>
      <c r="H19" s="80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76" t="s">
        <v>100</v>
      </c>
      <c r="C20" s="77" t="s">
        <v>90</v>
      </c>
      <c r="D20" s="76" t="s">
        <v>122</v>
      </c>
      <c r="E20" s="78">
        <v>30.6</v>
      </c>
      <c r="F20" s="79">
        <f>SUM(E20*12/100)</f>
        <v>3.6720000000000006</v>
      </c>
      <c r="G20" s="79">
        <v>217.88</v>
      </c>
      <c r="H20" s="80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customHeight="1">
      <c r="A21" s="32">
        <v>5</v>
      </c>
      <c r="B21" s="76" t="s">
        <v>101</v>
      </c>
      <c r="C21" s="77" t="s">
        <v>90</v>
      </c>
      <c r="D21" s="76" t="s">
        <v>30</v>
      </c>
      <c r="E21" s="78">
        <v>10.06</v>
      </c>
      <c r="F21" s="79">
        <f>SUM(E21*12/100)</f>
        <v>1.2072000000000001</v>
      </c>
      <c r="G21" s="79">
        <v>216.12</v>
      </c>
      <c r="H21" s="80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6" t="s">
        <v>102</v>
      </c>
      <c r="C22" s="77" t="s">
        <v>52</v>
      </c>
      <c r="D22" s="76" t="s">
        <v>99</v>
      </c>
      <c r="E22" s="78">
        <v>769.2</v>
      </c>
      <c r="F22" s="79">
        <f>SUM(E22/100)</f>
        <v>7.6920000000000002</v>
      </c>
      <c r="G22" s="79">
        <v>269.26</v>
      </c>
      <c r="H22" s="80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6" t="s">
        <v>103</v>
      </c>
      <c r="C23" s="77" t="s">
        <v>52</v>
      </c>
      <c r="D23" s="76" t="s">
        <v>99</v>
      </c>
      <c r="E23" s="81">
        <v>35.28</v>
      </c>
      <c r="F23" s="79">
        <f>SUM(E23/100)</f>
        <v>0.3528</v>
      </c>
      <c r="G23" s="79">
        <v>44.29</v>
      </c>
      <c r="H23" s="80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customHeight="1">
      <c r="A24" s="32">
        <v>6</v>
      </c>
      <c r="B24" s="76" t="s">
        <v>104</v>
      </c>
      <c r="C24" s="77" t="s">
        <v>52</v>
      </c>
      <c r="D24" s="76" t="s">
        <v>30</v>
      </c>
      <c r="E24" s="78">
        <v>10.8</v>
      </c>
      <c r="F24" s="79">
        <f>E24*12/100</f>
        <v>1.2960000000000003</v>
      </c>
      <c r="G24" s="79">
        <v>389.72</v>
      </c>
      <c r="H24" s="80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customHeight="1">
      <c r="A25" s="32">
        <v>7</v>
      </c>
      <c r="B25" s="76" t="s">
        <v>105</v>
      </c>
      <c r="C25" s="77" t="s">
        <v>52</v>
      </c>
      <c r="D25" s="76" t="s">
        <v>123</v>
      </c>
      <c r="E25" s="78">
        <v>21.6</v>
      </c>
      <c r="F25" s="79">
        <f>SUM(E25*12/100)</f>
        <v>2.5920000000000005</v>
      </c>
      <c r="G25" s="79">
        <v>520.79999999999995</v>
      </c>
      <c r="H25" s="80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8</v>
      </c>
      <c r="B26" s="76" t="s">
        <v>64</v>
      </c>
      <c r="C26" s="77" t="s">
        <v>33</v>
      </c>
      <c r="D26" s="76" t="s">
        <v>183</v>
      </c>
      <c r="E26" s="78">
        <v>0.1</v>
      </c>
      <c r="F26" s="79">
        <f>SUM(E26*365)</f>
        <v>36.5</v>
      </c>
      <c r="G26" s="79">
        <v>147.03</v>
      </c>
      <c r="H26" s="80">
        <f>SUM(F26*G26/1000)</f>
        <v>5.3665950000000002</v>
      </c>
      <c r="I26" s="13">
        <f>F26/12*G26</f>
        <v>447.21625</v>
      </c>
      <c r="J26" s="26"/>
    </row>
    <row r="27" spans="1:13" ht="15.75" customHeight="1">
      <c r="A27" s="32">
        <v>9</v>
      </c>
      <c r="B27" s="84" t="s">
        <v>23</v>
      </c>
      <c r="C27" s="77" t="s">
        <v>24</v>
      </c>
      <c r="D27" s="76" t="s">
        <v>183</v>
      </c>
      <c r="E27" s="78">
        <v>6980.3</v>
      </c>
      <c r="F27" s="79">
        <f>SUM(E27*12)</f>
        <v>83763.600000000006</v>
      </c>
      <c r="G27" s="79">
        <v>4.4000000000000004</v>
      </c>
      <c r="H27" s="80">
        <f>SUM(F27*G27/1000)</f>
        <v>368.55984000000007</v>
      </c>
      <c r="I27" s="13">
        <f>F27/12*G27</f>
        <v>30713.320000000003</v>
      </c>
      <c r="J27" s="26"/>
    </row>
    <row r="28" spans="1:13" ht="15" customHeight="1">
      <c r="A28" s="138" t="s">
        <v>87</v>
      </c>
      <c r="B28" s="138"/>
      <c r="C28" s="138"/>
      <c r="D28" s="138"/>
      <c r="E28" s="138"/>
      <c r="F28" s="138"/>
      <c r="G28" s="138"/>
      <c r="H28" s="138"/>
      <c r="I28" s="138"/>
      <c r="J28" s="25"/>
      <c r="K28" s="8"/>
      <c r="L28" s="8"/>
      <c r="M28" s="8"/>
    </row>
    <row r="29" spans="1:13" ht="15.75" customHeight="1">
      <c r="A29" s="32"/>
      <c r="B29" s="100" t="s">
        <v>28</v>
      </c>
      <c r="C29" s="77"/>
      <c r="D29" s="76"/>
      <c r="E29" s="78"/>
      <c r="F29" s="79"/>
      <c r="G29" s="79"/>
      <c r="H29" s="80"/>
      <c r="I29" s="13"/>
      <c r="J29" s="25"/>
      <c r="K29" s="8"/>
      <c r="L29" s="8"/>
      <c r="M29" s="8"/>
    </row>
    <row r="30" spans="1:13" ht="15.75" customHeight="1">
      <c r="A30" s="32">
        <v>10</v>
      </c>
      <c r="B30" s="76" t="s">
        <v>109</v>
      </c>
      <c r="C30" s="77" t="s">
        <v>92</v>
      </c>
      <c r="D30" s="76" t="s">
        <v>213</v>
      </c>
      <c r="E30" s="79">
        <v>1168.05</v>
      </c>
      <c r="F30" s="79">
        <f>SUM(E30*52/1000)</f>
        <v>60.738599999999998</v>
      </c>
      <c r="G30" s="79">
        <v>155.88999999999999</v>
      </c>
      <c r="H30" s="80">
        <f t="shared" ref="H30:H36" si="1">SUM(F30*G30/1000)</f>
        <v>9.4685403539999982</v>
      </c>
      <c r="I30" s="13">
        <f>F30/6*G30</f>
        <v>1578.0900589999997</v>
      </c>
      <c r="J30" s="25"/>
      <c r="K30" s="8"/>
      <c r="L30" s="8"/>
      <c r="M30" s="8"/>
    </row>
    <row r="31" spans="1:13" ht="31.5" customHeight="1">
      <c r="A31" s="32">
        <v>11</v>
      </c>
      <c r="B31" s="76" t="s">
        <v>125</v>
      </c>
      <c r="C31" s="77" t="s">
        <v>92</v>
      </c>
      <c r="D31" s="76" t="s">
        <v>214</v>
      </c>
      <c r="E31" s="79">
        <v>1039.2</v>
      </c>
      <c r="F31" s="79">
        <f>SUM(E31*78/1000)</f>
        <v>81.057600000000008</v>
      </c>
      <c r="G31" s="79">
        <v>258.63</v>
      </c>
      <c r="H31" s="80">
        <f t="shared" si="1"/>
        <v>20.963927088000002</v>
      </c>
      <c r="I31" s="13">
        <f t="shared" ref="I31:I34" si="2">F31/6*G31</f>
        <v>3493.9878480000002</v>
      </c>
      <c r="J31" s="25"/>
      <c r="K31" s="8"/>
      <c r="L31" s="8"/>
      <c r="M31" s="8"/>
    </row>
    <row r="32" spans="1:13" ht="15.75" hidden="1" customHeight="1">
      <c r="A32" s="32">
        <v>16</v>
      </c>
      <c r="B32" s="76" t="s">
        <v>27</v>
      </c>
      <c r="C32" s="77" t="s">
        <v>92</v>
      </c>
      <c r="D32" s="76" t="s">
        <v>53</v>
      </c>
      <c r="E32" s="79">
        <v>584.03</v>
      </c>
      <c r="F32" s="79">
        <f>SUM(E32/1000)</f>
        <v>0.58402999999999994</v>
      </c>
      <c r="G32" s="79">
        <v>3020.33</v>
      </c>
      <c r="H32" s="80">
        <f t="shared" si="1"/>
        <v>1.7639633298999997</v>
      </c>
      <c r="I32" s="13">
        <f>F32*G32</f>
        <v>1763.9633298999997</v>
      </c>
      <c r="J32" s="25"/>
      <c r="K32" s="8"/>
      <c r="L32" s="8"/>
      <c r="M32" s="8"/>
    </row>
    <row r="33" spans="1:14" ht="15.75" customHeight="1">
      <c r="A33" s="32">
        <v>12</v>
      </c>
      <c r="B33" s="76" t="s">
        <v>124</v>
      </c>
      <c r="C33" s="77" t="s">
        <v>39</v>
      </c>
      <c r="D33" s="76" t="s">
        <v>63</v>
      </c>
      <c r="E33" s="79">
        <v>6</v>
      </c>
      <c r="F33" s="79">
        <f>E33*155/100</f>
        <v>9.3000000000000007</v>
      </c>
      <c r="G33" s="79">
        <v>1302.02</v>
      </c>
      <c r="H33" s="80">
        <f>G33*F33/1000</f>
        <v>12.108786</v>
      </c>
      <c r="I33" s="13">
        <f t="shared" si="2"/>
        <v>2018.1310000000001</v>
      </c>
      <c r="J33" s="25"/>
      <c r="K33" s="8"/>
      <c r="L33" s="8"/>
      <c r="M33" s="8"/>
    </row>
    <row r="34" spans="1:14" ht="15.75" customHeight="1">
      <c r="A34" s="32">
        <v>13</v>
      </c>
      <c r="B34" s="76" t="s">
        <v>108</v>
      </c>
      <c r="C34" s="77" t="s">
        <v>31</v>
      </c>
      <c r="D34" s="76" t="s">
        <v>63</v>
      </c>
      <c r="E34" s="83">
        <v>0.33333333333333331</v>
      </c>
      <c r="F34" s="79">
        <f>155/3</f>
        <v>51.666666666666664</v>
      </c>
      <c r="G34" s="79">
        <v>56.69</v>
      </c>
      <c r="H34" s="80">
        <f>SUM(G34*155/3/1000)</f>
        <v>2.9289833333333331</v>
      </c>
      <c r="I34" s="13">
        <f t="shared" si="2"/>
        <v>488.16388888888883</v>
      </c>
      <c r="J34" s="25"/>
      <c r="K34" s="8"/>
    </row>
    <row r="35" spans="1:14" ht="15.75" hidden="1" customHeight="1">
      <c r="A35" s="32"/>
      <c r="B35" s="76" t="s">
        <v>65</v>
      </c>
      <c r="C35" s="77" t="s">
        <v>33</v>
      </c>
      <c r="D35" s="76" t="s">
        <v>67</v>
      </c>
      <c r="E35" s="78"/>
      <c r="F35" s="79">
        <v>4</v>
      </c>
      <c r="G35" s="79">
        <v>180.15</v>
      </c>
      <c r="H35" s="80">
        <f t="shared" si="1"/>
        <v>0.72060000000000002</v>
      </c>
      <c r="I35" s="13">
        <v>0</v>
      </c>
      <c r="J35" s="26"/>
    </row>
    <row r="36" spans="1:14" ht="15.75" hidden="1" customHeight="1">
      <c r="A36" s="32"/>
      <c r="B36" s="76" t="s">
        <v>66</v>
      </c>
      <c r="C36" s="77" t="s">
        <v>32</v>
      </c>
      <c r="D36" s="76" t="s">
        <v>67</v>
      </c>
      <c r="E36" s="78"/>
      <c r="F36" s="79">
        <v>3</v>
      </c>
      <c r="G36" s="79">
        <v>1136.33</v>
      </c>
      <c r="H36" s="80">
        <f t="shared" si="1"/>
        <v>3.4089899999999997</v>
      </c>
      <c r="I36" s="13">
        <v>0</v>
      </c>
      <c r="J36" s="26"/>
    </row>
    <row r="37" spans="1:14" ht="15.75" hidden="1" customHeight="1">
      <c r="A37" s="32"/>
      <c r="B37" s="100" t="s">
        <v>5</v>
      </c>
      <c r="C37" s="77"/>
      <c r="D37" s="76"/>
      <c r="E37" s="78"/>
      <c r="F37" s="79"/>
      <c r="G37" s="79"/>
      <c r="H37" s="80" t="s">
        <v>152</v>
      </c>
      <c r="I37" s="13"/>
      <c r="J37" s="26"/>
    </row>
    <row r="38" spans="1:14" ht="15.75" hidden="1" customHeight="1">
      <c r="A38" s="32">
        <v>10</v>
      </c>
      <c r="B38" s="76" t="s">
        <v>26</v>
      </c>
      <c r="C38" s="77" t="s">
        <v>32</v>
      </c>
      <c r="D38" s="76"/>
      <c r="E38" s="78"/>
      <c r="F38" s="79">
        <v>10</v>
      </c>
      <c r="G38" s="79">
        <v>1527.22</v>
      </c>
      <c r="H38" s="80">
        <f t="shared" ref="H38:H45" si="3">SUM(F38*G38/1000)</f>
        <v>15.272200000000002</v>
      </c>
      <c r="I38" s="13">
        <f>F38/6*G38</f>
        <v>2545.3666666666668</v>
      </c>
      <c r="J38" s="26"/>
    </row>
    <row r="39" spans="1:14" ht="15.75" hidden="1" customHeight="1">
      <c r="A39" s="32">
        <v>11</v>
      </c>
      <c r="B39" s="76" t="s">
        <v>126</v>
      </c>
      <c r="C39" s="77" t="s">
        <v>33</v>
      </c>
      <c r="D39" s="76"/>
      <c r="E39" s="78"/>
      <c r="F39" s="79">
        <v>10</v>
      </c>
      <c r="G39" s="79">
        <v>77.94</v>
      </c>
      <c r="H39" s="80">
        <f>G39*F39/1000</f>
        <v>0.77939999999999998</v>
      </c>
      <c r="I39" s="13">
        <f>F39/6*G39</f>
        <v>129.9</v>
      </c>
      <c r="J39" s="26"/>
      <c r="L39" s="19"/>
      <c r="M39" s="20"/>
      <c r="N39" s="21"/>
    </row>
    <row r="40" spans="1:14" ht="15.75" hidden="1" customHeight="1">
      <c r="A40" s="32">
        <v>12</v>
      </c>
      <c r="B40" s="76" t="s">
        <v>110</v>
      </c>
      <c r="C40" s="77" t="s">
        <v>29</v>
      </c>
      <c r="D40" s="76" t="s">
        <v>127</v>
      </c>
      <c r="E40" s="78">
        <v>1039.2</v>
      </c>
      <c r="F40" s="79">
        <f>E40*25/1000</f>
        <v>25.98</v>
      </c>
      <c r="G40" s="79">
        <v>2102.71</v>
      </c>
      <c r="H40" s="80">
        <f>G40*F40/1000</f>
        <v>54.628405800000003</v>
      </c>
      <c r="I40" s="13">
        <f>F40/6*G40</f>
        <v>9104.7343000000001</v>
      </c>
      <c r="J40" s="26"/>
      <c r="L40" s="19"/>
      <c r="M40" s="20"/>
      <c r="N40" s="21"/>
    </row>
    <row r="41" spans="1:14" ht="15.75" hidden="1" customHeight="1">
      <c r="A41" s="32"/>
      <c r="B41" s="76" t="s">
        <v>128</v>
      </c>
      <c r="C41" s="77" t="s">
        <v>129</v>
      </c>
      <c r="D41" s="76" t="s">
        <v>67</v>
      </c>
      <c r="E41" s="78"/>
      <c r="F41" s="79">
        <v>50</v>
      </c>
      <c r="G41" s="79">
        <v>213.2</v>
      </c>
      <c r="H41" s="80">
        <f>G41*F41/1000</f>
        <v>10.66</v>
      </c>
      <c r="I41" s="13">
        <v>0</v>
      </c>
      <c r="J41" s="26"/>
      <c r="L41" s="19"/>
      <c r="M41" s="20"/>
      <c r="N41" s="21"/>
    </row>
    <row r="42" spans="1:14" ht="15.75" hidden="1" customHeight="1">
      <c r="A42" s="32">
        <v>13</v>
      </c>
      <c r="B42" s="76" t="s">
        <v>68</v>
      </c>
      <c r="C42" s="77" t="s">
        <v>29</v>
      </c>
      <c r="D42" s="76" t="s">
        <v>91</v>
      </c>
      <c r="E42" s="79">
        <v>153</v>
      </c>
      <c r="F42" s="79">
        <f>SUM(E42*155/1000)</f>
        <v>23.715</v>
      </c>
      <c r="G42" s="79">
        <v>350.75</v>
      </c>
      <c r="H42" s="80">
        <f t="shared" si="3"/>
        <v>8.3180362499999987</v>
      </c>
      <c r="I42" s="13">
        <f>F42/6*G42</f>
        <v>1386.339375</v>
      </c>
      <c r="J42" s="26"/>
      <c r="L42" s="19"/>
      <c r="M42" s="20"/>
      <c r="N42" s="21"/>
    </row>
    <row r="43" spans="1:14" ht="47.25" hidden="1" customHeight="1">
      <c r="A43" s="32">
        <v>14</v>
      </c>
      <c r="B43" s="76" t="s">
        <v>84</v>
      </c>
      <c r="C43" s="77" t="s">
        <v>92</v>
      </c>
      <c r="D43" s="76" t="s">
        <v>130</v>
      </c>
      <c r="E43" s="79">
        <v>24</v>
      </c>
      <c r="F43" s="79">
        <f>SUM(E43*50/1000)</f>
        <v>1.2</v>
      </c>
      <c r="G43" s="79">
        <v>5803.28</v>
      </c>
      <c r="H43" s="80">
        <f t="shared" si="3"/>
        <v>6.9639359999999995</v>
      </c>
      <c r="I43" s="13">
        <f>F43/6*G43</f>
        <v>1160.6559999999999</v>
      </c>
      <c r="J43" s="26"/>
      <c r="L43" s="19"/>
      <c r="M43" s="20"/>
      <c r="N43" s="21"/>
    </row>
    <row r="44" spans="1:14" ht="15.75" hidden="1" customHeight="1">
      <c r="A44" s="32">
        <v>15</v>
      </c>
      <c r="B44" s="76" t="s">
        <v>93</v>
      </c>
      <c r="C44" s="77" t="s">
        <v>92</v>
      </c>
      <c r="D44" s="76" t="s">
        <v>69</v>
      </c>
      <c r="E44" s="79">
        <v>153</v>
      </c>
      <c r="F44" s="79">
        <f>SUM(E44*45/1000)</f>
        <v>6.8849999999999998</v>
      </c>
      <c r="G44" s="79">
        <v>428.7</v>
      </c>
      <c r="H44" s="80">
        <f t="shared" si="3"/>
        <v>2.9515994999999999</v>
      </c>
      <c r="I44" s="13">
        <f>F44/6*G44</f>
        <v>491.93324999999999</v>
      </c>
      <c r="J44" s="26"/>
      <c r="L44" s="19"/>
      <c r="M44" s="20"/>
      <c r="N44" s="21"/>
    </row>
    <row r="45" spans="1:14" ht="15.75" hidden="1" customHeight="1">
      <c r="A45" s="32">
        <v>16</v>
      </c>
      <c r="B45" s="76" t="s">
        <v>70</v>
      </c>
      <c r="C45" s="77" t="s">
        <v>33</v>
      </c>
      <c r="D45" s="76"/>
      <c r="E45" s="78"/>
      <c r="F45" s="79">
        <v>0.9</v>
      </c>
      <c r="G45" s="79">
        <v>798</v>
      </c>
      <c r="H45" s="80">
        <f t="shared" si="3"/>
        <v>0.71820000000000006</v>
      </c>
      <c r="I45" s="13">
        <f>F45/6*G45</f>
        <v>119.69999999999999</v>
      </c>
      <c r="J45" s="26"/>
      <c r="L45" s="19"/>
      <c r="M45" s="20"/>
      <c r="N45" s="21"/>
    </row>
    <row r="46" spans="1:14" ht="15" hidden="1" customHeight="1">
      <c r="A46" s="139" t="s">
        <v>148</v>
      </c>
      <c r="B46" s="140"/>
      <c r="C46" s="140"/>
      <c r="D46" s="140"/>
      <c r="E46" s="140"/>
      <c r="F46" s="140"/>
      <c r="G46" s="140"/>
      <c r="H46" s="140"/>
      <c r="I46" s="141"/>
      <c r="J46" s="26"/>
      <c r="L46" s="19"/>
      <c r="M46" s="20"/>
      <c r="N46" s="21"/>
    </row>
    <row r="47" spans="1:14" ht="15.75" hidden="1" customHeight="1">
      <c r="A47" s="32"/>
      <c r="B47" s="76" t="s">
        <v>131</v>
      </c>
      <c r="C47" s="77" t="s">
        <v>92</v>
      </c>
      <c r="D47" s="76" t="s">
        <v>42</v>
      </c>
      <c r="E47" s="78">
        <v>1895</v>
      </c>
      <c r="F47" s="79">
        <f>SUM(E47*2/1000)</f>
        <v>3.79</v>
      </c>
      <c r="G47" s="13">
        <v>849.49</v>
      </c>
      <c r="H47" s="80">
        <f t="shared" ref="H47:H55" si="4">SUM(F47*G47/1000)</f>
        <v>3.2195671000000003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76" t="s">
        <v>34</v>
      </c>
      <c r="C48" s="77" t="s">
        <v>92</v>
      </c>
      <c r="D48" s="76" t="s">
        <v>42</v>
      </c>
      <c r="E48" s="78">
        <v>118.2</v>
      </c>
      <c r="F48" s="79">
        <f>E48*2/1000</f>
        <v>0.2364</v>
      </c>
      <c r="G48" s="13">
        <v>579.48</v>
      </c>
      <c r="H48" s="80">
        <f t="shared" si="4"/>
        <v>0.13698907199999999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76" t="s">
        <v>35</v>
      </c>
      <c r="C49" s="77" t="s">
        <v>92</v>
      </c>
      <c r="D49" s="76" t="s">
        <v>42</v>
      </c>
      <c r="E49" s="78">
        <v>4675</v>
      </c>
      <c r="F49" s="79">
        <f>SUM(E49*2/1000)</f>
        <v>9.35</v>
      </c>
      <c r="G49" s="13">
        <v>579.48</v>
      </c>
      <c r="H49" s="80">
        <f t="shared" si="4"/>
        <v>5.4181379999999999</v>
      </c>
      <c r="I49" s="13">
        <v>0</v>
      </c>
      <c r="J49" s="26"/>
      <c r="L49" s="19"/>
      <c r="M49" s="20"/>
      <c r="N49" s="21"/>
    </row>
    <row r="50" spans="1:22" ht="15.75" hidden="1" customHeight="1">
      <c r="A50" s="32"/>
      <c r="B50" s="76" t="s">
        <v>36</v>
      </c>
      <c r="C50" s="77" t="s">
        <v>92</v>
      </c>
      <c r="D50" s="76" t="s">
        <v>42</v>
      </c>
      <c r="E50" s="78">
        <v>4675</v>
      </c>
      <c r="F50" s="79">
        <f>SUM(E50*2/1000)</f>
        <v>9.35</v>
      </c>
      <c r="G50" s="13">
        <v>606.77</v>
      </c>
      <c r="H50" s="80">
        <f t="shared" si="4"/>
        <v>5.6732994999999988</v>
      </c>
      <c r="I50" s="13">
        <v>0</v>
      </c>
      <c r="J50" s="26"/>
      <c r="L50" s="19"/>
      <c r="M50" s="20"/>
      <c r="N50" s="21"/>
    </row>
    <row r="51" spans="1:22" ht="15.75" hidden="1" customHeight="1">
      <c r="A51" s="32">
        <v>17</v>
      </c>
      <c r="B51" s="76" t="s">
        <v>56</v>
      </c>
      <c r="C51" s="77" t="s">
        <v>92</v>
      </c>
      <c r="D51" s="76" t="s">
        <v>169</v>
      </c>
      <c r="E51" s="78">
        <v>3988</v>
      </c>
      <c r="F51" s="79">
        <f>SUM(E51*5/1000)</f>
        <v>19.940000000000001</v>
      </c>
      <c r="G51" s="13">
        <v>1142.7</v>
      </c>
      <c r="H51" s="80">
        <f t="shared" si="4"/>
        <v>22.785438000000003</v>
      </c>
      <c r="I51" s="13">
        <f>F51/5*G51</f>
        <v>4557.0876000000007</v>
      </c>
      <c r="J51" s="26"/>
      <c r="L51" s="19"/>
      <c r="M51" s="20"/>
      <c r="N51" s="21"/>
    </row>
    <row r="52" spans="1:22" ht="31.5" hidden="1" customHeight="1">
      <c r="A52" s="32"/>
      <c r="B52" s="76" t="s">
        <v>94</v>
      </c>
      <c r="C52" s="77" t="s">
        <v>92</v>
      </c>
      <c r="D52" s="76" t="s">
        <v>42</v>
      </c>
      <c r="E52" s="78">
        <v>3988</v>
      </c>
      <c r="F52" s="79">
        <f>SUM(E52*2/1000)</f>
        <v>7.976</v>
      </c>
      <c r="G52" s="13">
        <v>1213.55</v>
      </c>
      <c r="H52" s="80">
        <f t="shared" si="4"/>
        <v>9.6792748</v>
      </c>
      <c r="I52" s="13">
        <v>0</v>
      </c>
      <c r="J52" s="26"/>
      <c r="L52" s="19"/>
      <c r="M52" s="20"/>
      <c r="N52" s="21"/>
    </row>
    <row r="53" spans="1:22" ht="31.5" hidden="1" customHeight="1">
      <c r="A53" s="32"/>
      <c r="B53" s="76" t="s">
        <v>95</v>
      </c>
      <c r="C53" s="77" t="s">
        <v>37</v>
      </c>
      <c r="D53" s="76" t="s">
        <v>42</v>
      </c>
      <c r="E53" s="78">
        <v>30</v>
      </c>
      <c r="F53" s="79">
        <f>SUM(E53*2/100)</f>
        <v>0.6</v>
      </c>
      <c r="G53" s="13">
        <v>2730.49</v>
      </c>
      <c r="H53" s="80">
        <f>SUM(F53*G53/1000)</f>
        <v>1.6382939999999999</v>
      </c>
      <c r="I53" s="13">
        <v>0</v>
      </c>
      <c r="J53" s="26"/>
      <c r="L53" s="19"/>
      <c r="M53" s="20"/>
      <c r="N53" s="21"/>
    </row>
    <row r="54" spans="1:22" ht="15.75" hidden="1" customHeight="1">
      <c r="A54" s="32"/>
      <c r="B54" s="76" t="s">
        <v>38</v>
      </c>
      <c r="C54" s="77" t="s">
        <v>39</v>
      </c>
      <c r="D54" s="76" t="s">
        <v>42</v>
      </c>
      <c r="E54" s="78">
        <v>1</v>
      </c>
      <c r="F54" s="79">
        <v>0.02</v>
      </c>
      <c r="G54" s="13">
        <v>5652.13</v>
      </c>
      <c r="H54" s="80">
        <f t="shared" si="4"/>
        <v>0.11304260000000001</v>
      </c>
      <c r="I54" s="13">
        <v>0</v>
      </c>
      <c r="J54" s="26"/>
      <c r="L54" s="19"/>
      <c r="M54" s="20"/>
      <c r="N54" s="21"/>
    </row>
    <row r="55" spans="1:22" ht="15.75" hidden="1" customHeight="1">
      <c r="A55" s="32">
        <v>18</v>
      </c>
      <c r="B55" s="76" t="s">
        <v>41</v>
      </c>
      <c r="C55" s="77" t="s">
        <v>111</v>
      </c>
      <c r="D55" s="76" t="s">
        <v>71</v>
      </c>
      <c r="E55" s="78">
        <v>236</v>
      </c>
      <c r="F55" s="79">
        <f>SUM(E55)*3</f>
        <v>708</v>
      </c>
      <c r="G55" s="13">
        <v>65.67</v>
      </c>
      <c r="H55" s="80">
        <f t="shared" si="4"/>
        <v>46.49436</v>
      </c>
      <c r="I55" s="13">
        <f>E55*G55</f>
        <v>15498.12</v>
      </c>
      <c r="J55" s="26"/>
      <c r="L55" s="19"/>
      <c r="M55" s="20"/>
      <c r="N55" s="21"/>
    </row>
    <row r="56" spans="1:22" ht="15.75" customHeight="1">
      <c r="A56" s="139" t="s">
        <v>146</v>
      </c>
      <c r="B56" s="140"/>
      <c r="C56" s="140"/>
      <c r="D56" s="140"/>
      <c r="E56" s="140"/>
      <c r="F56" s="140"/>
      <c r="G56" s="140"/>
      <c r="H56" s="140"/>
      <c r="I56" s="141"/>
      <c r="J56" s="26"/>
      <c r="L56" s="19"/>
      <c r="M56" s="20"/>
      <c r="N56" s="21"/>
    </row>
    <row r="57" spans="1:22" ht="15.75" hidden="1" customHeight="1">
      <c r="A57" s="32"/>
      <c r="B57" s="100" t="s">
        <v>43</v>
      </c>
      <c r="C57" s="77"/>
      <c r="D57" s="76"/>
      <c r="E57" s="78"/>
      <c r="F57" s="79"/>
      <c r="G57" s="79"/>
      <c r="H57" s="80"/>
      <c r="I57" s="13"/>
      <c r="J57" s="26"/>
      <c r="L57" s="19"/>
      <c r="M57" s="20"/>
      <c r="N57" s="21"/>
    </row>
    <row r="58" spans="1:22" ht="31.5" hidden="1" customHeight="1">
      <c r="A58" s="32">
        <v>19</v>
      </c>
      <c r="B58" s="76" t="s">
        <v>132</v>
      </c>
      <c r="C58" s="77" t="s">
        <v>90</v>
      </c>
      <c r="D58" s="76" t="s">
        <v>112</v>
      </c>
      <c r="E58" s="78">
        <v>30</v>
      </c>
      <c r="F58" s="79">
        <f>SUM(E58*6/100)</f>
        <v>1.8</v>
      </c>
      <c r="G58" s="13">
        <v>1547.28</v>
      </c>
      <c r="H58" s="80">
        <f>SUM(F58*G58/1000)</f>
        <v>2.785104</v>
      </c>
      <c r="I58" s="13">
        <f>F58/6*G58</f>
        <v>464.18399999999997</v>
      </c>
      <c r="J58" s="26"/>
      <c r="L58" s="19"/>
    </row>
    <row r="59" spans="1:22" ht="15.75" hidden="1" customHeight="1">
      <c r="A59" s="32">
        <v>20</v>
      </c>
      <c r="B59" s="85" t="s">
        <v>133</v>
      </c>
      <c r="C59" s="86" t="s">
        <v>134</v>
      </c>
      <c r="D59" s="85" t="s">
        <v>42</v>
      </c>
      <c r="E59" s="87">
        <v>6</v>
      </c>
      <c r="F59" s="88">
        <v>12</v>
      </c>
      <c r="G59" s="13">
        <v>180.78</v>
      </c>
      <c r="H59" s="89">
        <f>G59*F59/1000</f>
        <v>2.1693600000000002</v>
      </c>
      <c r="I59" s="13">
        <f>F59/2*G59</f>
        <v>1084.68</v>
      </c>
    </row>
    <row r="60" spans="1:22" ht="15.75" hidden="1" customHeight="1">
      <c r="A60" s="32">
        <v>21</v>
      </c>
      <c r="B60" s="85" t="s">
        <v>135</v>
      </c>
      <c r="C60" s="86" t="s">
        <v>52</v>
      </c>
      <c r="D60" s="85" t="s">
        <v>40</v>
      </c>
      <c r="E60" s="87">
        <v>6</v>
      </c>
      <c r="F60" s="88">
        <f>E60*4/100</f>
        <v>0.24</v>
      </c>
      <c r="G60" s="13">
        <v>1547.28</v>
      </c>
      <c r="H60" s="89">
        <f>G60*F60/1000</f>
        <v>0.37134719999999999</v>
      </c>
      <c r="I60" s="13">
        <f>F60/4*G60</f>
        <v>92.836799999999997</v>
      </c>
    </row>
    <row r="61" spans="1:22" ht="15.75" customHeight="1">
      <c r="A61" s="32"/>
      <c r="B61" s="101" t="s">
        <v>44</v>
      </c>
      <c r="C61" s="86"/>
      <c r="D61" s="85"/>
      <c r="E61" s="87"/>
      <c r="F61" s="88"/>
      <c r="G61" s="13"/>
      <c r="H61" s="89"/>
      <c r="I61" s="13"/>
    </row>
    <row r="62" spans="1:22" ht="15.75" hidden="1" customHeight="1">
      <c r="A62" s="32">
        <v>22</v>
      </c>
      <c r="B62" s="85" t="s">
        <v>136</v>
      </c>
      <c r="C62" s="86" t="s">
        <v>52</v>
      </c>
      <c r="D62" s="85" t="s">
        <v>53</v>
      </c>
      <c r="E62" s="87">
        <v>997</v>
      </c>
      <c r="F62" s="88">
        <v>9.9700000000000006</v>
      </c>
      <c r="G62" s="13">
        <v>793.61</v>
      </c>
      <c r="H62" s="89">
        <f>F62*G62/1000</f>
        <v>7.9122917000000008</v>
      </c>
      <c r="I62" s="13">
        <f>G62*F62</f>
        <v>7912.2917000000007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customHeight="1">
      <c r="A63" s="32">
        <v>14</v>
      </c>
      <c r="B63" s="85" t="s">
        <v>137</v>
      </c>
      <c r="C63" s="86" t="s">
        <v>25</v>
      </c>
      <c r="D63" s="85" t="s">
        <v>30</v>
      </c>
      <c r="E63" s="87">
        <v>394</v>
      </c>
      <c r="F63" s="90">
        <f>E63*12</f>
        <v>4728</v>
      </c>
      <c r="G63" s="71">
        <v>2.6</v>
      </c>
      <c r="H63" s="88">
        <f>F63*G63/1000</f>
        <v>12.292800000000002</v>
      </c>
      <c r="I63" s="13">
        <f>F63/12*G63</f>
        <v>1024.4000000000001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2"/>
      <c r="B64" s="101" t="s">
        <v>45</v>
      </c>
      <c r="C64" s="86"/>
      <c r="D64" s="85"/>
      <c r="E64" s="87"/>
      <c r="F64" s="90"/>
      <c r="G64" s="90"/>
      <c r="H64" s="88" t="s">
        <v>152</v>
      </c>
      <c r="I64" s="13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32">
        <v>15</v>
      </c>
      <c r="B65" s="14" t="s">
        <v>46</v>
      </c>
      <c r="C65" s="16" t="s">
        <v>111</v>
      </c>
      <c r="D65" s="76" t="s">
        <v>67</v>
      </c>
      <c r="E65" s="18">
        <v>15</v>
      </c>
      <c r="F65" s="79">
        <v>15</v>
      </c>
      <c r="G65" s="13">
        <v>222.4</v>
      </c>
      <c r="H65" s="91">
        <f t="shared" ref="H65:H78" si="5">SUM(F65*G65/1000)</f>
        <v>3.3359999999999999</v>
      </c>
      <c r="I65" s="13">
        <f>G65</f>
        <v>222.4</v>
      </c>
      <c r="J65" s="5"/>
      <c r="K65" s="5"/>
      <c r="L65" s="5"/>
      <c r="M65" s="5"/>
      <c r="N65" s="5"/>
      <c r="O65" s="5"/>
      <c r="P65" s="5"/>
      <c r="Q65" s="5"/>
      <c r="R65" s="123"/>
      <c r="S65" s="123"/>
      <c r="T65" s="123"/>
      <c r="U65" s="123"/>
    </row>
    <row r="66" spans="1:21" ht="15.75" hidden="1" customHeight="1">
      <c r="A66" s="32">
        <v>25</v>
      </c>
      <c r="B66" s="14" t="s">
        <v>47</v>
      </c>
      <c r="C66" s="16" t="s">
        <v>111</v>
      </c>
      <c r="D66" s="76" t="s">
        <v>67</v>
      </c>
      <c r="E66" s="18">
        <v>10</v>
      </c>
      <c r="F66" s="79">
        <v>10</v>
      </c>
      <c r="G66" s="13">
        <v>76.25</v>
      </c>
      <c r="H66" s="91">
        <f t="shared" si="5"/>
        <v>0.76249999999999996</v>
      </c>
      <c r="I66" s="13">
        <f>G66</f>
        <v>76.25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48</v>
      </c>
      <c r="C67" s="16" t="s">
        <v>113</v>
      </c>
      <c r="D67" s="14" t="s">
        <v>53</v>
      </c>
      <c r="E67" s="78">
        <v>28608</v>
      </c>
      <c r="F67" s="13">
        <f>SUM(E67/100)</f>
        <v>286.08</v>
      </c>
      <c r="G67" s="13">
        <v>199.77</v>
      </c>
      <c r="H67" s="91">
        <f t="shared" si="5"/>
        <v>57.150201600000003</v>
      </c>
      <c r="I67" s="13">
        <f>F67*G67</f>
        <v>57150.2016</v>
      </c>
    </row>
    <row r="68" spans="1:21" ht="15.75" hidden="1" customHeight="1">
      <c r="A68" s="32"/>
      <c r="B68" s="14" t="s">
        <v>49</v>
      </c>
      <c r="C68" s="16" t="s">
        <v>114</v>
      </c>
      <c r="D68" s="14"/>
      <c r="E68" s="78">
        <v>28608</v>
      </c>
      <c r="F68" s="13">
        <f>SUM(E68/1000)</f>
        <v>28.608000000000001</v>
      </c>
      <c r="G68" s="13">
        <v>155.57</v>
      </c>
      <c r="H68" s="91">
        <f t="shared" si="5"/>
        <v>4.4505465599999994</v>
      </c>
      <c r="I68" s="13">
        <f t="shared" ref="I68:I72" si="6">F68*G68</f>
        <v>4450.5465599999998</v>
      </c>
    </row>
    <row r="69" spans="1:21" ht="15.75" hidden="1" customHeight="1">
      <c r="A69" s="32"/>
      <c r="B69" s="14" t="s">
        <v>50</v>
      </c>
      <c r="C69" s="16" t="s">
        <v>77</v>
      </c>
      <c r="D69" s="14" t="s">
        <v>53</v>
      </c>
      <c r="E69" s="78">
        <v>4550</v>
      </c>
      <c r="F69" s="13">
        <f>SUM(E69/100)</f>
        <v>45.5</v>
      </c>
      <c r="G69" s="13">
        <v>2074.63</v>
      </c>
      <c r="H69" s="91">
        <f t="shared" si="5"/>
        <v>94.395665000000008</v>
      </c>
      <c r="I69" s="13">
        <f t="shared" si="6"/>
        <v>94395.665000000008</v>
      </c>
    </row>
    <row r="70" spans="1:21" ht="15.75" hidden="1" customHeight="1">
      <c r="A70" s="32"/>
      <c r="B70" s="92" t="s">
        <v>115</v>
      </c>
      <c r="C70" s="16" t="s">
        <v>33</v>
      </c>
      <c r="D70" s="14"/>
      <c r="E70" s="78">
        <v>58.5</v>
      </c>
      <c r="F70" s="13">
        <f>SUM(E70)</f>
        <v>58.5</v>
      </c>
      <c r="G70" s="13">
        <v>45.32</v>
      </c>
      <c r="H70" s="91">
        <f t="shared" si="5"/>
        <v>2.6512199999999999</v>
      </c>
      <c r="I70" s="13">
        <f t="shared" si="6"/>
        <v>2651.22</v>
      </c>
    </row>
    <row r="71" spans="1:21" ht="15.75" hidden="1" customHeight="1">
      <c r="A71" s="32"/>
      <c r="B71" s="92" t="s">
        <v>116</v>
      </c>
      <c r="C71" s="16" t="s">
        <v>33</v>
      </c>
      <c r="D71" s="14"/>
      <c r="E71" s="78">
        <v>58.5</v>
      </c>
      <c r="F71" s="13">
        <f>SUM(E71)</f>
        <v>58.5</v>
      </c>
      <c r="G71" s="13">
        <v>42.28</v>
      </c>
      <c r="H71" s="91">
        <f t="shared" si="5"/>
        <v>2.4733800000000001</v>
      </c>
      <c r="I71" s="13">
        <f t="shared" si="6"/>
        <v>2473.38</v>
      </c>
    </row>
    <row r="72" spans="1:21" ht="15.75" hidden="1" customHeight="1">
      <c r="A72" s="32"/>
      <c r="B72" s="14" t="s">
        <v>57</v>
      </c>
      <c r="C72" s="16" t="s">
        <v>58</v>
      </c>
      <c r="D72" s="14" t="s">
        <v>53</v>
      </c>
      <c r="E72" s="18">
        <v>5</v>
      </c>
      <c r="F72" s="79">
        <v>5</v>
      </c>
      <c r="G72" s="13">
        <v>49.88</v>
      </c>
      <c r="H72" s="91">
        <f t="shared" si="5"/>
        <v>0.24940000000000001</v>
      </c>
      <c r="I72" s="13">
        <f t="shared" si="6"/>
        <v>249.4</v>
      </c>
    </row>
    <row r="73" spans="1:21" ht="15.75" customHeight="1">
      <c r="A73" s="32"/>
      <c r="B73" s="64" t="s">
        <v>72</v>
      </c>
      <c r="C73" s="16"/>
      <c r="D73" s="14"/>
      <c r="E73" s="18"/>
      <c r="F73" s="13"/>
      <c r="G73" s="13"/>
      <c r="H73" s="91" t="s">
        <v>152</v>
      </c>
      <c r="I73" s="13"/>
    </row>
    <row r="74" spans="1:21" ht="15.75" customHeight="1">
      <c r="A74" s="32">
        <v>16</v>
      </c>
      <c r="B74" s="14" t="s">
        <v>73</v>
      </c>
      <c r="C74" s="16" t="s">
        <v>75</v>
      </c>
      <c r="D74" s="14"/>
      <c r="E74" s="18">
        <v>10</v>
      </c>
      <c r="F74" s="13">
        <v>1</v>
      </c>
      <c r="G74" s="13">
        <v>501.62</v>
      </c>
      <c r="H74" s="91">
        <f t="shared" si="5"/>
        <v>0.50161999999999995</v>
      </c>
      <c r="I74" s="13">
        <f>G74*2</f>
        <v>1003.24</v>
      </c>
    </row>
    <row r="75" spans="1:21" ht="15.75" hidden="1" customHeight="1">
      <c r="A75" s="32"/>
      <c r="B75" s="14" t="s">
        <v>74</v>
      </c>
      <c r="C75" s="16" t="s">
        <v>31</v>
      </c>
      <c r="D75" s="14"/>
      <c r="E75" s="18">
        <v>3</v>
      </c>
      <c r="F75" s="71">
        <v>3</v>
      </c>
      <c r="G75" s="13">
        <v>852.99</v>
      </c>
      <c r="H75" s="91">
        <f>F75*G75/1000</f>
        <v>2.5589700000000004</v>
      </c>
      <c r="I75" s="13">
        <v>0</v>
      </c>
    </row>
    <row r="76" spans="1:21" ht="15.75" hidden="1" customHeight="1">
      <c r="A76" s="32"/>
      <c r="B76" s="14" t="s">
        <v>118</v>
      </c>
      <c r="C76" s="16" t="s">
        <v>31</v>
      </c>
      <c r="D76" s="14"/>
      <c r="E76" s="18">
        <v>1</v>
      </c>
      <c r="F76" s="13">
        <v>1</v>
      </c>
      <c r="G76" s="13">
        <v>358.51</v>
      </c>
      <c r="H76" s="91">
        <f>G76*F76/1000</f>
        <v>0.35851</v>
      </c>
      <c r="I76" s="13">
        <v>0</v>
      </c>
    </row>
    <row r="77" spans="1:21" ht="15.75" hidden="1" customHeight="1">
      <c r="A77" s="32"/>
      <c r="B77" s="94" t="s">
        <v>76</v>
      </c>
      <c r="C77" s="16"/>
      <c r="D77" s="14"/>
      <c r="E77" s="18"/>
      <c r="F77" s="13"/>
      <c r="G77" s="13" t="s">
        <v>152</v>
      </c>
      <c r="H77" s="91" t="s">
        <v>152</v>
      </c>
      <c r="I77" s="13"/>
    </row>
    <row r="78" spans="1:21" ht="15.75" hidden="1" customHeight="1">
      <c r="A78" s="32"/>
      <c r="B78" s="47" t="s">
        <v>170</v>
      </c>
      <c r="C78" s="16" t="s">
        <v>77</v>
      </c>
      <c r="D78" s="14"/>
      <c r="E78" s="18"/>
      <c r="F78" s="13">
        <v>1.2</v>
      </c>
      <c r="G78" s="13">
        <v>2759.44</v>
      </c>
      <c r="H78" s="91">
        <f t="shared" si="5"/>
        <v>3.311328</v>
      </c>
      <c r="I78" s="13">
        <v>0</v>
      </c>
    </row>
    <row r="79" spans="1:21" ht="15.75" hidden="1" customHeight="1">
      <c r="A79" s="32"/>
      <c r="B79" s="70" t="s">
        <v>96</v>
      </c>
      <c r="C79" s="70"/>
      <c r="D79" s="70"/>
      <c r="E79" s="70"/>
      <c r="F79" s="70"/>
      <c r="G79" s="82"/>
      <c r="H79" s="95">
        <f>SUM(H58:H78)</f>
        <v>197.73024405999999</v>
      </c>
      <c r="I79" s="82"/>
    </row>
    <row r="80" spans="1:21" ht="15.75" hidden="1" customHeight="1">
      <c r="A80" s="32"/>
      <c r="B80" s="102" t="s">
        <v>117</v>
      </c>
      <c r="C80" s="23"/>
      <c r="D80" s="22"/>
      <c r="E80" s="72"/>
      <c r="F80" s="103">
        <v>1</v>
      </c>
      <c r="G80" s="13">
        <v>23072.1</v>
      </c>
      <c r="H80" s="91">
        <f>G80*F80/1000</f>
        <v>23.072099999999999</v>
      </c>
      <c r="I80" s="13">
        <v>0</v>
      </c>
    </row>
    <row r="81" spans="1:9" ht="15.75" customHeight="1">
      <c r="A81" s="124" t="s">
        <v>145</v>
      </c>
      <c r="B81" s="125"/>
      <c r="C81" s="125"/>
      <c r="D81" s="125"/>
      <c r="E81" s="125"/>
      <c r="F81" s="125"/>
      <c r="G81" s="125"/>
      <c r="H81" s="125"/>
      <c r="I81" s="126"/>
    </row>
    <row r="82" spans="1:9" ht="15.75" customHeight="1">
      <c r="A82" s="32">
        <v>17</v>
      </c>
      <c r="B82" s="76" t="s">
        <v>119</v>
      </c>
      <c r="C82" s="16" t="s">
        <v>54</v>
      </c>
      <c r="D82" s="51" t="s">
        <v>55</v>
      </c>
      <c r="E82" s="13">
        <v>6980.3</v>
      </c>
      <c r="F82" s="13">
        <f>SUM(E82*12)</f>
        <v>83763.600000000006</v>
      </c>
      <c r="G82" s="13">
        <v>2.1</v>
      </c>
      <c r="H82" s="91">
        <f>SUM(F82*G82/1000)</f>
        <v>175.90356000000003</v>
      </c>
      <c r="I82" s="13">
        <f>F82/12*G82</f>
        <v>14658.630000000001</v>
      </c>
    </row>
    <row r="83" spans="1:9" ht="31.5" customHeight="1">
      <c r="A83" s="32">
        <v>18</v>
      </c>
      <c r="B83" s="14" t="s">
        <v>78</v>
      </c>
      <c r="C83" s="16"/>
      <c r="D83" s="51" t="s">
        <v>55</v>
      </c>
      <c r="E83" s="78">
        <f>E82</f>
        <v>6980.3</v>
      </c>
      <c r="F83" s="13">
        <f>E83*12</f>
        <v>83763.600000000006</v>
      </c>
      <c r="G83" s="13">
        <v>1.63</v>
      </c>
      <c r="H83" s="91">
        <f>F83*G83/1000</f>
        <v>136.53466800000001</v>
      </c>
      <c r="I83" s="13">
        <f>F83/12*G83</f>
        <v>11377.888999999999</v>
      </c>
    </row>
    <row r="84" spans="1:9" ht="15.75" customHeight="1">
      <c r="A84" s="32"/>
      <c r="B84" s="40" t="s">
        <v>81</v>
      </c>
      <c r="C84" s="94"/>
      <c r="D84" s="93"/>
      <c r="E84" s="82"/>
      <c r="F84" s="82"/>
      <c r="G84" s="82"/>
      <c r="H84" s="95">
        <f>H83</f>
        <v>136.53466800000001</v>
      </c>
      <c r="I84" s="82">
        <f>I16+I17+I18+I20+I21+I24+I25+I26+I27+I30+I31+I33+I34+I63+I65+I74+I82+I83</f>
        <v>95161.129781888871</v>
      </c>
    </row>
    <row r="85" spans="1:9" ht="15.75" customHeight="1">
      <c r="A85" s="135" t="s">
        <v>60</v>
      </c>
      <c r="B85" s="136"/>
      <c r="C85" s="136"/>
      <c r="D85" s="136"/>
      <c r="E85" s="136"/>
      <c r="F85" s="136"/>
      <c r="G85" s="136"/>
      <c r="H85" s="136"/>
      <c r="I85" s="137"/>
    </row>
    <row r="86" spans="1:9" ht="15.75" customHeight="1">
      <c r="A86" s="32">
        <v>19</v>
      </c>
      <c r="B86" s="50" t="s">
        <v>143</v>
      </c>
      <c r="C86" s="62" t="s">
        <v>85</v>
      </c>
      <c r="D86" s="39"/>
      <c r="E86" s="17"/>
      <c r="F86" s="36">
        <v>11</v>
      </c>
      <c r="G86" s="36">
        <v>195.85</v>
      </c>
      <c r="H86" s="110">
        <f>G86*F86/1000</f>
        <v>2.15435</v>
      </c>
      <c r="I86" s="32">
        <f>G86*3</f>
        <v>587.54999999999995</v>
      </c>
    </row>
    <row r="87" spans="1:9" ht="15.75" customHeight="1">
      <c r="A87" s="32">
        <v>20</v>
      </c>
      <c r="B87" s="50" t="s">
        <v>138</v>
      </c>
      <c r="C87" s="62" t="s">
        <v>111</v>
      </c>
      <c r="D87" s="14"/>
      <c r="E87" s="18"/>
      <c r="F87" s="13">
        <v>1440</v>
      </c>
      <c r="G87" s="13">
        <v>53.42</v>
      </c>
      <c r="H87" s="91">
        <f t="shared" ref="H87" si="7">G87*F87/1000</f>
        <v>76.924800000000005</v>
      </c>
      <c r="I87" s="13">
        <f>G87*120</f>
        <v>6410.4000000000005</v>
      </c>
    </row>
    <row r="88" spans="1:9" ht="15.75" customHeight="1">
      <c r="A88" s="32">
        <v>21</v>
      </c>
      <c r="B88" s="98" t="s">
        <v>192</v>
      </c>
      <c r="C88" s="99" t="s">
        <v>142</v>
      </c>
      <c r="D88" s="111"/>
      <c r="E88" s="36"/>
      <c r="F88" s="36">
        <f>(3+4+15+15+15+5+20+20+15+10+15+15+7+6+15+3+10+10+15+7+20+3)/3</f>
        <v>82.666666666666671</v>
      </c>
      <c r="G88" s="36">
        <v>1120.8900000000001</v>
      </c>
      <c r="H88" s="110">
        <f>G88*F88/1000</f>
        <v>92.660240000000016</v>
      </c>
      <c r="I88" s="13">
        <f>G88*((10+10+15+7)/3)</f>
        <v>15692.460000000001</v>
      </c>
    </row>
    <row r="89" spans="1:9" ht="31.5" customHeight="1">
      <c r="A89" s="32">
        <v>22</v>
      </c>
      <c r="B89" s="52" t="s">
        <v>195</v>
      </c>
      <c r="C89" s="53" t="s">
        <v>156</v>
      </c>
      <c r="D89" s="111"/>
      <c r="E89" s="36"/>
      <c r="F89" s="36">
        <v>31</v>
      </c>
      <c r="G89" s="36">
        <v>1046.06</v>
      </c>
      <c r="H89" s="110">
        <f t="shared" ref="H89:H92" si="8">G89*F89/1000</f>
        <v>32.427859999999995</v>
      </c>
      <c r="I89" s="13">
        <f>G89*5</f>
        <v>5230.2999999999993</v>
      </c>
    </row>
    <row r="90" spans="1:9" ht="15.75" customHeight="1">
      <c r="A90" s="32">
        <v>23</v>
      </c>
      <c r="B90" s="50" t="s">
        <v>202</v>
      </c>
      <c r="C90" s="62" t="s">
        <v>111</v>
      </c>
      <c r="D90" s="111"/>
      <c r="E90" s="36"/>
      <c r="F90" s="36">
        <v>7</v>
      </c>
      <c r="G90" s="36">
        <v>22</v>
      </c>
      <c r="H90" s="110">
        <f t="shared" si="8"/>
        <v>0.154</v>
      </c>
      <c r="I90" s="13">
        <f>G90*2</f>
        <v>44</v>
      </c>
    </row>
    <row r="91" spans="1:9" ht="31.5" customHeight="1">
      <c r="A91" s="32">
        <v>24</v>
      </c>
      <c r="B91" s="52" t="s">
        <v>203</v>
      </c>
      <c r="C91" s="53" t="s">
        <v>156</v>
      </c>
      <c r="D91" s="111"/>
      <c r="E91" s="36"/>
      <c r="F91" s="36">
        <v>5</v>
      </c>
      <c r="G91" s="36">
        <v>727.73</v>
      </c>
      <c r="H91" s="110">
        <f t="shared" si="8"/>
        <v>3.6386500000000002</v>
      </c>
      <c r="I91" s="13">
        <f>G91*2</f>
        <v>1455.46</v>
      </c>
    </row>
    <row r="92" spans="1:9" ht="15.75" customHeight="1">
      <c r="A92" s="32">
        <v>25</v>
      </c>
      <c r="B92" s="50" t="s">
        <v>197</v>
      </c>
      <c r="C92" s="62" t="s">
        <v>111</v>
      </c>
      <c r="D92" s="39"/>
      <c r="E92" s="17"/>
      <c r="F92" s="36">
        <v>11</v>
      </c>
      <c r="G92" s="36">
        <v>140</v>
      </c>
      <c r="H92" s="110">
        <f t="shared" si="8"/>
        <v>1.54</v>
      </c>
      <c r="I92" s="13">
        <f>G92</f>
        <v>140</v>
      </c>
    </row>
    <row r="93" spans="1:9" ht="31.5" customHeight="1">
      <c r="A93" s="32">
        <v>26</v>
      </c>
      <c r="B93" s="61" t="s">
        <v>166</v>
      </c>
      <c r="C93" s="32" t="s">
        <v>82</v>
      </c>
      <c r="D93" s="39"/>
      <c r="E93" s="17"/>
      <c r="F93" s="36">
        <v>44.5</v>
      </c>
      <c r="G93" s="13">
        <v>1272</v>
      </c>
      <c r="H93" s="110">
        <f>G93*F93/1000</f>
        <v>56.603999999999999</v>
      </c>
      <c r="I93" s="13">
        <f>G93*3</f>
        <v>3816</v>
      </c>
    </row>
    <row r="94" spans="1:9" ht="15.75" customHeight="1">
      <c r="A94" s="32">
        <v>27</v>
      </c>
      <c r="B94" s="50" t="s">
        <v>83</v>
      </c>
      <c r="C94" s="62" t="s">
        <v>111</v>
      </c>
      <c r="D94" s="39"/>
      <c r="E94" s="17"/>
      <c r="F94" s="36">
        <v>13</v>
      </c>
      <c r="G94" s="36">
        <v>189.88</v>
      </c>
      <c r="H94" s="110">
        <f>G94*F94/1000</f>
        <v>2.4684400000000002</v>
      </c>
      <c r="I94" s="13">
        <f>G94</f>
        <v>189.88</v>
      </c>
    </row>
    <row r="95" spans="1:9" ht="15.75" customHeight="1">
      <c r="A95" s="32">
        <v>28</v>
      </c>
      <c r="B95" s="61" t="s">
        <v>167</v>
      </c>
      <c r="C95" s="32" t="s">
        <v>111</v>
      </c>
      <c r="D95" s="47"/>
      <c r="E95" s="13"/>
      <c r="F95" s="13">
        <v>6</v>
      </c>
      <c r="G95" s="13">
        <v>470</v>
      </c>
      <c r="H95" s="110">
        <f t="shared" ref="H95:H98" si="9">G95*F95/1000</f>
        <v>2.82</v>
      </c>
      <c r="I95" s="13">
        <f>G95*3</f>
        <v>1410</v>
      </c>
    </row>
    <row r="96" spans="1:9" ht="15.75" customHeight="1">
      <c r="A96" s="32">
        <v>29</v>
      </c>
      <c r="B96" s="50" t="s">
        <v>168</v>
      </c>
      <c r="C96" s="62" t="s">
        <v>111</v>
      </c>
      <c r="D96" s="111"/>
      <c r="E96" s="36"/>
      <c r="F96" s="36">
        <v>2</v>
      </c>
      <c r="G96" s="36">
        <v>61</v>
      </c>
      <c r="H96" s="110">
        <f t="shared" si="9"/>
        <v>0.122</v>
      </c>
      <c r="I96" s="13">
        <f>G96</f>
        <v>61</v>
      </c>
    </row>
    <row r="97" spans="1:9" ht="15.75" customHeight="1">
      <c r="A97" s="32">
        <v>30</v>
      </c>
      <c r="B97" s="52" t="s">
        <v>237</v>
      </c>
      <c r="C97" s="53" t="s">
        <v>111</v>
      </c>
      <c r="D97" s="111"/>
      <c r="E97" s="36"/>
      <c r="F97" s="36">
        <v>2</v>
      </c>
      <c r="G97" s="36">
        <v>82</v>
      </c>
      <c r="H97" s="110">
        <f t="shared" si="9"/>
        <v>0.16400000000000001</v>
      </c>
      <c r="I97" s="13">
        <f>G97</f>
        <v>82</v>
      </c>
    </row>
    <row r="98" spans="1:9" ht="15.75" customHeight="1">
      <c r="A98" s="32">
        <v>31</v>
      </c>
      <c r="B98" s="50" t="s">
        <v>229</v>
      </c>
      <c r="C98" s="62" t="s">
        <v>111</v>
      </c>
      <c r="D98" s="39"/>
      <c r="E98" s="17"/>
      <c r="F98" s="36">
        <v>2</v>
      </c>
      <c r="G98" s="36">
        <v>62</v>
      </c>
      <c r="H98" s="110">
        <f t="shared" si="9"/>
        <v>0.124</v>
      </c>
      <c r="I98" s="13">
        <f>G98</f>
        <v>62</v>
      </c>
    </row>
    <row r="99" spans="1:9" ht="15.75" customHeight="1">
      <c r="A99" s="32">
        <v>32</v>
      </c>
      <c r="B99" s="50" t="s">
        <v>252</v>
      </c>
      <c r="C99" s="62" t="s">
        <v>156</v>
      </c>
      <c r="D99" s="47"/>
      <c r="E99" s="36"/>
      <c r="F99" s="36">
        <v>2</v>
      </c>
      <c r="G99" s="37">
        <v>760.76</v>
      </c>
      <c r="H99" s="110">
        <f>G99*F99/1000</f>
        <v>1.52152</v>
      </c>
      <c r="I99" s="13">
        <f>G99*2</f>
        <v>1521.52</v>
      </c>
    </row>
    <row r="100" spans="1:9" ht="15.75" customHeight="1">
      <c r="A100" s="32"/>
      <c r="B100" s="45" t="s">
        <v>51</v>
      </c>
      <c r="C100" s="41"/>
      <c r="D100" s="48"/>
      <c r="E100" s="41">
        <v>1</v>
      </c>
      <c r="F100" s="41"/>
      <c r="G100" s="41"/>
      <c r="H100" s="41"/>
      <c r="I100" s="34">
        <f>SUM(I86:I99)</f>
        <v>36702.569999999992</v>
      </c>
    </row>
    <row r="101" spans="1:9">
      <c r="A101" s="32"/>
      <c r="B101" s="47" t="s">
        <v>79</v>
      </c>
      <c r="C101" s="15"/>
      <c r="D101" s="15"/>
      <c r="E101" s="42"/>
      <c r="F101" s="42"/>
      <c r="G101" s="43"/>
      <c r="H101" s="43"/>
      <c r="I101" s="17">
        <v>0</v>
      </c>
    </row>
    <row r="102" spans="1:9">
      <c r="A102" s="49"/>
      <c r="B102" s="46" t="s">
        <v>189</v>
      </c>
      <c r="C102" s="35"/>
      <c r="D102" s="35"/>
      <c r="E102" s="35"/>
      <c r="F102" s="35"/>
      <c r="G102" s="35"/>
      <c r="H102" s="35"/>
      <c r="I102" s="44">
        <f>I84+I100</f>
        <v>131863.69978188886</v>
      </c>
    </row>
    <row r="103" spans="1:9" ht="15.75">
      <c r="A103" s="127" t="s">
        <v>253</v>
      </c>
      <c r="B103" s="127"/>
      <c r="C103" s="127"/>
      <c r="D103" s="127"/>
      <c r="E103" s="127"/>
      <c r="F103" s="127"/>
      <c r="G103" s="127"/>
      <c r="H103" s="127"/>
      <c r="I103" s="127"/>
    </row>
    <row r="104" spans="1:9" ht="15.75" customHeight="1">
      <c r="A104" s="60"/>
      <c r="B104" s="128" t="s">
        <v>254</v>
      </c>
      <c r="C104" s="128"/>
      <c r="D104" s="128"/>
      <c r="E104" s="128"/>
      <c r="F104" s="128"/>
      <c r="G104" s="128"/>
      <c r="H104" s="75"/>
      <c r="I104" s="3"/>
    </row>
    <row r="105" spans="1:9">
      <c r="A105" s="69"/>
      <c r="B105" s="129" t="s">
        <v>6</v>
      </c>
      <c r="C105" s="129"/>
      <c r="D105" s="129"/>
      <c r="E105" s="129"/>
      <c r="F105" s="129"/>
      <c r="G105" s="129"/>
      <c r="H105" s="27"/>
      <c r="I105" s="5"/>
    </row>
    <row r="106" spans="1:9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>
      <c r="A107" s="130" t="s">
        <v>7</v>
      </c>
      <c r="B107" s="130"/>
      <c r="C107" s="130"/>
      <c r="D107" s="130"/>
      <c r="E107" s="130"/>
      <c r="F107" s="130"/>
      <c r="G107" s="130"/>
      <c r="H107" s="130"/>
      <c r="I107" s="130"/>
    </row>
    <row r="108" spans="1:9" ht="15.75">
      <c r="A108" s="130" t="s">
        <v>8</v>
      </c>
      <c r="B108" s="130"/>
      <c r="C108" s="130"/>
      <c r="D108" s="130"/>
      <c r="E108" s="130"/>
      <c r="F108" s="130"/>
      <c r="G108" s="130"/>
      <c r="H108" s="130"/>
      <c r="I108" s="130"/>
    </row>
    <row r="109" spans="1:9" ht="15.75">
      <c r="A109" s="131" t="s">
        <v>61</v>
      </c>
      <c r="B109" s="131"/>
      <c r="C109" s="131"/>
      <c r="D109" s="131"/>
      <c r="E109" s="131"/>
      <c r="F109" s="131"/>
      <c r="G109" s="131"/>
      <c r="H109" s="131"/>
      <c r="I109" s="131"/>
    </row>
    <row r="110" spans="1:9" ht="15.75">
      <c r="A110" s="11"/>
    </row>
    <row r="111" spans="1:9" ht="15.75">
      <c r="A111" s="132" t="s">
        <v>9</v>
      </c>
      <c r="B111" s="132"/>
      <c r="C111" s="132"/>
      <c r="D111" s="132"/>
      <c r="E111" s="132"/>
      <c r="F111" s="132"/>
      <c r="G111" s="132"/>
      <c r="H111" s="132"/>
      <c r="I111" s="132"/>
    </row>
    <row r="112" spans="1:9" ht="15.75" customHeight="1">
      <c r="A112" s="4"/>
    </row>
    <row r="113" spans="1:9" ht="15.75" customHeight="1">
      <c r="B113" s="66" t="s">
        <v>10</v>
      </c>
      <c r="C113" s="133" t="s">
        <v>144</v>
      </c>
      <c r="D113" s="133"/>
      <c r="E113" s="133"/>
      <c r="F113" s="73"/>
      <c r="I113" s="68"/>
    </row>
    <row r="114" spans="1:9" ht="15.75" customHeight="1">
      <c r="A114" s="69"/>
      <c r="C114" s="129" t="s">
        <v>11</v>
      </c>
      <c r="D114" s="129"/>
      <c r="E114" s="129"/>
      <c r="F114" s="27"/>
      <c r="I114" s="67" t="s">
        <v>12</v>
      </c>
    </row>
    <row r="115" spans="1:9" ht="15.75" customHeight="1">
      <c r="A115" s="28"/>
      <c r="C115" s="12"/>
      <c r="D115" s="12"/>
      <c r="G115" s="12"/>
      <c r="H115" s="12"/>
    </row>
    <row r="116" spans="1:9" ht="15.75">
      <c r="B116" s="66" t="s">
        <v>13</v>
      </c>
      <c r="C116" s="134"/>
      <c r="D116" s="134"/>
      <c r="E116" s="134"/>
      <c r="F116" s="74"/>
      <c r="I116" s="68"/>
    </row>
    <row r="117" spans="1:9">
      <c r="A117" s="69"/>
      <c r="C117" s="123" t="s">
        <v>11</v>
      </c>
      <c r="D117" s="123"/>
      <c r="E117" s="123"/>
      <c r="F117" s="69"/>
      <c r="I117" s="67" t="s">
        <v>12</v>
      </c>
    </row>
    <row r="118" spans="1:9" ht="15.75">
      <c r="A118" s="4" t="s">
        <v>14</v>
      </c>
    </row>
    <row r="119" spans="1:9">
      <c r="A119" s="121" t="s">
        <v>15</v>
      </c>
      <c r="B119" s="121"/>
      <c r="C119" s="121"/>
      <c r="D119" s="121"/>
      <c r="E119" s="121"/>
      <c r="F119" s="121"/>
      <c r="G119" s="121"/>
      <c r="H119" s="121"/>
      <c r="I119" s="121"/>
    </row>
    <row r="120" spans="1:9" ht="45" customHeight="1">
      <c r="A120" s="122" t="s">
        <v>16</v>
      </c>
      <c r="B120" s="122"/>
      <c r="C120" s="122"/>
      <c r="D120" s="122"/>
      <c r="E120" s="122"/>
      <c r="F120" s="122"/>
      <c r="G120" s="122"/>
      <c r="H120" s="122"/>
      <c r="I120" s="122"/>
    </row>
    <row r="121" spans="1:9" ht="30" customHeight="1">
      <c r="A121" s="122" t="s">
        <v>17</v>
      </c>
      <c r="B121" s="122"/>
      <c r="C121" s="122"/>
      <c r="D121" s="122"/>
      <c r="E121" s="122"/>
      <c r="F121" s="122"/>
      <c r="G121" s="122"/>
      <c r="H121" s="122"/>
      <c r="I121" s="122"/>
    </row>
    <row r="122" spans="1:9" ht="30" customHeight="1">
      <c r="A122" s="122" t="s">
        <v>21</v>
      </c>
      <c r="B122" s="122"/>
      <c r="C122" s="122"/>
      <c r="D122" s="122"/>
      <c r="E122" s="122"/>
      <c r="F122" s="122"/>
      <c r="G122" s="122"/>
      <c r="H122" s="122"/>
      <c r="I122" s="122"/>
    </row>
    <row r="123" spans="1:9" ht="15" customHeight="1">
      <c r="A123" s="122" t="s">
        <v>20</v>
      </c>
      <c r="B123" s="122"/>
      <c r="C123" s="122"/>
      <c r="D123" s="122"/>
      <c r="E123" s="122"/>
      <c r="F123" s="122"/>
      <c r="G123" s="122"/>
      <c r="H123" s="122"/>
      <c r="I123" s="122"/>
    </row>
  </sheetData>
  <autoFilter ref="I12:I60"/>
  <mergeCells count="29">
    <mergeCell ref="A120:I120"/>
    <mergeCell ref="A121:I121"/>
    <mergeCell ref="A122:I122"/>
    <mergeCell ref="A123:I123"/>
    <mergeCell ref="A111:I111"/>
    <mergeCell ref="C113:E113"/>
    <mergeCell ref="C114:E114"/>
    <mergeCell ref="C116:E116"/>
    <mergeCell ref="C117:E117"/>
    <mergeCell ref="A119:I119"/>
    <mergeCell ref="A109:I109"/>
    <mergeCell ref="A15:I15"/>
    <mergeCell ref="A28:I28"/>
    <mergeCell ref="A46:I46"/>
    <mergeCell ref="A56:I56"/>
    <mergeCell ref="A103:I103"/>
    <mergeCell ref="B104:G104"/>
    <mergeCell ref="B105:G105"/>
    <mergeCell ref="A107:I107"/>
    <mergeCell ref="A108:I108"/>
    <mergeCell ref="A85:I85"/>
    <mergeCell ref="R65:U65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4"/>
  <sheetViews>
    <sheetView tabSelected="1" topLeftCell="A84" workbookViewId="0">
      <selection activeCell="M99" sqref="M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88</v>
      </c>
      <c r="I1" s="29"/>
      <c r="J1" s="1"/>
      <c r="K1" s="1"/>
      <c r="L1" s="1"/>
      <c r="M1" s="1"/>
    </row>
    <row r="2" spans="1:13" ht="15.75">
      <c r="A2" s="31" t="s">
        <v>62</v>
      </c>
      <c r="J2" s="2"/>
      <c r="K2" s="2"/>
      <c r="L2" s="2"/>
      <c r="M2" s="2"/>
    </row>
    <row r="3" spans="1:13" ht="15.75" customHeight="1">
      <c r="A3" s="143" t="s">
        <v>255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141</v>
      </c>
      <c r="B4" s="144"/>
      <c r="C4" s="144"/>
      <c r="D4" s="144"/>
      <c r="E4" s="144"/>
      <c r="F4" s="144"/>
      <c r="G4" s="144"/>
      <c r="H4" s="144"/>
      <c r="I4" s="144"/>
    </row>
    <row r="5" spans="1:13" ht="15.75">
      <c r="A5" s="143" t="s">
        <v>256</v>
      </c>
      <c r="B5" s="145"/>
      <c r="C5" s="145"/>
      <c r="D5" s="145"/>
      <c r="E5" s="145"/>
      <c r="F5" s="145"/>
      <c r="G5" s="145"/>
      <c r="H5" s="145"/>
      <c r="I5" s="145"/>
      <c r="J5" s="2"/>
      <c r="K5" s="2"/>
      <c r="L5" s="2"/>
      <c r="M5" s="2"/>
    </row>
    <row r="6" spans="1:13" ht="15.75">
      <c r="A6" s="2"/>
      <c r="B6" s="105"/>
      <c r="C6" s="105"/>
      <c r="D6" s="105"/>
      <c r="E6" s="105"/>
      <c r="F6" s="105"/>
      <c r="G6" s="105"/>
      <c r="H6" s="105"/>
      <c r="I6" s="33">
        <v>43069</v>
      </c>
      <c r="J6" s="2"/>
      <c r="K6" s="2"/>
      <c r="L6" s="2"/>
      <c r="M6" s="2"/>
    </row>
    <row r="7" spans="1:13" ht="15.75">
      <c r="B7" s="108"/>
      <c r="C7" s="108"/>
      <c r="D7" s="10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6" t="s">
        <v>147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7" t="s">
        <v>182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2" t="s">
        <v>59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32">
        <v>1</v>
      </c>
      <c r="B16" s="76" t="s">
        <v>89</v>
      </c>
      <c r="C16" s="77" t="s">
        <v>90</v>
      </c>
      <c r="D16" s="76" t="s">
        <v>186</v>
      </c>
      <c r="E16" s="78">
        <v>208.08</v>
      </c>
      <c r="F16" s="79">
        <f>SUM(E16*156/100)</f>
        <v>324.60480000000001</v>
      </c>
      <c r="G16" s="79">
        <v>175.38</v>
      </c>
      <c r="H16" s="80">
        <f t="shared" ref="H16:H25" si="0">SUM(F16*G16/1000)</f>
        <v>56.929189823999998</v>
      </c>
      <c r="I16" s="13">
        <f>F16/12*G16</f>
        <v>4744.0991519999998</v>
      </c>
      <c r="J16" s="24"/>
      <c r="K16" s="8"/>
      <c r="L16" s="8"/>
      <c r="M16" s="8"/>
    </row>
    <row r="17" spans="1:13" ht="15.75" customHeight="1">
      <c r="A17" s="32">
        <v>2</v>
      </c>
      <c r="B17" s="76" t="s">
        <v>120</v>
      </c>
      <c r="C17" s="77" t="s">
        <v>90</v>
      </c>
      <c r="D17" s="76" t="s">
        <v>185</v>
      </c>
      <c r="E17" s="78">
        <v>832.32</v>
      </c>
      <c r="F17" s="79">
        <f>SUM(E17*104/100)</f>
        <v>865.61279999999999</v>
      </c>
      <c r="G17" s="79">
        <v>175.38</v>
      </c>
      <c r="H17" s="80">
        <f t="shared" si="0"/>
        <v>151.81117286399999</v>
      </c>
      <c r="I17" s="13">
        <f>F17/12*G17</f>
        <v>12650.931071999999</v>
      </c>
      <c r="J17" s="25"/>
      <c r="K17" s="8"/>
      <c r="L17" s="8"/>
      <c r="M17" s="8"/>
    </row>
    <row r="18" spans="1:13" ht="15.75" customHeight="1">
      <c r="A18" s="32">
        <v>3</v>
      </c>
      <c r="B18" s="76" t="s">
        <v>121</v>
      </c>
      <c r="C18" s="77" t="s">
        <v>90</v>
      </c>
      <c r="D18" s="76" t="s">
        <v>184</v>
      </c>
      <c r="E18" s="78">
        <v>1040.4000000000001</v>
      </c>
      <c r="F18" s="79">
        <f>SUM(E18*24/100)</f>
        <v>249.69600000000003</v>
      </c>
      <c r="G18" s="79">
        <v>504.5</v>
      </c>
      <c r="H18" s="80">
        <f t="shared" si="0"/>
        <v>125.97163200000001</v>
      </c>
      <c r="I18" s="13">
        <f>F18/12*G18</f>
        <v>10497.636000000002</v>
      </c>
      <c r="J18" s="25"/>
      <c r="K18" s="8"/>
      <c r="L18" s="8"/>
      <c r="M18" s="8"/>
    </row>
    <row r="19" spans="1:13" ht="15.75" hidden="1" customHeight="1">
      <c r="A19" s="32"/>
      <c r="B19" s="76" t="s">
        <v>97</v>
      </c>
      <c r="C19" s="77" t="s">
        <v>98</v>
      </c>
      <c r="D19" s="76" t="s">
        <v>99</v>
      </c>
      <c r="E19" s="78">
        <v>48</v>
      </c>
      <c r="F19" s="79">
        <f>SUM(E19/10)</f>
        <v>4.8</v>
      </c>
      <c r="G19" s="79">
        <v>170.16</v>
      </c>
      <c r="H19" s="80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76" t="s">
        <v>100</v>
      </c>
      <c r="C20" s="77" t="s">
        <v>90</v>
      </c>
      <c r="D20" s="76" t="s">
        <v>122</v>
      </c>
      <c r="E20" s="78">
        <v>30.6</v>
      </c>
      <c r="F20" s="79">
        <f>SUM(E20*12/100)</f>
        <v>3.6720000000000006</v>
      </c>
      <c r="G20" s="79">
        <v>217.88</v>
      </c>
      <c r="H20" s="80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customHeight="1">
      <c r="A21" s="32">
        <v>5</v>
      </c>
      <c r="B21" s="76" t="s">
        <v>101</v>
      </c>
      <c r="C21" s="77" t="s">
        <v>90</v>
      </c>
      <c r="D21" s="76" t="s">
        <v>30</v>
      </c>
      <c r="E21" s="78">
        <v>10.06</v>
      </c>
      <c r="F21" s="79">
        <f>SUM(E21*12/100)</f>
        <v>1.2072000000000001</v>
      </c>
      <c r="G21" s="79">
        <v>216.12</v>
      </c>
      <c r="H21" s="80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6" t="s">
        <v>102</v>
      </c>
      <c r="C22" s="77" t="s">
        <v>52</v>
      </c>
      <c r="D22" s="76" t="s">
        <v>99</v>
      </c>
      <c r="E22" s="78">
        <v>769.2</v>
      </c>
      <c r="F22" s="79">
        <f>SUM(E22/100)</f>
        <v>7.6920000000000002</v>
      </c>
      <c r="G22" s="79">
        <v>269.26</v>
      </c>
      <c r="H22" s="80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6" t="s">
        <v>103</v>
      </c>
      <c r="C23" s="77" t="s">
        <v>52</v>
      </c>
      <c r="D23" s="76" t="s">
        <v>99</v>
      </c>
      <c r="E23" s="81">
        <v>35.28</v>
      </c>
      <c r="F23" s="79">
        <f>SUM(E23/100)</f>
        <v>0.3528</v>
      </c>
      <c r="G23" s="79">
        <v>44.29</v>
      </c>
      <c r="H23" s="80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customHeight="1">
      <c r="A24" s="32">
        <v>6</v>
      </c>
      <c r="B24" s="76" t="s">
        <v>104</v>
      </c>
      <c r="C24" s="77" t="s">
        <v>52</v>
      </c>
      <c r="D24" s="76" t="s">
        <v>30</v>
      </c>
      <c r="E24" s="78">
        <v>10.8</v>
      </c>
      <c r="F24" s="79">
        <f>E24*12/100</f>
        <v>1.2960000000000003</v>
      </c>
      <c r="G24" s="79">
        <v>389.72</v>
      </c>
      <c r="H24" s="80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customHeight="1">
      <c r="A25" s="32">
        <v>7</v>
      </c>
      <c r="B25" s="76" t="s">
        <v>105</v>
      </c>
      <c r="C25" s="77" t="s">
        <v>52</v>
      </c>
      <c r="D25" s="76" t="s">
        <v>123</v>
      </c>
      <c r="E25" s="78">
        <v>21.6</v>
      </c>
      <c r="F25" s="79">
        <f>SUM(E25*12/100)</f>
        <v>2.5920000000000005</v>
      </c>
      <c r="G25" s="79">
        <v>520.79999999999995</v>
      </c>
      <c r="H25" s="80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8</v>
      </c>
      <c r="B26" s="76" t="s">
        <v>64</v>
      </c>
      <c r="C26" s="77" t="s">
        <v>33</v>
      </c>
      <c r="D26" s="76" t="s">
        <v>183</v>
      </c>
      <c r="E26" s="78">
        <v>0.1</v>
      </c>
      <c r="F26" s="79">
        <f>SUM(E26*365)</f>
        <v>36.5</v>
      </c>
      <c r="G26" s="79">
        <v>147.03</v>
      </c>
      <c r="H26" s="80">
        <f>SUM(F26*G26/1000)</f>
        <v>5.3665950000000002</v>
      </c>
      <c r="I26" s="13">
        <f>F26/12*G26</f>
        <v>447.21625</v>
      </c>
      <c r="J26" s="26"/>
    </row>
    <row r="27" spans="1:13" ht="15.75" customHeight="1">
      <c r="A27" s="32">
        <v>9</v>
      </c>
      <c r="B27" s="84" t="s">
        <v>23</v>
      </c>
      <c r="C27" s="77" t="s">
        <v>24</v>
      </c>
      <c r="D27" s="76" t="s">
        <v>183</v>
      </c>
      <c r="E27" s="78">
        <v>6980.3</v>
      </c>
      <c r="F27" s="79">
        <f>SUM(E27*12)</f>
        <v>83763.600000000006</v>
      </c>
      <c r="G27" s="79">
        <v>4.4000000000000004</v>
      </c>
      <c r="H27" s="80">
        <f>SUM(F27*G27/1000)</f>
        <v>368.55984000000007</v>
      </c>
      <c r="I27" s="13">
        <f>F27/12*G27</f>
        <v>30713.320000000003</v>
      </c>
      <c r="J27" s="26"/>
    </row>
    <row r="28" spans="1:13" ht="15" customHeight="1">
      <c r="A28" s="138" t="s">
        <v>87</v>
      </c>
      <c r="B28" s="138"/>
      <c r="C28" s="138"/>
      <c r="D28" s="138"/>
      <c r="E28" s="138"/>
      <c r="F28" s="138"/>
      <c r="G28" s="138"/>
      <c r="H28" s="138"/>
      <c r="I28" s="138"/>
      <c r="J28" s="25"/>
      <c r="K28" s="8"/>
      <c r="L28" s="8"/>
      <c r="M28" s="8"/>
    </row>
    <row r="29" spans="1:13" ht="15.75" hidden="1" customHeight="1">
      <c r="A29" s="32"/>
      <c r="B29" s="100" t="s">
        <v>28</v>
      </c>
      <c r="C29" s="77"/>
      <c r="D29" s="76"/>
      <c r="E29" s="78"/>
      <c r="F29" s="79"/>
      <c r="G29" s="79"/>
      <c r="H29" s="80"/>
      <c r="I29" s="13"/>
      <c r="J29" s="25"/>
      <c r="K29" s="8"/>
      <c r="L29" s="8"/>
      <c r="M29" s="8"/>
    </row>
    <row r="30" spans="1:13" ht="15.75" hidden="1" customHeight="1">
      <c r="A30" s="32">
        <v>10</v>
      </c>
      <c r="B30" s="76" t="s">
        <v>109</v>
      </c>
      <c r="C30" s="77" t="s">
        <v>92</v>
      </c>
      <c r="D30" s="76" t="s">
        <v>213</v>
      </c>
      <c r="E30" s="79">
        <v>1168.05</v>
      </c>
      <c r="F30" s="79">
        <f>SUM(E30*52/1000)</f>
        <v>60.738599999999998</v>
      </c>
      <c r="G30" s="79">
        <v>155.88999999999999</v>
      </c>
      <c r="H30" s="80">
        <f t="shared" ref="H30:H36" si="1">SUM(F30*G30/1000)</f>
        <v>9.4685403539999982</v>
      </c>
      <c r="I30" s="13">
        <f>F30/6*G30</f>
        <v>1578.0900589999997</v>
      </c>
      <c r="J30" s="25"/>
      <c r="K30" s="8"/>
      <c r="L30" s="8"/>
      <c r="M30" s="8"/>
    </row>
    <row r="31" spans="1:13" ht="31.5" hidden="1" customHeight="1">
      <c r="A31" s="32">
        <v>11</v>
      </c>
      <c r="B31" s="76" t="s">
        <v>125</v>
      </c>
      <c r="C31" s="77" t="s">
        <v>92</v>
      </c>
      <c r="D31" s="76" t="s">
        <v>214</v>
      </c>
      <c r="E31" s="79">
        <v>1039.2</v>
      </c>
      <c r="F31" s="79">
        <f>SUM(E31*78/1000)</f>
        <v>81.057600000000008</v>
      </c>
      <c r="G31" s="79">
        <v>258.63</v>
      </c>
      <c r="H31" s="80">
        <f t="shared" si="1"/>
        <v>20.963927088000002</v>
      </c>
      <c r="I31" s="13">
        <f t="shared" ref="I31:I34" si="2">F31/6*G31</f>
        <v>3493.9878480000002</v>
      </c>
      <c r="J31" s="25"/>
      <c r="K31" s="8"/>
      <c r="L31" s="8"/>
      <c r="M31" s="8"/>
    </row>
    <row r="32" spans="1:13" ht="15.75" hidden="1" customHeight="1">
      <c r="A32" s="32">
        <v>16</v>
      </c>
      <c r="B32" s="76" t="s">
        <v>27</v>
      </c>
      <c r="C32" s="77" t="s">
        <v>92</v>
      </c>
      <c r="D32" s="76" t="s">
        <v>53</v>
      </c>
      <c r="E32" s="79">
        <v>584.03</v>
      </c>
      <c r="F32" s="79">
        <f>SUM(E32/1000)</f>
        <v>0.58402999999999994</v>
      </c>
      <c r="G32" s="79">
        <v>3020.33</v>
      </c>
      <c r="H32" s="80">
        <f t="shared" si="1"/>
        <v>1.7639633298999997</v>
      </c>
      <c r="I32" s="13">
        <f>F32*G32</f>
        <v>1763.9633298999997</v>
      </c>
      <c r="J32" s="25"/>
      <c r="K32" s="8"/>
      <c r="L32" s="8"/>
      <c r="M32" s="8"/>
    </row>
    <row r="33" spans="1:14" ht="15.75" hidden="1" customHeight="1">
      <c r="A33" s="32">
        <v>12</v>
      </c>
      <c r="B33" s="76" t="s">
        <v>124</v>
      </c>
      <c r="C33" s="77" t="s">
        <v>39</v>
      </c>
      <c r="D33" s="76" t="s">
        <v>63</v>
      </c>
      <c r="E33" s="79">
        <v>6</v>
      </c>
      <c r="F33" s="79">
        <f>E33*155/100</f>
        <v>9.3000000000000007</v>
      </c>
      <c r="G33" s="79">
        <v>1302.02</v>
      </c>
      <c r="H33" s="80">
        <f>G33*F33/1000</f>
        <v>12.108786</v>
      </c>
      <c r="I33" s="13">
        <f t="shared" si="2"/>
        <v>2018.1310000000001</v>
      </c>
      <c r="J33" s="25"/>
      <c r="K33" s="8"/>
      <c r="L33" s="8"/>
      <c r="M33" s="8"/>
    </row>
    <row r="34" spans="1:14" ht="15.75" hidden="1" customHeight="1">
      <c r="A34" s="32">
        <v>13</v>
      </c>
      <c r="B34" s="76" t="s">
        <v>108</v>
      </c>
      <c r="C34" s="77" t="s">
        <v>31</v>
      </c>
      <c r="D34" s="76" t="s">
        <v>63</v>
      </c>
      <c r="E34" s="83">
        <v>0.33333333333333331</v>
      </c>
      <c r="F34" s="79">
        <f>155/3</f>
        <v>51.666666666666664</v>
      </c>
      <c r="G34" s="79">
        <v>56.69</v>
      </c>
      <c r="H34" s="80">
        <f>SUM(G34*155/3/1000)</f>
        <v>2.9289833333333331</v>
      </c>
      <c r="I34" s="13">
        <f t="shared" si="2"/>
        <v>488.16388888888883</v>
      </c>
      <c r="J34" s="25"/>
      <c r="K34" s="8"/>
    </row>
    <row r="35" spans="1:14" ht="15.75" hidden="1" customHeight="1">
      <c r="A35" s="32"/>
      <c r="B35" s="76" t="s">
        <v>65</v>
      </c>
      <c r="C35" s="77" t="s">
        <v>33</v>
      </c>
      <c r="D35" s="76" t="s">
        <v>67</v>
      </c>
      <c r="E35" s="78"/>
      <c r="F35" s="79">
        <v>4</v>
      </c>
      <c r="G35" s="79">
        <v>180.15</v>
      </c>
      <c r="H35" s="80">
        <f t="shared" si="1"/>
        <v>0.72060000000000002</v>
      </c>
      <c r="I35" s="13">
        <v>0</v>
      </c>
      <c r="J35" s="26"/>
    </row>
    <row r="36" spans="1:14" ht="15.75" hidden="1" customHeight="1">
      <c r="A36" s="32"/>
      <c r="B36" s="76" t="s">
        <v>66</v>
      </c>
      <c r="C36" s="77" t="s">
        <v>32</v>
      </c>
      <c r="D36" s="76" t="s">
        <v>67</v>
      </c>
      <c r="E36" s="78"/>
      <c r="F36" s="79">
        <v>3</v>
      </c>
      <c r="G36" s="79">
        <v>1136.33</v>
      </c>
      <c r="H36" s="80">
        <f t="shared" si="1"/>
        <v>3.4089899999999997</v>
      </c>
      <c r="I36" s="13">
        <v>0</v>
      </c>
      <c r="J36" s="26"/>
    </row>
    <row r="37" spans="1:14" ht="15.75" customHeight="1">
      <c r="A37" s="32"/>
      <c r="B37" s="100" t="s">
        <v>5</v>
      </c>
      <c r="C37" s="77"/>
      <c r="D37" s="76"/>
      <c r="E37" s="78"/>
      <c r="F37" s="79"/>
      <c r="G37" s="79"/>
      <c r="H37" s="80" t="s">
        <v>152</v>
      </c>
      <c r="I37" s="13"/>
      <c r="J37" s="26"/>
    </row>
    <row r="38" spans="1:14" ht="15.75" customHeight="1">
      <c r="A38" s="32">
        <v>10</v>
      </c>
      <c r="B38" s="76" t="s">
        <v>26</v>
      </c>
      <c r="C38" s="77" t="s">
        <v>32</v>
      </c>
      <c r="D38" s="76"/>
      <c r="E38" s="78"/>
      <c r="F38" s="79">
        <v>10</v>
      </c>
      <c r="G38" s="79">
        <v>1527.22</v>
      </c>
      <c r="H38" s="80">
        <f t="shared" ref="H38:H45" si="3">SUM(F38*G38/1000)</f>
        <v>15.272200000000002</v>
      </c>
      <c r="I38" s="13">
        <f>F38/6*G38</f>
        <v>2545.3666666666668</v>
      </c>
      <c r="J38" s="26"/>
    </row>
    <row r="39" spans="1:14" ht="15.75" customHeight="1">
      <c r="A39" s="32">
        <v>11</v>
      </c>
      <c r="B39" s="76" t="s">
        <v>126</v>
      </c>
      <c r="C39" s="77" t="s">
        <v>33</v>
      </c>
      <c r="D39" s="76"/>
      <c r="E39" s="78"/>
      <c r="F39" s="79">
        <v>10</v>
      </c>
      <c r="G39" s="79">
        <v>77.94</v>
      </c>
      <c r="H39" s="80">
        <f>G39*F39/1000</f>
        <v>0.77939999999999998</v>
      </c>
      <c r="I39" s="13">
        <f>F39/6*G39</f>
        <v>129.9</v>
      </c>
      <c r="J39" s="26"/>
      <c r="L39" s="19"/>
      <c r="M39" s="20"/>
      <c r="N39" s="21"/>
    </row>
    <row r="40" spans="1:14" ht="15.75" customHeight="1">
      <c r="A40" s="32">
        <v>12</v>
      </c>
      <c r="B40" s="76" t="s">
        <v>110</v>
      </c>
      <c r="C40" s="77" t="s">
        <v>29</v>
      </c>
      <c r="D40" s="76" t="s">
        <v>127</v>
      </c>
      <c r="E40" s="78">
        <v>1039.2</v>
      </c>
      <c r="F40" s="79">
        <f>E40*25/1000</f>
        <v>25.98</v>
      </c>
      <c r="G40" s="79">
        <v>2102.71</v>
      </c>
      <c r="H40" s="80">
        <f>G40*F40/1000</f>
        <v>54.628405800000003</v>
      </c>
      <c r="I40" s="13">
        <f>F40/6*G40</f>
        <v>9104.7343000000001</v>
      </c>
      <c r="J40" s="26"/>
      <c r="L40" s="19"/>
      <c r="M40" s="20"/>
      <c r="N40" s="21"/>
    </row>
    <row r="41" spans="1:14" ht="15.75" hidden="1" customHeight="1">
      <c r="A41" s="32"/>
      <c r="B41" s="76" t="s">
        <v>128</v>
      </c>
      <c r="C41" s="77" t="s">
        <v>129</v>
      </c>
      <c r="D41" s="76" t="s">
        <v>67</v>
      </c>
      <c r="E41" s="78"/>
      <c r="F41" s="79">
        <v>50</v>
      </c>
      <c r="G41" s="79">
        <v>213.2</v>
      </c>
      <c r="H41" s="80">
        <f>G41*F41/1000</f>
        <v>10.66</v>
      </c>
      <c r="I41" s="13">
        <v>0</v>
      </c>
      <c r="J41" s="26"/>
      <c r="L41" s="19"/>
      <c r="M41" s="20"/>
      <c r="N41" s="21"/>
    </row>
    <row r="42" spans="1:14" ht="15.75" customHeight="1">
      <c r="A42" s="32">
        <v>13</v>
      </c>
      <c r="B42" s="76" t="s">
        <v>68</v>
      </c>
      <c r="C42" s="77" t="s">
        <v>29</v>
      </c>
      <c r="D42" s="76" t="s">
        <v>91</v>
      </c>
      <c r="E42" s="79">
        <v>153</v>
      </c>
      <c r="F42" s="79">
        <f>SUM(E42*155/1000)</f>
        <v>23.715</v>
      </c>
      <c r="G42" s="79">
        <v>350.75</v>
      </c>
      <c r="H42" s="80">
        <f t="shared" si="3"/>
        <v>8.3180362499999987</v>
      </c>
      <c r="I42" s="13">
        <f>F42/6*G42</f>
        <v>1386.339375</v>
      </c>
      <c r="J42" s="26"/>
      <c r="L42" s="19"/>
      <c r="M42" s="20"/>
      <c r="N42" s="21"/>
    </row>
    <row r="43" spans="1:14" ht="47.25" customHeight="1">
      <c r="A43" s="32">
        <v>14</v>
      </c>
      <c r="B43" s="76" t="s">
        <v>84</v>
      </c>
      <c r="C43" s="77" t="s">
        <v>92</v>
      </c>
      <c r="D43" s="76" t="s">
        <v>130</v>
      </c>
      <c r="E43" s="79">
        <v>24</v>
      </c>
      <c r="F43" s="79">
        <f>SUM(E43*50/1000)</f>
        <v>1.2</v>
      </c>
      <c r="G43" s="79">
        <v>5803.28</v>
      </c>
      <c r="H43" s="80">
        <f t="shared" si="3"/>
        <v>6.9639359999999995</v>
      </c>
      <c r="I43" s="13">
        <f>F43/6*G43</f>
        <v>1160.6559999999999</v>
      </c>
      <c r="J43" s="26"/>
      <c r="L43" s="19"/>
      <c r="M43" s="20"/>
      <c r="N43" s="21"/>
    </row>
    <row r="44" spans="1:14" ht="15.75" hidden="1" customHeight="1">
      <c r="A44" s="32">
        <v>15</v>
      </c>
      <c r="B44" s="76" t="s">
        <v>93</v>
      </c>
      <c r="C44" s="77" t="s">
        <v>92</v>
      </c>
      <c r="D44" s="76" t="s">
        <v>69</v>
      </c>
      <c r="E44" s="79">
        <v>153</v>
      </c>
      <c r="F44" s="79">
        <f>SUM(E44*45/1000)</f>
        <v>6.8849999999999998</v>
      </c>
      <c r="G44" s="79">
        <v>428.7</v>
      </c>
      <c r="H44" s="80">
        <f t="shared" si="3"/>
        <v>2.9515994999999999</v>
      </c>
      <c r="I44" s="13">
        <f>F44/6*G44</f>
        <v>491.93324999999999</v>
      </c>
      <c r="J44" s="26"/>
      <c r="L44" s="19"/>
      <c r="M44" s="20"/>
      <c r="N44" s="21"/>
    </row>
    <row r="45" spans="1:14" ht="15.75" customHeight="1">
      <c r="A45" s="32">
        <v>15</v>
      </c>
      <c r="B45" s="76" t="s">
        <v>70</v>
      </c>
      <c r="C45" s="77" t="s">
        <v>33</v>
      </c>
      <c r="D45" s="76"/>
      <c r="E45" s="78"/>
      <c r="F45" s="79">
        <v>0.9</v>
      </c>
      <c r="G45" s="79">
        <v>798</v>
      </c>
      <c r="H45" s="80">
        <f t="shared" si="3"/>
        <v>0.71820000000000006</v>
      </c>
      <c r="I45" s="13">
        <f>F45/6*G45</f>
        <v>119.69999999999999</v>
      </c>
      <c r="J45" s="26"/>
      <c r="L45" s="19"/>
      <c r="M45" s="20"/>
      <c r="N45" s="21"/>
    </row>
    <row r="46" spans="1:14" ht="15" hidden="1" customHeight="1">
      <c r="A46" s="139" t="s">
        <v>148</v>
      </c>
      <c r="B46" s="140"/>
      <c r="C46" s="140"/>
      <c r="D46" s="140"/>
      <c r="E46" s="140"/>
      <c r="F46" s="140"/>
      <c r="G46" s="140"/>
      <c r="H46" s="140"/>
      <c r="I46" s="141"/>
      <c r="J46" s="26"/>
      <c r="L46" s="19"/>
      <c r="M46" s="20"/>
      <c r="N46" s="21"/>
    </row>
    <row r="47" spans="1:14" ht="15.75" hidden="1" customHeight="1">
      <c r="A47" s="32"/>
      <c r="B47" s="76" t="s">
        <v>131</v>
      </c>
      <c r="C47" s="77" t="s">
        <v>92</v>
      </c>
      <c r="D47" s="76" t="s">
        <v>42</v>
      </c>
      <c r="E47" s="78">
        <v>1895</v>
      </c>
      <c r="F47" s="79">
        <f>SUM(E47*2/1000)</f>
        <v>3.79</v>
      </c>
      <c r="G47" s="13">
        <v>849.49</v>
      </c>
      <c r="H47" s="80">
        <f t="shared" ref="H47:H55" si="4">SUM(F47*G47/1000)</f>
        <v>3.2195671000000003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76" t="s">
        <v>34</v>
      </c>
      <c r="C48" s="77" t="s">
        <v>92</v>
      </c>
      <c r="D48" s="76" t="s">
        <v>42</v>
      </c>
      <c r="E48" s="78">
        <v>118.2</v>
      </c>
      <c r="F48" s="79">
        <f>E48*2/1000</f>
        <v>0.2364</v>
      </c>
      <c r="G48" s="13">
        <v>579.48</v>
      </c>
      <c r="H48" s="80">
        <f t="shared" si="4"/>
        <v>0.13698907199999999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76" t="s">
        <v>35</v>
      </c>
      <c r="C49" s="77" t="s">
        <v>92</v>
      </c>
      <c r="D49" s="76" t="s">
        <v>42</v>
      </c>
      <c r="E49" s="78">
        <v>4675</v>
      </c>
      <c r="F49" s="79">
        <f>SUM(E49*2/1000)</f>
        <v>9.35</v>
      </c>
      <c r="G49" s="13">
        <v>579.48</v>
      </c>
      <c r="H49" s="80">
        <f t="shared" si="4"/>
        <v>5.4181379999999999</v>
      </c>
      <c r="I49" s="13">
        <v>0</v>
      </c>
      <c r="J49" s="26"/>
      <c r="L49" s="19"/>
      <c r="M49" s="20"/>
      <c r="N49" s="21"/>
    </row>
    <row r="50" spans="1:22" ht="15.75" hidden="1" customHeight="1">
      <c r="A50" s="32"/>
      <c r="B50" s="76" t="s">
        <v>36</v>
      </c>
      <c r="C50" s="77" t="s">
        <v>92</v>
      </c>
      <c r="D50" s="76" t="s">
        <v>42</v>
      </c>
      <c r="E50" s="78">
        <v>4675</v>
      </c>
      <c r="F50" s="79">
        <f>SUM(E50*2/1000)</f>
        <v>9.35</v>
      </c>
      <c r="G50" s="13">
        <v>606.77</v>
      </c>
      <c r="H50" s="80">
        <f t="shared" si="4"/>
        <v>5.6732994999999988</v>
      </c>
      <c r="I50" s="13">
        <v>0</v>
      </c>
      <c r="J50" s="26"/>
      <c r="L50" s="19"/>
      <c r="M50" s="20"/>
      <c r="N50" s="21"/>
    </row>
    <row r="51" spans="1:22" ht="15.75" hidden="1" customHeight="1">
      <c r="A51" s="32">
        <v>17</v>
      </c>
      <c r="B51" s="76" t="s">
        <v>56</v>
      </c>
      <c r="C51" s="77" t="s">
        <v>92</v>
      </c>
      <c r="D51" s="76" t="s">
        <v>169</v>
      </c>
      <c r="E51" s="78">
        <v>3988</v>
      </c>
      <c r="F51" s="79">
        <f>SUM(E51*5/1000)</f>
        <v>19.940000000000001</v>
      </c>
      <c r="G51" s="13">
        <v>1142.7</v>
      </c>
      <c r="H51" s="80">
        <f t="shared" si="4"/>
        <v>22.785438000000003</v>
      </c>
      <c r="I51" s="13">
        <f>F51/5*G51</f>
        <v>4557.0876000000007</v>
      </c>
      <c r="J51" s="26"/>
      <c r="L51" s="19"/>
      <c r="M51" s="20"/>
      <c r="N51" s="21"/>
    </row>
    <row r="52" spans="1:22" ht="31.5" hidden="1" customHeight="1">
      <c r="A52" s="32"/>
      <c r="B52" s="76" t="s">
        <v>94</v>
      </c>
      <c r="C52" s="77" t="s">
        <v>92</v>
      </c>
      <c r="D52" s="76" t="s">
        <v>42</v>
      </c>
      <c r="E52" s="78">
        <v>3988</v>
      </c>
      <c r="F52" s="79">
        <f>SUM(E52*2/1000)</f>
        <v>7.976</v>
      </c>
      <c r="G52" s="13">
        <v>1213.55</v>
      </c>
      <c r="H52" s="80">
        <f t="shared" si="4"/>
        <v>9.6792748</v>
      </c>
      <c r="I52" s="13">
        <v>0</v>
      </c>
      <c r="J52" s="26"/>
      <c r="L52" s="19"/>
      <c r="M52" s="20"/>
      <c r="N52" s="21"/>
    </row>
    <row r="53" spans="1:22" ht="31.5" hidden="1" customHeight="1">
      <c r="A53" s="32"/>
      <c r="B53" s="76" t="s">
        <v>95</v>
      </c>
      <c r="C53" s="77" t="s">
        <v>37</v>
      </c>
      <c r="D53" s="76" t="s">
        <v>42</v>
      </c>
      <c r="E53" s="78">
        <v>30</v>
      </c>
      <c r="F53" s="79">
        <f>SUM(E53*2/100)</f>
        <v>0.6</v>
      </c>
      <c r="G53" s="13">
        <v>2730.49</v>
      </c>
      <c r="H53" s="80">
        <f>SUM(F53*G53/1000)</f>
        <v>1.6382939999999999</v>
      </c>
      <c r="I53" s="13">
        <v>0</v>
      </c>
      <c r="J53" s="26"/>
      <c r="L53" s="19"/>
      <c r="M53" s="20"/>
      <c r="N53" s="21"/>
    </row>
    <row r="54" spans="1:22" ht="15.75" hidden="1" customHeight="1">
      <c r="A54" s="32"/>
      <c r="B54" s="76" t="s">
        <v>38</v>
      </c>
      <c r="C54" s="77" t="s">
        <v>39</v>
      </c>
      <c r="D54" s="76" t="s">
        <v>42</v>
      </c>
      <c r="E54" s="78">
        <v>1</v>
      </c>
      <c r="F54" s="79">
        <v>0.02</v>
      </c>
      <c r="G54" s="13">
        <v>5652.13</v>
      </c>
      <c r="H54" s="80">
        <f t="shared" si="4"/>
        <v>0.11304260000000001</v>
      </c>
      <c r="I54" s="13">
        <v>0</v>
      </c>
      <c r="J54" s="26"/>
      <c r="L54" s="19"/>
      <c r="M54" s="20"/>
      <c r="N54" s="21"/>
    </row>
    <row r="55" spans="1:22" ht="15.75" hidden="1" customHeight="1">
      <c r="A55" s="32">
        <v>18</v>
      </c>
      <c r="B55" s="76" t="s">
        <v>41</v>
      </c>
      <c r="C55" s="77" t="s">
        <v>111</v>
      </c>
      <c r="D55" s="76" t="s">
        <v>71</v>
      </c>
      <c r="E55" s="78">
        <v>236</v>
      </c>
      <c r="F55" s="79">
        <f>SUM(E55)*3</f>
        <v>708</v>
      </c>
      <c r="G55" s="13">
        <v>65.67</v>
      </c>
      <c r="H55" s="80">
        <f t="shared" si="4"/>
        <v>46.49436</v>
      </c>
      <c r="I55" s="13">
        <f>E55*G55</f>
        <v>15498.12</v>
      </c>
      <c r="J55" s="26"/>
      <c r="L55" s="19"/>
      <c r="M55" s="20"/>
      <c r="N55" s="21"/>
    </row>
    <row r="56" spans="1:22" ht="15.75" customHeight="1">
      <c r="A56" s="139" t="s">
        <v>146</v>
      </c>
      <c r="B56" s="140"/>
      <c r="C56" s="140"/>
      <c r="D56" s="140"/>
      <c r="E56" s="140"/>
      <c r="F56" s="140"/>
      <c r="G56" s="140"/>
      <c r="H56" s="140"/>
      <c r="I56" s="141"/>
      <c r="J56" s="26"/>
      <c r="L56" s="19"/>
      <c r="M56" s="20"/>
      <c r="N56" s="21"/>
    </row>
    <row r="57" spans="1:22" ht="15.75" customHeight="1">
      <c r="A57" s="32"/>
      <c r="B57" s="100" t="s">
        <v>43</v>
      </c>
      <c r="C57" s="77"/>
      <c r="D57" s="76"/>
      <c r="E57" s="78"/>
      <c r="F57" s="79"/>
      <c r="G57" s="79"/>
      <c r="H57" s="80"/>
      <c r="I57" s="13"/>
      <c r="J57" s="26"/>
      <c r="L57" s="19"/>
      <c r="M57" s="20"/>
      <c r="N57" s="21"/>
    </row>
    <row r="58" spans="1:22" ht="31.5" customHeight="1">
      <c r="A58" s="32">
        <v>16</v>
      </c>
      <c r="B58" s="76" t="s">
        <v>132</v>
      </c>
      <c r="C58" s="77" t="s">
        <v>90</v>
      </c>
      <c r="D58" s="76" t="s">
        <v>112</v>
      </c>
      <c r="E58" s="78">
        <v>30</v>
      </c>
      <c r="F58" s="79">
        <f>SUM(E58*6/100)</f>
        <v>1.8</v>
      </c>
      <c r="G58" s="13">
        <v>1547.28</v>
      </c>
      <c r="H58" s="80">
        <f>SUM(F58*G58/1000)</f>
        <v>2.785104</v>
      </c>
      <c r="I58" s="13">
        <f>F58/6*G58</f>
        <v>464.18399999999997</v>
      </c>
      <c r="J58" s="26"/>
      <c r="L58" s="19"/>
    </row>
    <row r="59" spans="1:22" ht="15.75" hidden="1" customHeight="1">
      <c r="A59" s="32">
        <v>20</v>
      </c>
      <c r="B59" s="85" t="s">
        <v>133</v>
      </c>
      <c r="C59" s="86" t="s">
        <v>134</v>
      </c>
      <c r="D59" s="85" t="s">
        <v>42</v>
      </c>
      <c r="E59" s="87">
        <v>6</v>
      </c>
      <c r="F59" s="88">
        <v>12</v>
      </c>
      <c r="G59" s="13">
        <v>180.78</v>
      </c>
      <c r="H59" s="89">
        <f>G59*F59/1000</f>
        <v>2.1693600000000002</v>
      </c>
      <c r="I59" s="13">
        <f>F59/2*G59</f>
        <v>1084.68</v>
      </c>
    </row>
    <row r="60" spans="1:22" ht="15.75" hidden="1" customHeight="1">
      <c r="A60" s="32">
        <v>21</v>
      </c>
      <c r="B60" s="85" t="s">
        <v>135</v>
      </c>
      <c r="C60" s="86" t="s">
        <v>52</v>
      </c>
      <c r="D60" s="85" t="s">
        <v>40</v>
      </c>
      <c r="E60" s="87">
        <v>6</v>
      </c>
      <c r="F60" s="88">
        <f>E60*4/100</f>
        <v>0.24</v>
      </c>
      <c r="G60" s="13">
        <v>1547.28</v>
      </c>
      <c r="H60" s="89">
        <f>G60*F60/1000</f>
        <v>0.37134719999999999</v>
      </c>
      <c r="I60" s="13">
        <f>F60/4*G60</f>
        <v>92.836799999999997</v>
      </c>
    </row>
    <row r="61" spans="1:22" ht="15.75" customHeight="1">
      <c r="A61" s="32"/>
      <c r="B61" s="101" t="s">
        <v>44</v>
      </c>
      <c r="C61" s="86"/>
      <c r="D61" s="85"/>
      <c r="E61" s="87"/>
      <c r="F61" s="88"/>
      <c r="G61" s="13"/>
      <c r="H61" s="89"/>
      <c r="I61" s="13"/>
    </row>
    <row r="62" spans="1:22" ht="15.75" hidden="1" customHeight="1">
      <c r="A62" s="32">
        <v>22</v>
      </c>
      <c r="B62" s="85" t="s">
        <v>136</v>
      </c>
      <c r="C62" s="86" t="s">
        <v>52</v>
      </c>
      <c r="D62" s="85" t="s">
        <v>53</v>
      </c>
      <c r="E62" s="87">
        <v>997</v>
      </c>
      <c r="F62" s="88">
        <v>9.9700000000000006</v>
      </c>
      <c r="G62" s="13">
        <v>793.61</v>
      </c>
      <c r="H62" s="89">
        <f>F62*G62/1000</f>
        <v>7.9122917000000008</v>
      </c>
      <c r="I62" s="13">
        <f>G62*F62</f>
        <v>7912.2917000000007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customHeight="1">
      <c r="A63" s="32">
        <v>17</v>
      </c>
      <c r="B63" s="85" t="s">
        <v>137</v>
      </c>
      <c r="C63" s="86" t="s">
        <v>25</v>
      </c>
      <c r="D63" s="85" t="s">
        <v>30</v>
      </c>
      <c r="E63" s="87">
        <v>394</v>
      </c>
      <c r="F63" s="90">
        <f>E63*12</f>
        <v>4728</v>
      </c>
      <c r="G63" s="71">
        <v>2.6</v>
      </c>
      <c r="H63" s="88">
        <f>F63*G63/1000</f>
        <v>12.292800000000002</v>
      </c>
      <c r="I63" s="13">
        <f>F63/12*G63</f>
        <v>1024.4000000000001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2"/>
      <c r="B64" s="101" t="s">
        <v>45</v>
      </c>
      <c r="C64" s="86"/>
      <c r="D64" s="85"/>
      <c r="E64" s="87"/>
      <c r="F64" s="90"/>
      <c r="G64" s="90"/>
      <c r="H64" s="88" t="s">
        <v>152</v>
      </c>
      <c r="I64" s="13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32">
        <v>18</v>
      </c>
      <c r="B65" s="14" t="s">
        <v>46</v>
      </c>
      <c r="C65" s="16" t="s">
        <v>111</v>
      </c>
      <c r="D65" s="76" t="s">
        <v>67</v>
      </c>
      <c r="E65" s="18">
        <v>15</v>
      </c>
      <c r="F65" s="79">
        <v>15</v>
      </c>
      <c r="G65" s="13">
        <v>222.4</v>
      </c>
      <c r="H65" s="91">
        <f t="shared" ref="H65:H78" si="5">SUM(F65*G65/1000)</f>
        <v>3.3359999999999999</v>
      </c>
      <c r="I65" s="13">
        <f>G65</f>
        <v>222.4</v>
      </c>
      <c r="J65" s="5"/>
      <c r="K65" s="5"/>
      <c r="L65" s="5"/>
      <c r="M65" s="5"/>
      <c r="N65" s="5"/>
      <c r="O65" s="5"/>
      <c r="P65" s="5"/>
      <c r="Q65" s="5"/>
      <c r="R65" s="123"/>
      <c r="S65" s="123"/>
      <c r="T65" s="123"/>
      <c r="U65" s="123"/>
    </row>
    <row r="66" spans="1:21" ht="15.75" hidden="1" customHeight="1">
      <c r="A66" s="32">
        <v>25</v>
      </c>
      <c r="B66" s="14" t="s">
        <v>47</v>
      </c>
      <c r="C66" s="16" t="s">
        <v>111</v>
      </c>
      <c r="D66" s="76" t="s">
        <v>67</v>
      </c>
      <c r="E66" s="18">
        <v>10</v>
      </c>
      <c r="F66" s="79">
        <v>10</v>
      </c>
      <c r="G66" s="13">
        <v>76.25</v>
      </c>
      <c r="H66" s="91">
        <f t="shared" si="5"/>
        <v>0.76249999999999996</v>
      </c>
      <c r="I66" s="13">
        <f>G66</f>
        <v>76.25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48</v>
      </c>
      <c r="C67" s="16" t="s">
        <v>113</v>
      </c>
      <c r="D67" s="14" t="s">
        <v>53</v>
      </c>
      <c r="E67" s="78">
        <v>28608</v>
      </c>
      <c r="F67" s="13">
        <f>SUM(E67/100)</f>
        <v>286.08</v>
      </c>
      <c r="G67" s="13">
        <v>199.77</v>
      </c>
      <c r="H67" s="91">
        <f t="shared" si="5"/>
        <v>57.150201600000003</v>
      </c>
      <c r="I67" s="13">
        <f>F67*G67</f>
        <v>57150.2016</v>
      </c>
    </row>
    <row r="68" spans="1:21" ht="15.75" hidden="1" customHeight="1">
      <c r="A68" s="32"/>
      <c r="B68" s="14" t="s">
        <v>49</v>
      </c>
      <c r="C68" s="16" t="s">
        <v>114</v>
      </c>
      <c r="D68" s="14"/>
      <c r="E68" s="78">
        <v>28608</v>
      </c>
      <c r="F68" s="13">
        <f>SUM(E68/1000)</f>
        <v>28.608000000000001</v>
      </c>
      <c r="G68" s="13">
        <v>155.57</v>
      </c>
      <c r="H68" s="91">
        <f t="shared" si="5"/>
        <v>4.4505465599999994</v>
      </c>
      <c r="I68" s="13">
        <f t="shared" ref="I68:I72" si="6">F68*G68</f>
        <v>4450.5465599999998</v>
      </c>
    </row>
    <row r="69" spans="1:21" ht="15.75" hidden="1" customHeight="1">
      <c r="A69" s="32"/>
      <c r="B69" s="14" t="s">
        <v>50</v>
      </c>
      <c r="C69" s="16" t="s">
        <v>77</v>
      </c>
      <c r="D69" s="14" t="s">
        <v>53</v>
      </c>
      <c r="E69" s="78">
        <v>4550</v>
      </c>
      <c r="F69" s="13">
        <f>SUM(E69/100)</f>
        <v>45.5</v>
      </c>
      <c r="G69" s="13">
        <v>2074.63</v>
      </c>
      <c r="H69" s="91">
        <f t="shared" si="5"/>
        <v>94.395665000000008</v>
      </c>
      <c r="I69" s="13">
        <f t="shared" si="6"/>
        <v>94395.665000000008</v>
      </c>
    </row>
    <row r="70" spans="1:21" ht="15.75" hidden="1" customHeight="1">
      <c r="A70" s="32"/>
      <c r="B70" s="92" t="s">
        <v>115</v>
      </c>
      <c r="C70" s="16" t="s">
        <v>33</v>
      </c>
      <c r="D70" s="14"/>
      <c r="E70" s="78">
        <v>58.5</v>
      </c>
      <c r="F70" s="13">
        <f>SUM(E70)</f>
        <v>58.5</v>
      </c>
      <c r="G70" s="13">
        <v>45.32</v>
      </c>
      <c r="H70" s="91">
        <f t="shared" si="5"/>
        <v>2.6512199999999999</v>
      </c>
      <c r="I70" s="13">
        <f t="shared" si="6"/>
        <v>2651.22</v>
      </c>
    </row>
    <row r="71" spans="1:21" ht="15.75" hidden="1" customHeight="1">
      <c r="A71" s="32"/>
      <c r="B71" s="92" t="s">
        <v>116</v>
      </c>
      <c r="C71" s="16" t="s">
        <v>33</v>
      </c>
      <c r="D71" s="14"/>
      <c r="E71" s="78">
        <v>58.5</v>
      </c>
      <c r="F71" s="13">
        <f>SUM(E71)</f>
        <v>58.5</v>
      </c>
      <c r="G71" s="13">
        <v>42.28</v>
      </c>
      <c r="H71" s="91">
        <f t="shared" si="5"/>
        <v>2.4733800000000001</v>
      </c>
      <c r="I71" s="13">
        <f t="shared" si="6"/>
        <v>2473.38</v>
      </c>
    </row>
    <row r="72" spans="1:21" ht="15.75" hidden="1" customHeight="1">
      <c r="A72" s="32"/>
      <c r="B72" s="14" t="s">
        <v>57</v>
      </c>
      <c r="C72" s="16" t="s">
        <v>58</v>
      </c>
      <c r="D72" s="14" t="s">
        <v>53</v>
      </c>
      <c r="E72" s="18">
        <v>5</v>
      </c>
      <c r="F72" s="79">
        <v>5</v>
      </c>
      <c r="G72" s="13">
        <v>49.88</v>
      </c>
      <c r="H72" s="91">
        <f t="shared" si="5"/>
        <v>0.24940000000000001</v>
      </c>
      <c r="I72" s="13">
        <f t="shared" si="6"/>
        <v>249.4</v>
      </c>
    </row>
    <row r="73" spans="1:21" ht="15.75" hidden="1" customHeight="1">
      <c r="A73" s="32"/>
      <c r="B73" s="104" t="s">
        <v>72</v>
      </c>
      <c r="C73" s="16"/>
      <c r="D73" s="14"/>
      <c r="E73" s="18"/>
      <c r="F73" s="13"/>
      <c r="G73" s="13"/>
      <c r="H73" s="91" t="s">
        <v>152</v>
      </c>
      <c r="I73" s="13"/>
    </row>
    <row r="74" spans="1:21" ht="15.75" hidden="1" customHeight="1">
      <c r="A74" s="32">
        <v>16</v>
      </c>
      <c r="B74" s="14" t="s">
        <v>73</v>
      </c>
      <c r="C74" s="16" t="s">
        <v>75</v>
      </c>
      <c r="D74" s="14"/>
      <c r="E74" s="18">
        <v>10</v>
      </c>
      <c r="F74" s="13">
        <v>1</v>
      </c>
      <c r="G74" s="13">
        <v>501.62</v>
      </c>
      <c r="H74" s="91">
        <f t="shared" si="5"/>
        <v>0.50161999999999995</v>
      </c>
      <c r="I74" s="13">
        <f>G74*2</f>
        <v>1003.24</v>
      </c>
    </row>
    <row r="75" spans="1:21" ht="15.75" hidden="1" customHeight="1">
      <c r="A75" s="32"/>
      <c r="B75" s="14" t="s">
        <v>74</v>
      </c>
      <c r="C75" s="16" t="s">
        <v>31</v>
      </c>
      <c r="D75" s="14"/>
      <c r="E75" s="18">
        <v>3</v>
      </c>
      <c r="F75" s="71">
        <v>3</v>
      </c>
      <c r="G75" s="13">
        <v>852.99</v>
      </c>
      <c r="H75" s="91">
        <f>F75*G75/1000</f>
        <v>2.5589700000000004</v>
      </c>
      <c r="I75" s="13">
        <v>0</v>
      </c>
    </row>
    <row r="76" spans="1:21" ht="15.75" hidden="1" customHeight="1">
      <c r="A76" s="32"/>
      <c r="B76" s="14" t="s">
        <v>118</v>
      </c>
      <c r="C76" s="16" t="s">
        <v>31</v>
      </c>
      <c r="D76" s="14"/>
      <c r="E76" s="18">
        <v>1</v>
      </c>
      <c r="F76" s="13">
        <v>1</v>
      </c>
      <c r="G76" s="13">
        <v>358.51</v>
      </c>
      <c r="H76" s="91">
        <f>G76*F76/1000</f>
        <v>0.35851</v>
      </c>
      <c r="I76" s="13">
        <v>0</v>
      </c>
    </row>
    <row r="77" spans="1:21" ht="15.75" hidden="1" customHeight="1">
      <c r="A77" s="32"/>
      <c r="B77" s="94" t="s">
        <v>76</v>
      </c>
      <c r="C77" s="16"/>
      <c r="D77" s="14"/>
      <c r="E77" s="18"/>
      <c r="F77" s="13"/>
      <c r="G77" s="13" t="s">
        <v>152</v>
      </c>
      <c r="H77" s="91" t="s">
        <v>152</v>
      </c>
      <c r="I77" s="13"/>
    </row>
    <row r="78" spans="1:21" ht="15.75" hidden="1" customHeight="1">
      <c r="A78" s="32"/>
      <c r="B78" s="47" t="s">
        <v>170</v>
      </c>
      <c r="C78" s="16" t="s">
        <v>77</v>
      </c>
      <c r="D78" s="14"/>
      <c r="E78" s="18"/>
      <c r="F78" s="13">
        <v>1.2</v>
      </c>
      <c r="G78" s="13">
        <v>2759.44</v>
      </c>
      <c r="H78" s="91">
        <f t="shared" si="5"/>
        <v>3.311328</v>
      </c>
      <c r="I78" s="13">
        <v>0</v>
      </c>
    </row>
    <row r="79" spans="1:21" ht="15.75" hidden="1" customHeight="1">
      <c r="A79" s="32"/>
      <c r="B79" s="70" t="s">
        <v>96</v>
      </c>
      <c r="C79" s="70"/>
      <c r="D79" s="70"/>
      <c r="E79" s="70"/>
      <c r="F79" s="70"/>
      <c r="G79" s="82"/>
      <c r="H79" s="95">
        <f>SUM(H58:H78)</f>
        <v>197.73024405999999</v>
      </c>
      <c r="I79" s="82"/>
    </row>
    <row r="80" spans="1:21" ht="15.75" hidden="1" customHeight="1">
      <c r="A80" s="32"/>
      <c r="B80" s="102" t="s">
        <v>117</v>
      </c>
      <c r="C80" s="23"/>
      <c r="D80" s="22"/>
      <c r="E80" s="72"/>
      <c r="F80" s="103">
        <v>1</v>
      </c>
      <c r="G80" s="13">
        <v>23072.1</v>
      </c>
      <c r="H80" s="91">
        <f>G80*F80/1000</f>
        <v>23.072099999999999</v>
      </c>
      <c r="I80" s="13">
        <v>0</v>
      </c>
    </row>
    <row r="81" spans="1:9" ht="15.75" customHeight="1">
      <c r="A81" s="124" t="s">
        <v>145</v>
      </c>
      <c r="B81" s="125"/>
      <c r="C81" s="125"/>
      <c r="D81" s="125"/>
      <c r="E81" s="125"/>
      <c r="F81" s="125"/>
      <c r="G81" s="125"/>
      <c r="H81" s="125"/>
      <c r="I81" s="126"/>
    </row>
    <row r="82" spans="1:9" ht="15.75" customHeight="1">
      <c r="A82" s="32">
        <v>19</v>
      </c>
      <c r="B82" s="76" t="s">
        <v>119</v>
      </c>
      <c r="C82" s="16" t="s">
        <v>54</v>
      </c>
      <c r="D82" s="51" t="s">
        <v>55</v>
      </c>
      <c r="E82" s="13">
        <v>6980.3</v>
      </c>
      <c r="F82" s="13">
        <f>SUM(E82*12)</f>
        <v>83763.600000000006</v>
      </c>
      <c r="G82" s="13">
        <v>2.1</v>
      </c>
      <c r="H82" s="91">
        <f>SUM(F82*G82/1000)</f>
        <v>175.90356000000003</v>
      </c>
      <c r="I82" s="13">
        <f>F82/12*G82</f>
        <v>14658.630000000001</v>
      </c>
    </row>
    <row r="83" spans="1:9" ht="31.5" customHeight="1">
      <c r="A83" s="32">
        <v>20</v>
      </c>
      <c r="B83" s="14" t="s">
        <v>78</v>
      </c>
      <c r="C83" s="16"/>
      <c r="D83" s="51" t="s">
        <v>55</v>
      </c>
      <c r="E83" s="78">
        <f>E82</f>
        <v>6980.3</v>
      </c>
      <c r="F83" s="13">
        <f>E83*12</f>
        <v>83763.600000000006</v>
      </c>
      <c r="G83" s="13">
        <v>1.63</v>
      </c>
      <c r="H83" s="91">
        <f>F83*G83/1000</f>
        <v>136.53466800000001</v>
      </c>
      <c r="I83" s="13">
        <f>F83/12*G83</f>
        <v>11377.888999999999</v>
      </c>
    </row>
    <row r="84" spans="1:9" ht="15.75" customHeight="1">
      <c r="A84" s="32"/>
      <c r="B84" s="40" t="s">
        <v>81</v>
      </c>
      <c r="C84" s="94"/>
      <c r="D84" s="93"/>
      <c r="E84" s="82"/>
      <c r="F84" s="82"/>
      <c r="G84" s="82"/>
      <c r="H84" s="95">
        <f>H83</f>
        <v>136.53466800000001</v>
      </c>
      <c r="I84" s="82">
        <f>I16+I17+I18+I20+I21+I24+I25+I26+I27+I38+I39+I40+I42+I43+I45+I58+I63+I65+I82+I83</f>
        <v>101490.39732766665</v>
      </c>
    </row>
    <row r="85" spans="1:9" ht="15.75" customHeight="1">
      <c r="A85" s="135" t="s">
        <v>60</v>
      </c>
      <c r="B85" s="136"/>
      <c r="C85" s="136"/>
      <c r="D85" s="136"/>
      <c r="E85" s="136"/>
      <c r="F85" s="136"/>
      <c r="G85" s="136"/>
      <c r="H85" s="136"/>
      <c r="I85" s="137"/>
    </row>
    <row r="86" spans="1:9" ht="15.75" customHeight="1">
      <c r="A86" s="32">
        <v>21</v>
      </c>
      <c r="B86" s="50" t="s">
        <v>138</v>
      </c>
      <c r="C86" s="62" t="s">
        <v>111</v>
      </c>
      <c r="D86" s="14"/>
      <c r="E86" s="18"/>
      <c r="F86" s="13">
        <v>1440</v>
      </c>
      <c r="G86" s="13">
        <v>53.42</v>
      </c>
      <c r="H86" s="91">
        <f t="shared" ref="H86" si="7">G86*F86/1000</f>
        <v>76.924800000000005</v>
      </c>
      <c r="I86" s="13">
        <f>G86*120</f>
        <v>6410.4000000000005</v>
      </c>
    </row>
    <row r="87" spans="1:9" ht="31.5" customHeight="1">
      <c r="A87" s="32">
        <v>22</v>
      </c>
      <c r="B87" s="52" t="s">
        <v>257</v>
      </c>
      <c r="C87" s="53" t="s">
        <v>258</v>
      </c>
      <c r="D87" s="47"/>
      <c r="E87" s="36"/>
      <c r="F87" s="36">
        <f>1/10</f>
        <v>0.1</v>
      </c>
      <c r="G87" s="37">
        <v>611.63</v>
      </c>
      <c r="H87" s="110">
        <f>G87*F87/1000</f>
        <v>6.1163000000000002E-2</v>
      </c>
      <c r="I87" s="13">
        <f>G87*0.1</f>
        <v>61.163000000000004</v>
      </c>
    </row>
    <row r="88" spans="1:9" ht="31.5" customHeight="1">
      <c r="A88" s="32">
        <v>23</v>
      </c>
      <c r="B88" s="52" t="s">
        <v>259</v>
      </c>
      <c r="C88" s="116" t="s">
        <v>209</v>
      </c>
      <c r="D88" s="47"/>
      <c r="E88" s="36"/>
      <c r="F88" s="36">
        <f>0.218/10</f>
        <v>2.18E-2</v>
      </c>
      <c r="G88" s="37">
        <v>9397.7900000000009</v>
      </c>
      <c r="H88" s="110">
        <f>G88*F88/1000</f>
        <v>0.20487182200000001</v>
      </c>
      <c r="I88" s="13">
        <f>G88*F88</f>
        <v>204.87182200000001</v>
      </c>
    </row>
    <row r="89" spans="1:9" ht="17.25" customHeight="1">
      <c r="A89" s="32">
        <v>24</v>
      </c>
      <c r="B89" s="52" t="s">
        <v>272</v>
      </c>
      <c r="C89" s="116" t="s">
        <v>111</v>
      </c>
      <c r="D89" s="47"/>
      <c r="E89" s="36"/>
      <c r="F89" s="36"/>
      <c r="G89" s="37">
        <v>29620</v>
      </c>
      <c r="H89" s="110"/>
      <c r="I89" s="13">
        <f>G89*1</f>
        <v>29620</v>
      </c>
    </row>
    <row r="90" spans="1:9" ht="17.25" customHeight="1">
      <c r="A90" s="32">
        <v>25</v>
      </c>
      <c r="B90" s="52" t="s">
        <v>273</v>
      </c>
      <c r="C90" s="116" t="s">
        <v>111</v>
      </c>
      <c r="D90" s="47"/>
      <c r="E90" s="36"/>
      <c r="F90" s="36"/>
      <c r="G90" s="37">
        <v>77881</v>
      </c>
      <c r="H90" s="110"/>
      <c r="I90" s="13">
        <f>G90*1</f>
        <v>77881</v>
      </c>
    </row>
    <row r="91" spans="1:9" ht="15.75" customHeight="1">
      <c r="A91" s="32"/>
      <c r="B91" s="45" t="s">
        <v>51</v>
      </c>
      <c r="C91" s="41"/>
      <c r="D91" s="48"/>
      <c r="E91" s="41">
        <v>1</v>
      </c>
      <c r="F91" s="41"/>
      <c r="G91" s="41"/>
      <c r="H91" s="41"/>
      <c r="I91" s="34">
        <f>SUM(I86:I90)</f>
        <v>114177.43482200001</v>
      </c>
    </row>
    <row r="92" spans="1:9">
      <c r="A92" s="32"/>
      <c r="B92" s="47" t="s">
        <v>79</v>
      </c>
      <c r="C92" s="15"/>
      <c r="D92" s="15"/>
      <c r="E92" s="42"/>
      <c r="F92" s="42"/>
      <c r="G92" s="43"/>
      <c r="H92" s="43"/>
      <c r="I92" s="17">
        <v>0</v>
      </c>
    </row>
    <row r="93" spans="1:9">
      <c r="A93" s="49"/>
      <c r="B93" s="46" t="s">
        <v>189</v>
      </c>
      <c r="C93" s="35"/>
      <c r="D93" s="35"/>
      <c r="E93" s="35"/>
      <c r="F93" s="35"/>
      <c r="G93" s="35"/>
      <c r="H93" s="35"/>
      <c r="I93" s="44">
        <f>I84+I91</f>
        <v>215667.83214966668</v>
      </c>
    </row>
    <row r="94" spans="1:9" ht="15.75">
      <c r="A94" s="127" t="s">
        <v>274</v>
      </c>
      <c r="B94" s="127"/>
      <c r="C94" s="127"/>
      <c r="D94" s="127"/>
      <c r="E94" s="127"/>
      <c r="F94" s="127"/>
      <c r="G94" s="127"/>
      <c r="H94" s="127"/>
      <c r="I94" s="127"/>
    </row>
    <row r="95" spans="1:9" ht="15.75" customHeight="1">
      <c r="A95" s="60"/>
      <c r="B95" s="128" t="s">
        <v>275</v>
      </c>
      <c r="C95" s="128"/>
      <c r="D95" s="128"/>
      <c r="E95" s="128"/>
      <c r="F95" s="128"/>
      <c r="G95" s="128"/>
      <c r="H95" s="75"/>
      <c r="I95" s="3"/>
    </row>
    <row r="96" spans="1:9">
      <c r="A96" s="106"/>
      <c r="B96" s="129" t="s">
        <v>6</v>
      </c>
      <c r="C96" s="129"/>
      <c r="D96" s="129"/>
      <c r="E96" s="129"/>
      <c r="F96" s="129"/>
      <c r="G96" s="129"/>
      <c r="H96" s="27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30" t="s">
        <v>7</v>
      </c>
      <c r="B98" s="130"/>
      <c r="C98" s="130"/>
      <c r="D98" s="130"/>
      <c r="E98" s="130"/>
      <c r="F98" s="130"/>
      <c r="G98" s="130"/>
      <c r="H98" s="130"/>
      <c r="I98" s="130"/>
    </row>
    <row r="99" spans="1:9" ht="15.75">
      <c r="A99" s="130" t="s">
        <v>8</v>
      </c>
      <c r="B99" s="130"/>
      <c r="C99" s="130"/>
      <c r="D99" s="130"/>
      <c r="E99" s="130"/>
      <c r="F99" s="130"/>
      <c r="G99" s="130"/>
      <c r="H99" s="130"/>
      <c r="I99" s="130"/>
    </row>
    <row r="100" spans="1:9" ht="15.75">
      <c r="A100" s="131" t="s">
        <v>61</v>
      </c>
      <c r="B100" s="131"/>
      <c r="C100" s="131"/>
      <c r="D100" s="131"/>
      <c r="E100" s="131"/>
      <c r="F100" s="131"/>
      <c r="G100" s="131"/>
      <c r="H100" s="131"/>
      <c r="I100" s="131"/>
    </row>
    <row r="101" spans="1:9" ht="15.75">
      <c r="A101" s="11"/>
    </row>
    <row r="102" spans="1:9" ht="15.75">
      <c r="A102" s="132" t="s">
        <v>9</v>
      </c>
      <c r="B102" s="132"/>
      <c r="C102" s="132"/>
      <c r="D102" s="132"/>
      <c r="E102" s="132"/>
      <c r="F102" s="132"/>
      <c r="G102" s="132"/>
      <c r="H102" s="132"/>
      <c r="I102" s="132"/>
    </row>
    <row r="103" spans="1:9" ht="15.75" customHeight="1">
      <c r="A103" s="4"/>
    </row>
    <row r="104" spans="1:9" ht="15.75" customHeight="1">
      <c r="B104" s="108" t="s">
        <v>10</v>
      </c>
      <c r="C104" s="133" t="s">
        <v>144</v>
      </c>
      <c r="D104" s="133"/>
      <c r="E104" s="133"/>
      <c r="F104" s="73"/>
      <c r="I104" s="109"/>
    </row>
    <row r="105" spans="1:9" ht="15.75" customHeight="1">
      <c r="A105" s="106"/>
      <c r="C105" s="129" t="s">
        <v>11</v>
      </c>
      <c r="D105" s="129"/>
      <c r="E105" s="129"/>
      <c r="F105" s="27"/>
      <c r="I105" s="107" t="s">
        <v>12</v>
      </c>
    </row>
    <row r="106" spans="1:9" ht="15.75" customHeight="1">
      <c r="A106" s="28"/>
      <c r="C106" s="12"/>
      <c r="D106" s="12"/>
      <c r="G106" s="12"/>
      <c r="H106" s="12"/>
    </row>
    <row r="107" spans="1:9" ht="15.75">
      <c r="B107" s="108" t="s">
        <v>13</v>
      </c>
      <c r="C107" s="134"/>
      <c r="D107" s="134"/>
      <c r="E107" s="134"/>
      <c r="F107" s="74"/>
      <c r="I107" s="109"/>
    </row>
    <row r="108" spans="1:9">
      <c r="A108" s="106"/>
      <c r="C108" s="123" t="s">
        <v>11</v>
      </c>
      <c r="D108" s="123"/>
      <c r="E108" s="123"/>
      <c r="F108" s="106"/>
      <c r="I108" s="107" t="s">
        <v>12</v>
      </c>
    </row>
    <row r="109" spans="1:9" ht="15.75">
      <c r="A109" s="4" t="s">
        <v>14</v>
      </c>
    </row>
    <row r="110" spans="1:9">
      <c r="A110" s="121" t="s">
        <v>15</v>
      </c>
      <c r="B110" s="121"/>
      <c r="C110" s="121"/>
      <c r="D110" s="121"/>
      <c r="E110" s="121"/>
      <c r="F110" s="121"/>
      <c r="G110" s="121"/>
      <c r="H110" s="121"/>
      <c r="I110" s="121"/>
    </row>
    <row r="111" spans="1:9" ht="45" customHeight="1">
      <c r="A111" s="122" t="s">
        <v>16</v>
      </c>
      <c r="B111" s="122"/>
      <c r="C111" s="122"/>
      <c r="D111" s="122"/>
      <c r="E111" s="122"/>
      <c r="F111" s="122"/>
      <c r="G111" s="122"/>
      <c r="H111" s="122"/>
      <c r="I111" s="122"/>
    </row>
    <row r="112" spans="1:9" ht="30" customHeight="1">
      <c r="A112" s="122" t="s">
        <v>17</v>
      </c>
      <c r="B112" s="122"/>
      <c r="C112" s="122"/>
      <c r="D112" s="122"/>
      <c r="E112" s="122"/>
      <c r="F112" s="122"/>
      <c r="G112" s="122"/>
      <c r="H112" s="122"/>
      <c r="I112" s="122"/>
    </row>
    <row r="113" spans="1:9" ht="30" customHeight="1">
      <c r="A113" s="122" t="s">
        <v>21</v>
      </c>
      <c r="B113" s="122"/>
      <c r="C113" s="122"/>
      <c r="D113" s="122"/>
      <c r="E113" s="122"/>
      <c r="F113" s="122"/>
      <c r="G113" s="122"/>
      <c r="H113" s="122"/>
      <c r="I113" s="122"/>
    </row>
    <row r="114" spans="1:9" ht="15" customHeight="1">
      <c r="A114" s="122" t="s">
        <v>20</v>
      </c>
      <c r="B114" s="122"/>
      <c r="C114" s="122"/>
      <c r="D114" s="122"/>
      <c r="E114" s="122"/>
      <c r="F114" s="122"/>
      <c r="G114" s="122"/>
      <c r="H114" s="122"/>
      <c r="I114" s="122"/>
    </row>
  </sheetData>
  <autoFilter ref="I12:I60"/>
  <mergeCells count="29">
    <mergeCell ref="A110:I110"/>
    <mergeCell ref="A111:I111"/>
    <mergeCell ref="A112:I112"/>
    <mergeCell ref="A113:I113"/>
    <mergeCell ref="A114:I114"/>
    <mergeCell ref="R65:U65"/>
    <mergeCell ref="C108:E108"/>
    <mergeCell ref="A85:I85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6:I46"/>
    <mergeCell ref="A56:I56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7"/>
  <sheetViews>
    <sheetView topLeftCell="A64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88</v>
      </c>
      <c r="I1" s="29"/>
      <c r="J1" s="1"/>
      <c r="K1" s="1"/>
      <c r="L1" s="1"/>
      <c r="M1" s="1"/>
    </row>
    <row r="2" spans="1:13" ht="15.75">
      <c r="A2" s="31" t="s">
        <v>62</v>
      </c>
      <c r="J2" s="2"/>
      <c r="K2" s="2"/>
      <c r="L2" s="2"/>
      <c r="M2" s="2"/>
    </row>
    <row r="3" spans="1:13" ht="15.75" customHeight="1">
      <c r="A3" s="143" t="s">
        <v>260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141</v>
      </c>
      <c r="B4" s="144"/>
      <c r="C4" s="144"/>
      <c r="D4" s="144"/>
      <c r="E4" s="144"/>
      <c r="F4" s="144"/>
      <c r="G4" s="144"/>
      <c r="H4" s="144"/>
      <c r="I4" s="144"/>
    </row>
    <row r="5" spans="1:13" ht="15.75">
      <c r="A5" s="143" t="s">
        <v>261</v>
      </c>
      <c r="B5" s="145"/>
      <c r="C5" s="145"/>
      <c r="D5" s="145"/>
      <c r="E5" s="145"/>
      <c r="F5" s="145"/>
      <c r="G5" s="145"/>
      <c r="H5" s="145"/>
      <c r="I5" s="145"/>
      <c r="J5" s="2"/>
      <c r="K5" s="2"/>
      <c r="L5" s="2"/>
      <c r="M5" s="2"/>
    </row>
    <row r="6" spans="1:13" ht="15.75">
      <c r="A6" s="2"/>
      <c r="B6" s="105"/>
      <c r="C6" s="105"/>
      <c r="D6" s="105"/>
      <c r="E6" s="105"/>
      <c r="F6" s="105"/>
      <c r="G6" s="105"/>
      <c r="H6" s="105"/>
      <c r="I6" s="33">
        <v>43100</v>
      </c>
      <c r="J6" s="2"/>
      <c r="K6" s="2"/>
      <c r="L6" s="2"/>
      <c r="M6" s="2"/>
    </row>
    <row r="7" spans="1:13" ht="15.75">
      <c r="B7" s="108"/>
      <c r="C7" s="108"/>
      <c r="D7" s="10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6" t="s">
        <v>147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7" t="s">
        <v>182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2" t="s">
        <v>59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32">
        <v>1</v>
      </c>
      <c r="B16" s="76" t="s">
        <v>89</v>
      </c>
      <c r="C16" s="77" t="s">
        <v>90</v>
      </c>
      <c r="D16" s="76" t="s">
        <v>186</v>
      </c>
      <c r="E16" s="78">
        <v>208.08</v>
      </c>
      <c r="F16" s="79">
        <f>SUM(E16*156/100)</f>
        <v>324.60480000000001</v>
      </c>
      <c r="G16" s="79">
        <v>175.38</v>
      </c>
      <c r="H16" s="80">
        <f t="shared" ref="H16:H25" si="0">SUM(F16*G16/1000)</f>
        <v>56.929189823999998</v>
      </c>
      <c r="I16" s="13">
        <f>F16/12*G16</f>
        <v>4744.0991519999998</v>
      </c>
      <c r="J16" s="24"/>
      <c r="K16" s="8"/>
      <c r="L16" s="8"/>
      <c r="M16" s="8"/>
    </row>
    <row r="17" spans="1:13" ht="15.75" customHeight="1">
      <c r="A17" s="32">
        <v>2</v>
      </c>
      <c r="B17" s="76" t="s">
        <v>120</v>
      </c>
      <c r="C17" s="77" t="s">
        <v>90</v>
      </c>
      <c r="D17" s="76" t="s">
        <v>185</v>
      </c>
      <c r="E17" s="78">
        <v>832.32</v>
      </c>
      <c r="F17" s="79">
        <f>SUM(E17*104/100)</f>
        <v>865.61279999999999</v>
      </c>
      <c r="G17" s="79">
        <v>175.38</v>
      </c>
      <c r="H17" s="80">
        <f t="shared" si="0"/>
        <v>151.81117286399999</v>
      </c>
      <c r="I17" s="13">
        <f>F17/12*G17</f>
        <v>12650.931071999999</v>
      </c>
      <c r="J17" s="25"/>
      <c r="K17" s="8"/>
      <c r="L17" s="8"/>
      <c r="M17" s="8"/>
    </row>
    <row r="18" spans="1:13" ht="15.75" customHeight="1">
      <c r="A18" s="32">
        <v>3</v>
      </c>
      <c r="B18" s="76" t="s">
        <v>121</v>
      </c>
      <c r="C18" s="77" t="s">
        <v>90</v>
      </c>
      <c r="D18" s="76" t="s">
        <v>184</v>
      </c>
      <c r="E18" s="78">
        <v>1040.4000000000001</v>
      </c>
      <c r="F18" s="79">
        <f>SUM(E18*24/100)</f>
        <v>249.69600000000003</v>
      </c>
      <c r="G18" s="79">
        <v>504.5</v>
      </c>
      <c r="H18" s="80">
        <f t="shared" si="0"/>
        <v>125.97163200000001</v>
      </c>
      <c r="I18" s="13">
        <f>F18/12*G18</f>
        <v>10497.636000000002</v>
      </c>
      <c r="J18" s="25"/>
      <c r="K18" s="8"/>
      <c r="L18" s="8"/>
      <c r="M18" s="8"/>
    </row>
    <row r="19" spans="1:13" ht="15.75" hidden="1" customHeight="1">
      <c r="A19" s="32"/>
      <c r="B19" s="76" t="s">
        <v>97</v>
      </c>
      <c r="C19" s="77" t="s">
        <v>98</v>
      </c>
      <c r="D19" s="76" t="s">
        <v>99</v>
      </c>
      <c r="E19" s="78">
        <v>48</v>
      </c>
      <c r="F19" s="79">
        <f>SUM(E19/10)</f>
        <v>4.8</v>
      </c>
      <c r="G19" s="79">
        <v>170.16</v>
      </c>
      <c r="H19" s="80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76" t="s">
        <v>100</v>
      </c>
      <c r="C20" s="77" t="s">
        <v>90</v>
      </c>
      <c r="D20" s="76" t="s">
        <v>122</v>
      </c>
      <c r="E20" s="78">
        <v>30.6</v>
      </c>
      <c r="F20" s="79">
        <f>SUM(E20*12/100)</f>
        <v>3.6720000000000006</v>
      </c>
      <c r="G20" s="79">
        <v>217.88</v>
      </c>
      <c r="H20" s="80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customHeight="1">
      <c r="A21" s="32">
        <v>5</v>
      </c>
      <c r="B21" s="76" t="s">
        <v>101</v>
      </c>
      <c r="C21" s="77" t="s">
        <v>90</v>
      </c>
      <c r="D21" s="76" t="s">
        <v>30</v>
      </c>
      <c r="E21" s="78">
        <v>10.06</v>
      </c>
      <c r="F21" s="79">
        <f>SUM(E21*12/100)</f>
        <v>1.2072000000000001</v>
      </c>
      <c r="G21" s="79">
        <v>216.12</v>
      </c>
      <c r="H21" s="80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6" t="s">
        <v>102</v>
      </c>
      <c r="C22" s="77" t="s">
        <v>52</v>
      </c>
      <c r="D22" s="76" t="s">
        <v>99</v>
      </c>
      <c r="E22" s="78">
        <v>769.2</v>
      </c>
      <c r="F22" s="79">
        <f>SUM(E22/100)</f>
        <v>7.6920000000000002</v>
      </c>
      <c r="G22" s="79">
        <v>269.26</v>
      </c>
      <c r="H22" s="80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6" t="s">
        <v>103</v>
      </c>
      <c r="C23" s="77" t="s">
        <v>52</v>
      </c>
      <c r="D23" s="76" t="s">
        <v>99</v>
      </c>
      <c r="E23" s="81">
        <v>35.28</v>
      </c>
      <c r="F23" s="79">
        <f>SUM(E23/100)</f>
        <v>0.3528</v>
      </c>
      <c r="G23" s="79">
        <v>44.29</v>
      </c>
      <c r="H23" s="80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customHeight="1">
      <c r="A24" s="32">
        <v>6</v>
      </c>
      <c r="B24" s="76" t="s">
        <v>104</v>
      </c>
      <c r="C24" s="77" t="s">
        <v>52</v>
      </c>
      <c r="D24" s="76" t="s">
        <v>30</v>
      </c>
      <c r="E24" s="78">
        <v>10.8</v>
      </c>
      <c r="F24" s="79">
        <f>E24*12/100</f>
        <v>1.2960000000000003</v>
      </c>
      <c r="G24" s="79">
        <v>389.72</v>
      </c>
      <c r="H24" s="80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customHeight="1">
      <c r="A25" s="32">
        <v>7</v>
      </c>
      <c r="B25" s="76" t="s">
        <v>105</v>
      </c>
      <c r="C25" s="77" t="s">
        <v>52</v>
      </c>
      <c r="D25" s="76" t="s">
        <v>123</v>
      </c>
      <c r="E25" s="78">
        <v>21.6</v>
      </c>
      <c r="F25" s="79">
        <f>SUM(E25*12/100)</f>
        <v>2.5920000000000005</v>
      </c>
      <c r="G25" s="79">
        <v>520.79999999999995</v>
      </c>
      <c r="H25" s="80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8</v>
      </c>
      <c r="B26" s="76" t="s">
        <v>64</v>
      </c>
      <c r="C26" s="77" t="s">
        <v>33</v>
      </c>
      <c r="D26" s="76" t="s">
        <v>183</v>
      </c>
      <c r="E26" s="78">
        <v>0.1</v>
      </c>
      <c r="F26" s="79">
        <f>SUM(E26*365)</f>
        <v>36.5</v>
      </c>
      <c r="G26" s="79">
        <v>147.03</v>
      </c>
      <c r="H26" s="80">
        <f>SUM(F26*G26/1000)</f>
        <v>5.3665950000000002</v>
      </c>
      <c r="I26" s="13">
        <f>F26/12*G26</f>
        <v>447.21625</v>
      </c>
      <c r="J26" s="26"/>
    </row>
    <row r="27" spans="1:13" ht="15.75" customHeight="1">
      <c r="A27" s="32">
        <v>9</v>
      </c>
      <c r="B27" s="84" t="s">
        <v>23</v>
      </c>
      <c r="C27" s="77" t="s">
        <v>24</v>
      </c>
      <c r="D27" s="76" t="s">
        <v>183</v>
      </c>
      <c r="E27" s="78">
        <v>6980.3</v>
      </c>
      <c r="F27" s="79">
        <f>SUM(E27*12)</f>
        <v>83763.600000000006</v>
      </c>
      <c r="G27" s="79">
        <v>4.4000000000000004</v>
      </c>
      <c r="H27" s="80">
        <f>SUM(F27*G27/1000)</f>
        <v>368.55984000000007</v>
      </c>
      <c r="I27" s="13">
        <f>F27/12*G27</f>
        <v>30713.320000000003</v>
      </c>
      <c r="J27" s="26"/>
    </row>
    <row r="28" spans="1:13" ht="15" customHeight="1">
      <c r="A28" s="138" t="s">
        <v>87</v>
      </c>
      <c r="B28" s="138"/>
      <c r="C28" s="138"/>
      <c r="D28" s="138"/>
      <c r="E28" s="138"/>
      <c r="F28" s="138"/>
      <c r="G28" s="138"/>
      <c r="H28" s="138"/>
      <c r="I28" s="138"/>
      <c r="J28" s="25"/>
      <c r="K28" s="8"/>
      <c r="L28" s="8"/>
      <c r="M28" s="8"/>
    </row>
    <row r="29" spans="1:13" ht="15.75" hidden="1" customHeight="1">
      <c r="A29" s="32"/>
      <c r="B29" s="100" t="s">
        <v>28</v>
      </c>
      <c r="C29" s="77"/>
      <c r="D29" s="76"/>
      <c r="E29" s="78"/>
      <c r="F29" s="79"/>
      <c r="G29" s="79"/>
      <c r="H29" s="80"/>
      <c r="I29" s="13"/>
      <c r="J29" s="25"/>
      <c r="K29" s="8"/>
      <c r="L29" s="8"/>
      <c r="M29" s="8"/>
    </row>
    <row r="30" spans="1:13" ht="15.75" hidden="1" customHeight="1">
      <c r="A30" s="32">
        <v>10</v>
      </c>
      <c r="B30" s="76" t="s">
        <v>109</v>
      </c>
      <c r="C30" s="77" t="s">
        <v>92</v>
      </c>
      <c r="D30" s="76" t="s">
        <v>213</v>
      </c>
      <c r="E30" s="79">
        <v>1168.05</v>
      </c>
      <c r="F30" s="79">
        <f>SUM(E30*52/1000)</f>
        <v>60.738599999999998</v>
      </c>
      <c r="G30" s="79">
        <v>155.88999999999999</v>
      </c>
      <c r="H30" s="80">
        <f t="shared" ref="H30:H36" si="1">SUM(F30*G30/1000)</f>
        <v>9.4685403539999982</v>
      </c>
      <c r="I30" s="13">
        <f>F30/6*G30</f>
        <v>1578.0900589999997</v>
      </c>
      <c r="J30" s="25"/>
      <c r="K30" s="8"/>
      <c r="L30" s="8"/>
      <c r="M30" s="8"/>
    </row>
    <row r="31" spans="1:13" ht="31.5" hidden="1" customHeight="1">
      <c r="A31" s="32">
        <v>11</v>
      </c>
      <c r="B31" s="76" t="s">
        <v>125</v>
      </c>
      <c r="C31" s="77" t="s">
        <v>92</v>
      </c>
      <c r="D31" s="76" t="s">
        <v>214</v>
      </c>
      <c r="E31" s="79">
        <v>1039.2</v>
      </c>
      <c r="F31" s="79">
        <f>SUM(E31*78/1000)</f>
        <v>81.057600000000008</v>
      </c>
      <c r="G31" s="79">
        <v>258.63</v>
      </c>
      <c r="H31" s="80">
        <f t="shared" si="1"/>
        <v>20.963927088000002</v>
      </c>
      <c r="I31" s="13">
        <f t="shared" ref="I31:I34" si="2">F31/6*G31</f>
        <v>3493.9878480000002</v>
      </c>
      <c r="J31" s="25"/>
      <c r="K31" s="8"/>
      <c r="L31" s="8"/>
      <c r="M31" s="8"/>
    </row>
    <row r="32" spans="1:13" ht="15.75" hidden="1" customHeight="1">
      <c r="A32" s="32">
        <v>16</v>
      </c>
      <c r="B32" s="76" t="s">
        <v>27</v>
      </c>
      <c r="C32" s="77" t="s">
        <v>92</v>
      </c>
      <c r="D32" s="76" t="s">
        <v>53</v>
      </c>
      <c r="E32" s="79">
        <v>584.03</v>
      </c>
      <c r="F32" s="79">
        <f>SUM(E32/1000)</f>
        <v>0.58402999999999994</v>
      </c>
      <c r="G32" s="79">
        <v>3020.33</v>
      </c>
      <c r="H32" s="80">
        <f t="shared" si="1"/>
        <v>1.7639633298999997</v>
      </c>
      <c r="I32" s="13">
        <f>F32*G32</f>
        <v>1763.9633298999997</v>
      </c>
      <c r="J32" s="25"/>
      <c r="K32" s="8"/>
      <c r="L32" s="8"/>
      <c r="M32" s="8"/>
    </row>
    <row r="33" spans="1:14" ht="15.75" hidden="1" customHeight="1">
      <c r="A33" s="32">
        <v>12</v>
      </c>
      <c r="B33" s="76" t="s">
        <v>124</v>
      </c>
      <c r="C33" s="77" t="s">
        <v>39</v>
      </c>
      <c r="D33" s="76" t="s">
        <v>63</v>
      </c>
      <c r="E33" s="79">
        <v>6</v>
      </c>
      <c r="F33" s="79">
        <f>E33*155/100</f>
        <v>9.3000000000000007</v>
      </c>
      <c r="G33" s="79">
        <v>1302.02</v>
      </c>
      <c r="H33" s="80">
        <f>G33*F33/1000</f>
        <v>12.108786</v>
      </c>
      <c r="I33" s="13">
        <f t="shared" si="2"/>
        <v>2018.1310000000001</v>
      </c>
      <c r="J33" s="25"/>
      <c r="K33" s="8"/>
      <c r="L33" s="8"/>
      <c r="M33" s="8"/>
    </row>
    <row r="34" spans="1:14" ht="15.75" hidden="1" customHeight="1">
      <c r="A34" s="32">
        <v>13</v>
      </c>
      <c r="B34" s="76" t="s">
        <v>108</v>
      </c>
      <c r="C34" s="77" t="s">
        <v>31</v>
      </c>
      <c r="D34" s="76" t="s">
        <v>63</v>
      </c>
      <c r="E34" s="83">
        <v>0.33333333333333331</v>
      </c>
      <c r="F34" s="79">
        <f>155/3</f>
        <v>51.666666666666664</v>
      </c>
      <c r="G34" s="79">
        <v>56.69</v>
      </c>
      <c r="H34" s="80">
        <f>SUM(G34*155/3/1000)</f>
        <v>2.9289833333333331</v>
      </c>
      <c r="I34" s="13">
        <f t="shared" si="2"/>
        <v>488.16388888888883</v>
      </c>
      <c r="J34" s="25"/>
      <c r="K34" s="8"/>
    </row>
    <row r="35" spans="1:14" ht="15.75" hidden="1" customHeight="1">
      <c r="A35" s="32"/>
      <c r="B35" s="76" t="s">
        <v>65</v>
      </c>
      <c r="C35" s="77" t="s">
        <v>33</v>
      </c>
      <c r="D35" s="76" t="s">
        <v>67</v>
      </c>
      <c r="E35" s="78"/>
      <c r="F35" s="79">
        <v>4</v>
      </c>
      <c r="G35" s="79">
        <v>180.15</v>
      </c>
      <c r="H35" s="80">
        <f t="shared" si="1"/>
        <v>0.72060000000000002</v>
      </c>
      <c r="I35" s="13">
        <v>0</v>
      </c>
      <c r="J35" s="26"/>
    </row>
    <row r="36" spans="1:14" ht="15.75" hidden="1" customHeight="1">
      <c r="A36" s="32"/>
      <c r="B36" s="76" t="s">
        <v>66</v>
      </c>
      <c r="C36" s="77" t="s">
        <v>32</v>
      </c>
      <c r="D36" s="76" t="s">
        <v>67</v>
      </c>
      <c r="E36" s="78"/>
      <c r="F36" s="79">
        <v>3</v>
      </c>
      <c r="G36" s="79">
        <v>1136.33</v>
      </c>
      <c r="H36" s="80">
        <f t="shared" si="1"/>
        <v>3.4089899999999997</v>
      </c>
      <c r="I36" s="13">
        <v>0</v>
      </c>
      <c r="J36" s="26"/>
    </row>
    <row r="37" spans="1:14" ht="15.75" customHeight="1">
      <c r="A37" s="32"/>
      <c r="B37" s="100" t="s">
        <v>5</v>
      </c>
      <c r="C37" s="77"/>
      <c r="D37" s="76"/>
      <c r="E37" s="78"/>
      <c r="F37" s="79"/>
      <c r="G37" s="79"/>
      <c r="H37" s="80" t="s">
        <v>152</v>
      </c>
      <c r="I37" s="13"/>
      <c r="J37" s="26"/>
    </row>
    <row r="38" spans="1:14" ht="15.75" customHeight="1">
      <c r="A38" s="32">
        <v>10</v>
      </c>
      <c r="B38" s="76" t="s">
        <v>26</v>
      </c>
      <c r="C38" s="77" t="s">
        <v>32</v>
      </c>
      <c r="D38" s="76"/>
      <c r="E38" s="78"/>
      <c r="F38" s="79">
        <v>10</v>
      </c>
      <c r="G38" s="79">
        <v>1527.22</v>
      </c>
      <c r="H38" s="80">
        <f t="shared" ref="H38:H45" si="3">SUM(F38*G38/1000)</f>
        <v>15.272200000000002</v>
      </c>
      <c r="I38" s="13">
        <f>F38/6*G38</f>
        <v>2545.3666666666668</v>
      </c>
      <c r="J38" s="26"/>
    </row>
    <row r="39" spans="1:14" ht="15.75" customHeight="1">
      <c r="A39" s="32">
        <v>11</v>
      </c>
      <c r="B39" s="76" t="s">
        <v>126</v>
      </c>
      <c r="C39" s="77" t="s">
        <v>33</v>
      </c>
      <c r="D39" s="76"/>
      <c r="E39" s="78"/>
      <c r="F39" s="79">
        <v>10</v>
      </c>
      <c r="G39" s="79">
        <v>77.94</v>
      </c>
      <c r="H39" s="80">
        <f>G39*F39/1000</f>
        <v>0.77939999999999998</v>
      </c>
      <c r="I39" s="13">
        <f>F39/6*G39</f>
        <v>129.9</v>
      </c>
      <c r="J39" s="26"/>
      <c r="L39" s="19"/>
      <c r="M39" s="20"/>
      <c r="N39" s="21"/>
    </row>
    <row r="40" spans="1:14" ht="15.75" customHeight="1">
      <c r="A40" s="32">
        <v>12</v>
      </c>
      <c r="B40" s="76" t="s">
        <v>110</v>
      </c>
      <c r="C40" s="77" t="s">
        <v>29</v>
      </c>
      <c r="D40" s="76" t="s">
        <v>127</v>
      </c>
      <c r="E40" s="78">
        <v>1039.2</v>
      </c>
      <c r="F40" s="79">
        <f>E40*25/1000</f>
        <v>25.98</v>
      </c>
      <c r="G40" s="79">
        <v>2102.71</v>
      </c>
      <c r="H40" s="80">
        <f>G40*F40/1000</f>
        <v>54.628405800000003</v>
      </c>
      <c r="I40" s="13">
        <f>F40/6*G40</f>
        <v>9104.7343000000001</v>
      </c>
      <c r="J40" s="26"/>
      <c r="L40" s="19"/>
      <c r="M40" s="20"/>
      <c r="N40" s="21"/>
    </row>
    <row r="41" spans="1:14" ht="15.75" hidden="1" customHeight="1">
      <c r="A41" s="32"/>
      <c r="B41" s="76" t="s">
        <v>128</v>
      </c>
      <c r="C41" s="77" t="s">
        <v>129</v>
      </c>
      <c r="D41" s="76" t="s">
        <v>67</v>
      </c>
      <c r="E41" s="78"/>
      <c r="F41" s="79">
        <v>50</v>
      </c>
      <c r="G41" s="79">
        <v>213.2</v>
      </c>
      <c r="H41" s="80">
        <f>G41*F41/1000</f>
        <v>10.66</v>
      </c>
      <c r="I41" s="13">
        <v>0</v>
      </c>
      <c r="J41" s="26"/>
      <c r="L41" s="19"/>
      <c r="M41" s="20"/>
      <c r="N41" s="21"/>
    </row>
    <row r="42" spans="1:14" ht="15.75" customHeight="1">
      <c r="A42" s="32">
        <v>13</v>
      </c>
      <c r="B42" s="76" t="s">
        <v>68</v>
      </c>
      <c r="C42" s="77" t="s">
        <v>29</v>
      </c>
      <c r="D42" s="76" t="s">
        <v>91</v>
      </c>
      <c r="E42" s="79">
        <v>153</v>
      </c>
      <c r="F42" s="79">
        <f>SUM(E42*155/1000)</f>
        <v>23.715</v>
      </c>
      <c r="G42" s="79">
        <v>350.75</v>
      </c>
      <c r="H42" s="80">
        <f t="shared" si="3"/>
        <v>8.3180362499999987</v>
      </c>
      <c r="I42" s="13">
        <f>F42/6*G42</f>
        <v>1386.339375</v>
      </c>
      <c r="J42" s="26"/>
      <c r="L42" s="19"/>
      <c r="M42" s="20"/>
      <c r="N42" s="21"/>
    </row>
    <row r="43" spans="1:14" ht="47.25" customHeight="1">
      <c r="A43" s="32">
        <v>14</v>
      </c>
      <c r="B43" s="76" t="s">
        <v>84</v>
      </c>
      <c r="C43" s="77" t="s">
        <v>92</v>
      </c>
      <c r="D43" s="76" t="s">
        <v>130</v>
      </c>
      <c r="E43" s="79">
        <v>24</v>
      </c>
      <c r="F43" s="79">
        <f>SUM(E43*50/1000)</f>
        <v>1.2</v>
      </c>
      <c r="G43" s="79">
        <v>5803.28</v>
      </c>
      <c r="H43" s="80">
        <f t="shared" si="3"/>
        <v>6.9639359999999995</v>
      </c>
      <c r="I43" s="13">
        <f>F43/6*G43</f>
        <v>1160.6559999999999</v>
      </c>
      <c r="J43" s="26"/>
      <c r="L43" s="19"/>
      <c r="M43" s="20"/>
      <c r="N43" s="21"/>
    </row>
    <row r="44" spans="1:14" ht="15.75" hidden="1" customHeight="1">
      <c r="A44" s="32">
        <v>15</v>
      </c>
      <c r="B44" s="76" t="s">
        <v>93</v>
      </c>
      <c r="C44" s="77" t="s">
        <v>92</v>
      </c>
      <c r="D44" s="76" t="s">
        <v>69</v>
      </c>
      <c r="E44" s="79">
        <v>153</v>
      </c>
      <c r="F44" s="79">
        <f>SUM(E44*45/1000)</f>
        <v>6.8849999999999998</v>
      </c>
      <c r="G44" s="79">
        <v>428.7</v>
      </c>
      <c r="H44" s="80">
        <f t="shared" si="3"/>
        <v>2.9515994999999999</v>
      </c>
      <c r="I44" s="13">
        <f>F44/6*G44</f>
        <v>491.93324999999999</v>
      </c>
      <c r="J44" s="26"/>
      <c r="L44" s="19"/>
      <c r="M44" s="20"/>
      <c r="N44" s="21"/>
    </row>
    <row r="45" spans="1:14" ht="15.75" customHeight="1">
      <c r="A45" s="32">
        <v>15</v>
      </c>
      <c r="B45" s="76" t="s">
        <v>70</v>
      </c>
      <c r="C45" s="77" t="s">
        <v>33</v>
      </c>
      <c r="D45" s="76"/>
      <c r="E45" s="78"/>
      <c r="F45" s="79">
        <v>0.9</v>
      </c>
      <c r="G45" s="79">
        <v>798</v>
      </c>
      <c r="H45" s="80">
        <f t="shared" si="3"/>
        <v>0.71820000000000006</v>
      </c>
      <c r="I45" s="13">
        <f>F45/6*G45</f>
        <v>119.69999999999999</v>
      </c>
      <c r="J45" s="26"/>
      <c r="L45" s="19"/>
      <c r="M45" s="20"/>
      <c r="N45" s="21"/>
    </row>
    <row r="46" spans="1:14" ht="15" customHeight="1">
      <c r="A46" s="139" t="s">
        <v>148</v>
      </c>
      <c r="B46" s="140"/>
      <c r="C46" s="140"/>
      <c r="D46" s="140"/>
      <c r="E46" s="140"/>
      <c r="F46" s="140"/>
      <c r="G46" s="140"/>
      <c r="H46" s="140"/>
      <c r="I46" s="141"/>
      <c r="J46" s="26"/>
      <c r="L46" s="19"/>
      <c r="M46" s="20"/>
      <c r="N46" s="21"/>
    </row>
    <row r="47" spans="1:14" ht="15.75" hidden="1" customHeight="1">
      <c r="A47" s="32"/>
      <c r="B47" s="76" t="s">
        <v>131</v>
      </c>
      <c r="C47" s="77" t="s">
        <v>92</v>
      </c>
      <c r="D47" s="76" t="s">
        <v>42</v>
      </c>
      <c r="E47" s="78">
        <v>1895</v>
      </c>
      <c r="F47" s="79">
        <f>SUM(E47*2/1000)</f>
        <v>3.79</v>
      </c>
      <c r="G47" s="13">
        <v>849.49</v>
      </c>
      <c r="H47" s="80">
        <f t="shared" ref="H47:H55" si="4">SUM(F47*G47/1000)</f>
        <v>3.2195671000000003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76" t="s">
        <v>34</v>
      </c>
      <c r="C48" s="77" t="s">
        <v>92</v>
      </c>
      <c r="D48" s="76" t="s">
        <v>42</v>
      </c>
      <c r="E48" s="78">
        <v>118.2</v>
      </c>
      <c r="F48" s="79">
        <f>E48*2/1000</f>
        <v>0.2364</v>
      </c>
      <c r="G48" s="13">
        <v>579.48</v>
      </c>
      <c r="H48" s="80">
        <f t="shared" si="4"/>
        <v>0.13698907199999999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76" t="s">
        <v>35</v>
      </c>
      <c r="C49" s="77" t="s">
        <v>92</v>
      </c>
      <c r="D49" s="76" t="s">
        <v>42</v>
      </c>
      <c r="E49" s="78">
        <v>4675</v>
      </c>
      <c r="F49" s="79">
        <f>SUM(E49*2/1000)</f>
        <v>9.35</v>
      </c>
      <c r="G49" s="13">
        <v>579.48</v>
      </c>
      <c r="H49" s="80">
        <f t="shared" si="4"/>
        <v>5.4181379999999999</v>
      </c>
      <c r="I49" s="13">
        <v>0</v>
      </c>
      <c r="J49" s="26"/>
      <c r="L49" s="19"/>
      <c r="M49" s="20"/>
      <c r="N49" s="21"/>
    </row>
    <row r="50" spans="1:22" ht="15.75" hidden="1" customHeight="1">
      <c r="A50" s="32"/>
      <c r="B50" s="76" t="s">
        <v>36</v>
      </c>
      <c r="C50" s="77" t="s">
        <v>92</v>
      </c>
      <c r="D50" s="76" t="s">
        <v>42</v>
      </c>
      <c r="E50" s="78">
        <v>4675</v>
      </c>
      <c r="F50" s="79">
        <f>SUM(E50*2/1000)</f>
        <v>9.35</v>
      </c>
      <c r="G50" s="13">
        <v>606.77</v>
      </c>
      <c r="H50" s="80">
        <f t="shared" si="4"/>
        <v>5.6732994999999988</v>
      </c>
      <c r="I50" s="13">
        <v>0</v>
      </c>
      <c r="J50" s="26"/>
      <c r="L50" s="19"/>
      <c r="M50" s="20"/>
      <c r="N50" s="21"/>
    </row>
    <row r="51" spans="1:22" ht="15.75" customHeight="1">
      <c r="A51" s="32">
        <v>16</v>
      </c>
      <c r="B51" s="76" t="s">
        <v>56</v>
      </c>
      <c r="C51" s="77" t="s">
        <v>92</v>
      </c>
      <c r="D51" s="76" t="s">
        <v>169</v>
      </c>
      <c r="E51" s="78">
        <v>3988</v>
      </c>
      <c r="F51" s="79">
        <f>SUM(E51*5/1000)</f>
        <v>19.940000000000001</v>
      </c>
      <c r="G51" s="13">
        <v>1142.7</v>
      </c>
      <c r="H51" s="80">
        <f t="shared" si="4"/>
        <v>22.785438000000003</v>
      </c>
      <c r="I51" s="13">
        <f>F51/5*G51</f>
        <v>4557.0876000000007</v>
      </c>
      <c r="J51" s="26"/>
      <c r="L51" s="19"/>
      <c r="M51" s="20"/>
      <c r="N51" s="21"/>
    </row>
    <row r="52" spans="1:22" ht="31.5" hidden="1" customHeight="1">
      <c r="A52" s="32"/>
      <c r="B52" s="76" t="s">
        <v>94</v>
      </c>
      <c r="C52" s="77" t="s">
        <v>92</v>
      </c>
      <c r="D52" s="76" t="s">
        <v>42</v>
      </c>
      <c r="E52" s="78">
        <v>3988</v>
      </c>
      <c r="F52" s="79">
        <f>SUM(E52*2/1000)</f>
        <v>7.976</v>
      </c>
      <c r="G52" s="13">
        <v>1213.55</v>
      </c>
      <c r="H52" s="80">
        <f t="shared" si="4"/>
        <v>9.6792748</v>
      </c>
      <c r="I52" s="13">
        <v>0</v>
      </c>
      <c r="J52" s="26"/>
      <c r="L52" s="19"/>
      <c r="M52" s="20"/>
      <c r="N52" s="21"/>
    </row>
    <row r="53" spans="1:22" ht="31.5" hidden="1" customHeight="1">
      <c r="A53" s="32"/>
      <c r="B53" s="76" t="s">
        <v>95</v>
      </c>
      <c r="C53" s="77" t="s">
        <v>37</v>
      </c>
      <c r="D53" s="76" t="s">
        <v>42</v>
      </c>
      <c r="E53" s="78">
        <v>30</v>
      </c>
      <c r="F53" s="79">
        <f>SUM(E53*2/100)</f>
        <v>0.6</v>
      </c>
      <c r="G53" s="13">
        <v>2730.49</v>
      </c>
      <c r="H53" s="80">
        <f>SUM(F53*G53/1000)</f>
        <v>1.6382939999999999</v>
      </c>
      <c r="I53" s="13">
        <v>0</v>
      </c>
      <c r="J53" s="26"/>
      <c r="L53" s="19"/>
      <c r="M53" s="20"/>
      <c r="N53" s="21"/>
    </row>
    <row r="54" spans="1:22" ht="15.75" hidden="1" customHeight="1">
      <c r="A54" s="32"/>
      <c r="B54" s="76" t="s">
        <v>38</v>
      </c>
      <c r="C54" s="77" t="s">
        <v>39</v>
      </c>
      <c r="D54" s="76" t="s">
        <v>42</v>
      </c>
      <c r="E54" s="78">
        <v>1</v>
      </c>
      <c r="F54" s="79">
        <v>0.02</v>
      </c>
      <c r="G54" s="13">
        <v>5652.13</v>
      </c>
      <c r="H54" s="80">
        <f t="shared" si="4"/>
        <v>0.11304260000000001</v>
      </c>
      <c r="I54" s="13">
        <v>0</v>
      </c>
      <c r="J54" s="26"/>
      <c r="L54" s="19"/>
      <c r="M54" s="20"/>
      <c r="N54" s="21"/>
    </row>
    <row r="55" spans="1:22" ht="15.75" customHeight="1">
      <c r="A55" s="32">
        <v>17</v>
      </c>
      <c r="B55" s="76" t="s">
        <v>41</v>
      </c>
      <c r="C55" s="77" t="s">
        <v>111</v>
      </c>
      <c r="D55" s="76" t="s">
        <v>71</v>
      </c>
      <c r="E55" s="78">
        <v>236</v>
      </c>
      <c r="F55" s="79">
        <f>SUM(E55)*3</f>
        <v>708</v>
      </c>
      <c r="G55" s="13">
        <v>65.67</v>
      </c>
      <c r="H55" s="80">
        <f t="shared" si="4"/>
        <v>46.49436</v>
      </c>
      <c r="I55" s="13">
        <f>E55*G55</f>
        <v>15498.12</v>
      </c>
      <c r="J55" s="26"/>
      <c r="L55" s="19"/>
      <c r="M55" s="20"/>
      <c r="N55" s="21"/>
    </row>
    <row r="56" spans="1:22" ht="15.75" customHeight="1">
      <c r="A56" s="139" t="s">
        <v>149</v>
      </c>
      <c r="B56" s="140"/>
      <c r="C56" s="140"/>
      <c r="D56" s="140"/>
      <c r="E56" s="140"/>
      <c r="F56" s="140"/>
      <c r="G56" s="140"/>
      <c r="H56" s="140"/>
      <c r="I56" s="141"/>
      <c r="J56" s="26"/>
      <c r="L56" s="19"/>
      <c r="M56" s="20"/>
      <c r="N56" s="21"/>
    </row>
    <row r="57" spans="1:22" ht="15.75" customHeight="1">
      <c r="A57" s="32"/>
      <c r="B57" s="100" t="s">
        <v>43</v>
      </c>
      <c r="C57" s="77"/>
      <c r="D57" s="76"/>
      <c r="E57" s="78"/>
      <c r="F57" s="79"/>
      <c r="G57" s="79"/>
      <c r="H57" s="80"/>
      <c r="I57" s="13"/>
      <c r="J57" s="26"/>
      <c r="L57" s="19"/>
      <c r="M57" s="20"/>
      <c r="N57" s="21"/>
    </row>
    <row r="58" spans="1:22" ht="31.5" customHeight="1">
      <c r="A58" s="32">
        <v>18</v>
      </c>
      <c r="B58" s="76" t="s">
        <v>132</v>
      </c>
      <c r="C58" s="77" t="s">
        <v>90</v>
      </c>
      <c r="D58" s="76" t="s">
        <v>112</v>
      </c>
      <c r="E58" s="78">
        <v>30</v>
      </c>
      <c r="F58" s="79">
        <f>SUM(E58*6/100)</f>
        <v>1.8</v>
      </c>
      <c r="G58" s="13">
        <v>1547.28</v>
      </c>
      <c r="H58" s="80">
        <f>SUM(F58*G58/1000)</f>
        <v>2.785104</v>
      </c>
      <c r="I58" s="13">
        <f>F58/6*G58</f>
        <v>464.18399999999997</v>
      </c>
      <c r="J58" s="26"/>
      <c r="L58" s="19"/>
    </row>
    <row r="59" spans="1:22" ht="15.75" hidden="1" customHeight="1">
      <c r="A59" s="32">
        <v>20</v>
      </c>
      <c r="B59" s="85" t="s">
        <v>133</v>
      </c>
      <c r="C59" s="86" t="s">
        <v>134</v>
      </c>
      <c r="D59" s="85" t="s">
        <v>42</v>
      </c>
      <c r="E59" s="87">
        <v>6</v>
      </c>
      <c r="F59" s="88">
        <v>12</v>
      </c>
      <c r="G59" s="13">
        <v>180.78</v>
      </c>
      <c r="H59" s="89">
        <f>G59*F59/1000</f>
        <v>2.1693600000000002</v>
      </c>
      <c r="I59" s="13">
        <f>F59/2*G59</f>
        <v>1084.68</v>
      </c>
    </row>
    <row r="60" spans="1:22" ht="15.75" hidden="1" customHeight="1">
      <c r="A60" s="32">
        <v>21</v>
      </c>
      <c r="B60" s="85" t="s">
        <v>135</v>
      </c>
      <c r="C60" s="86" t="s">
        <v>52</v>
      </c>
      <c r="D60" s="85" t="s">
        <v>40</v>
      </c>
      <c r="E60" s="87">
        <v>6</v>
      </c>
      <c r="F60" s="88">
        <f>E60*4/100</f>
        <v>0.24</v>
      </c>
      <c r="G60" s="13">
        <v>1547.28</v>
      </c>
      <c r="H60" s="89">
        <f>G60*F60/1000</f>
        <v>0.37134719999999999</v>
      </c>
      <c r="I60" s="13">
        <f>F60/4*G60</f>
        <v>92.836799999999997</v>
      </c>
    </row>
    <row r="61" spans="1:22" ht="15.75" customHeight="1">
      <c r="A61" s="32"/>
      <c r="B61" s="101" t="s">
        <v>44</v>
      </c>
      <c r="C61" s="86"/>
      <c r="D61" s="85"/>
      <c r="E61" s="87"/>
      <c r="F61" s="88"/>
      <c r="G61" s="13"/>
      <c r="H61" s="89"/>
      <c r="I61" s="13"/>
    </row>
    <row r="62" spans="1:22" ht="15.75" hidden="1" customHeight="1">
      <c r="A62" s="32">
        <v>22</v>
      </c>
      <c r="B62" s="85" t="s">
        <v>136</v>
      </c>
      <c r="C62" s="86" t="s">
        <v>52</v>
      </c>
      <c r="D62" s="85" t="s">
        <v>53</v>
      </c>
      <c r="E62" s="87">
        <v>997</v>
      </c>
      <c r="F62" s="88">
        <v>9.9700000000000006</v>
      </c>
      <c r="G62" s="13">
        <v>793.61</v>
      </c>
      <c r="H62" s="89">
        <f>F62*G62/1000</f>
        <v>7.9122917000000008</v>
      </c>
      <c r="I62" s="13">
        <f>G62*F62</f>
        <v>7912.2917000000007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customHeight="1">
      <c r="A63" s="32">
        <v>19</v>
      </c>
      <c r="B63" s="85" t="s">
        <v>137</v>
      </c>
      <c r="C63" s="86" t="s">
        <v>25</v>
      </c>
      <c r="D63" s="85" t="s">
        <v>30</v>
      </c>
      <c r="E63" s="87">
        <v>394</v>
      </c>
      <c r="F63" s="90">
        <f>E63*12</f>
        <v>4728</v>
      </c>
      <c r="G63" s="71">
        <v>2.6</v>
      </c>
      <c r="H63" s="88">
        <f>F63*G63/1000</f>
        <v>12.292800000000002</v>
      </c>
      <c r="I63" s="13">
        <f>F63/12*G63</f>
        <v>1024.4000000000001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2"/>
      <c r="B64" s="101" t="s">
        <v>45</v>
      </c>
      <c r="C64" s="86"/>
      <c r="D64" s="85"/>
      <c r="E64" s="87"/>
      <c r="F64" s="90"/>
      <c r="G64" s="90"/>
      <c r="H64" s="88" t="s">
        <v>152</v>
      </c>
      <c r="I64" s="13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32">
        <v>20</v>
      </c>
      <c r="B65" s="14" t="s">
        <v>46</v>
      </c>
      <c r="C65" s="16" t="s">
        <v>111</v>
      </c>
      <c r="D65" s="76" t="s">
        <v>67</v>
      </c>
      <c r="E65" s="18">
        <v>15</v>
      </c>
      <c r="F65" s="79">
        <v>15</v>
      </c>
      <c r="G65" s="13">
        <v>222.4</v>
      </c>
      <c r="H65" s="91">
        <f t="shared" ref="H65:H78" si="5">SUM(F65*G65/1000)</f>
        <v>3.3359999999999999</v>
      </c>
      <c r="I65" s="13">
        <f>G65</f>
        <v>222.4</v>
      </c>
      <c r="J65" s="5"/>
      <c r="K65" s="5"/>
      <c r="L65" s="5"/>
      <c r="M65" s="5"/>
      <c r="N65" s="5"/>
      <c r="O65" s="5"/>
      <c r="P65" s="5"/>
      <c r="Q65" s="5"/>
      <c r="R65" s="123"/>
      <c r="S65" s="123"/>
      <c r="T65" s="123"/>
      <c r="U65" s="123"/>
    </row>
    <row r="66" spans="1:21" ht="15.75" hidden="1" customHeight="1">
      <c r="A66" s="32">
        <v>25</v>
      </c>
      <c r="B66" s="14" t="s">
        <v>47</v>
      </c>
      <c r="C66" s="16" t="s">
        <v>111</v>
      </c>
      <c r="D66" s="76" t="s">
        <v>67</v>
      </c>
      <c r="E66" s="18">
        <v>10</v>
      </c>
      <c r="F66" s="79">
        <v>10</v>
      </c>
      <c r="G66" s="13">
        <v>76.25</v>
      </c>
      <c r="H66" s="91">
        <f t="shared" si="5"/>
        <v>0.76249999999999996</v>
      </c>
      <c r="I66" s="13">
        <f>G66</f>
        <v>76.25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48</v>
      </c>
      <c r="C67" s="16" t="s">
        <v>113</v>
      </c>
      <c r="D67" s="14" t="s">
        <v>53</v>
      </c>
      <c r="E67" s="78">
        <v>28608</v>
      </c>
      <c r="F67" s="13">
        <f>SUM(E67/100)</f>
        <v>286.08</v>
      </c>
      <c r="G67" s="13">
        <v>199.77</v>
      </c>
      <c r="H67" s="91">
        <f t="shared" si="5"/>
        <v>57.150201600000003</v>
      </c>
      <c r="I67" s="13">
        <f>F67*G67</f>
        <v>57150.2016</v>
      </c>
    </row>
    <row r="68" spans="1:21" ht="15.75" hidden="1" customHeight="1">
      <c r="A68" s="32"/>
      <c r="B68" s="14" t="s">
        <v>49</v>
      </c>
      <c r="C68" s="16" t="s">
        <v>114</v>
      </c>
      <c r="D68" s="14"/>
      <c r="E68" s="78">
        <v>28608</v>
      </c>
      <c r="F68" s="13">
        <f>SUM(E68/1000)</f>
        <v>28.608000000000001</v>
      </c>
      <c r="G68" s="13">
        <v>155.57</v>
      </c>
      <c r="H68" s="91">
        <f t="shared" si="5"/>
        <v>4.4505465599999994</v>
      </c>
      <c r="I68" s="13">
        <f t="shared" ref="I68:I72" si="6">F68*G68</f>
        <v>4450.5465599999998</v>
      </c>
    </row>
    <row r="69" spans="1:21" ht="15.75" hidden="1" customHeight="1">
      <c r="A69" s="32"/>
      <c r="B69" s="14" t="s">
        <v>50</v>
      </c>
      <c r="C69" s="16" t="s">
        <v>77</v>
      </c>
      <c r="D69" s="14" t="s">
        <v>53</v>
      </c>
      <c r="E69" s="78">
        <v>4550</v>
      </c>
      <c r="F69" s="13">
        <f>SUM(E69/100)</f>
        <v>45.5</v>
      </c>
      <c r="G69" s="13">
        <v>2074.63</v>
      </c>
      <c r="H69" s="91">
        <f t="shared" si="5"/>
        <v>94.395665000000008</v>
      </c>
      <c r="I69" s="13">
        <f t="shared" si="6"/>
        <v>94395.665000000008</v>
      </c>
    </row>
    <row r="70" spans="1:21" ht="15.75" hidden="1" customHeight="1">
      <c r="A70" s="32"/>
      <c r="B70" s="92" t="s">
        <v>115</v>
      </c>
      <c r="C70" s="16" t="s">
        <v>33</v>
      </c>
      <c r="D70" s="14"/>
      <c r="E70" s="78">
        <v>58.5</v>
      </c>
      <c r="F70" s="13">
        <f>SUM(E70)</f>
        <v>58.5</v>
      </c>
      <c r="G70" s="13">
        <v>45.32</v>
      </c>
      <c r="H70" s="91">
        <f t="shared" si="5"/>
        <v>2.6512199999999999</v>
      </c>
      <c r="I70" s="13">
        <f t="shared" si="6"/>
        <v>2651.22</v>
      </c>
    </row>
    <row r="71" spans="1:21" ht="15.75" hidden="1" customHeight="1">
      <c r="A71" s="32"/>
      <c r="B71" s="92" t="s">
        <v>116</v>
      </c>
      <c r="C71" s="16" t="s">
        <v>33</v>
      </c>
      <c r="D71" s="14"/>
      <c r="E71" s="78">
        <v>58.5</v>
      </c>
      <c r="F71" s="13">
        <f>SUM(E71)</f>
        <v>58.5</v>
      </c>
      <c r="G71" s="13">
        <v>42.28</v>
      </c>
      <c r="H71" s="91">
        <f t="shared" si="5"/>
        <v>2.4733800000000001</v>
      </c>
      <c r="I71" s="13">
        <f t="shared" si="6"/>
        <v>2473.38</v>
      </c>
    </row>
    <row r="72" spans="1:21" ht="15.75" hidden="1" customHeight="1">
      <c r="A72" s="32"/>
      <c r="B72" s="14" t="s">
        <v>57</v>
      </c>
      <c r="C72" s="16" t="s">
        <v>58</v>
      </c>
      <c r="D72" s="14" t="s">
        <v>53</v>
      </c>
      <c r="E72" s="18">
        <v>5</v>
      </c>
      <c r="F72" s="79">
        <v>5</v>
      </c>
      <c r="G72" s="13">
        <v>49.88</v>
      </c>
      <c r="H72" s="91">
        <f t="shared" si="5"/>
        <v>0.24940000000000001</v>
      </c>
      <c r="I72" s="13">
        <f t="shared" si="6"/>
        <v>249.4</v>
      </c>
    </row>
    <row r="73" spans="1:21" ht="15.75" customHeight="1">
      <c r="A73" s="32"/>
      <c r="B73" s="104" t="s">
        <v>72</v>
      </c>
      <c r="C73" s="16"/>
      <c r="D73" s="14"/>
      <c r="E73" s="18"/>
      <c r="F73" s="13"/>
      <c r="G73" s="13"/>
      <c r="H73" s="91" t="s">
        <v>152</v>
      </c>
      <c r="I73" s="13"/>
    </row>
    <row r="74" spans="1:21" ht="15.75" customHeight="1">
      <c r="A74" s="32">
        <v>21</v>
      </c>
      <c r="B74" s="14" t="s">
        <v>73</v>
      </c>
      <c r="C74" s="16" t="s">
        <v>75</v>
      </c>
      <c r="D74" s="14"/>
      <c r="E74" s="18">
        <v>10</v>
      </c>
      <c r="F74" s="13">
        <v>1</v>
      </c>
      <c r="G74" s="13">
        <v>501.62</v>
      </c>
      <c r="H74" s="91">
        <f t="shared" si="5"/>
        <v>0.50161999999999995</v>
      </c>
      <c r="I74" s="13">
        <f>G74*1.2</f>
        <v>601.94399999999996</v>
      </c>
    </row>
    <row r="75" spans="1:21" ht="15.75" hidden="1" customHeight="1">
      <c r="A75" s="32"/>
      <c r="B75" s="14" t="s">
        <v>74</v>
      </c>
      <c r="C75" s="16" t="s">
        <v>31</v>
      </c>
      <c r="D75" s="14"/>
      <c r="E75" s="18">
        <v>3</v>
      </c>
      <c r="F75" s="71">
        <v>3</v>
      </c>
      <c r="G75" s="13">
        <v>852.99</v>
      </c>
      <c r="H75" s="91">
        <f>F75*G75/1000</f>
        <v>2.5589700000000004</v>
      </c>
      <c r="I75" s="13">
        <v>0</v>
      </c>
    </row>
    <row r="76" spans="1:21" ht="15.75" hidden="1" customHeight="1">
      <c r="A76" s="32"/>
      <c r="B76" s="14" t="s">
        <v>118</v>
      </c>
      <c r="C76" s="16" t="s">
        <v>31</v>
      </c>
      <c r="D76" s="14"/>
      <c r="E76" s="18">
        <v>1</v>
      </c>
      <c r="F76" s="13">
        <v>1</v>
      </c>
      <c r="G76" s="13">
        <v>358.51</v>
      </c>
      <c r="H76" s="91">
        <f>G76*F76/1000</f>
        <v>0.35851</v>
      </c>
      <c r="I76" s="13">
        <v>0</v>
      </c>
    </row>
    <row r="77" spans="1:21" ht="15.75" hidden="1" customHeight="1">
      <c r="A77" s="32"/>
      <c r="B77" s="94" t="s">
        <v>76</v>
      </c>
      <c r="C77" s="16"/>
      <c r="D77" s="14"/>
      <c r="E77" s="18"/>
      <c r="F77" s="13"/>
      <c r="G77" s="13" t="s">
        <v>152</v>
      </c>
      <c r="H77" s="91" t="s">
        <v>152</v>
      </c>
      <c r="I77" s="13"/>
    </row>
    <row r="78" spans="1:21" ht="15.75" hidden="1" customHeight="1">
      <c r="A78" s="32"/>
      <c r="B78" s="47" t="s">
        <v>170</v>
      </c>
      <c r="C78" s="16" t="s">
        <v>77</v>
      </c>
      <c r="D78" s="14"/>
      <c r="E78" s="18"/>
      <c r="F78" s="13">
        <v>1.2</v>
      </c>
      <c r="G78" s="13">
        <v>2759.44</v>
      </c>
      <c r="H78" s="91">
        <f t="shared" si="5"/>
        <v>3.311328</v>
      </c>
      <c r="I78" s="13">
        <v>0</v>
      </c>
    </row>
    <row r="79" spans="1:21" ht="15.75" hidden="1" customHeight="1">
      <c r="A79" s="32"/>
      <c r="B79" s="70" t="s">
        <v>96</v>
      </c>
      <c r="C79" s="70"/>
      <c r="D79" s="70"/>
      <c r="E79" s="70"/>
      <c r="F79" s="70"/>
      <c r="G79" s="82"/>
      <c r="H79" s="95">
        <f>SUM(H58:H78)</f>
        <v>197.73024405999999</v>
      </c>
      <c r="I79" s="82"/>
    </row>
    <row r="80" spans="1:21" ht="15.75" hidden="1" customHeight="1">
      <c r="A80" s="32"/>
      <c r="B80" s="102" t="s">
        <v>117</v>
      </c>
      <c r="C80" s="23"/>
      <c r="D80" s="22"/>
      <c r="E80" s="72"/>
      <c r="F80" s="103">
        <v>1</v>
      </c>
      <c r="G80" s="13">
        <v>23072.1</v>
      </c>
      <c r="H80" s="91">
        <f>G80*F80/1000</f>
        <v>23.072099999999999</v>
      </c>
      <c r="I80" s="13">
        <v>0</v>
      </c>
    </row>
    <row r="81" spans="1:9" ht="15.75" customHeight="1">
      <c r="A81" s="124" t="s">
        <v>150</v>
      </c>
      <c r="B81" s="125"/>
      <c r="C81" s="125"/>
      <c r="D81" s="125"/>
      <c r="E81" s="125"/>
      <c r="F81" s="125"/>
      <c r="G81" s="125"/>
      <c r="H81" s="125"/>
      <c r="I81" s="126"/>
    </row>
    <row r="82" spans="1:9" ht="15.75" customHeight="1">
      <c r="A82" s="32">
        <v>22</v>
      </c>
      <c r="B82" s="76" t="s">
        <v>119</v>
      </c>
      <c r="C82" s="16" t="s">
        <v>54</v>
      </c>
      <c r="D82" s="51" t="s">
        <v>55</v>
      </c>
      <c r="E82" s="13">
        <v>6980.3</v>
      </c>
      <c r="F82" s="13">
        <f>SUM(E82*12)</f>
        <v>83763.600000000006</v>
      </c>
      <c r="G82" s="13">
        <v>2.1</v>
      </c>
      <c r="H82" s="91">
        <f>SUM(F82*G82/1000)</f>
        <v>175.90356000000003</v>
      </c>
      <c r="I82" s="13">
        <f>F82/12*G82</f>
        <v>14658.630000000001</v>
      </c>
    </row>
    <row r="83" spans="1:9" ht="31.5" customHeight="1">
      <c r="A83" s="32">
        <v>23</v>
      </c>
      <c r="B83" s="14" t="s">
        <v>78</v>
      </c>
      <c r="C83" s="16"/>
      <c r="D83" s="51" t="s">
        <v>55</v>
      </c>
      <c r="E83" s="78">
        <f>E82</f>
        <v>6980.3</v>
      </c>
      <c r="F83" s="13">
        <f>E83*12</f>
        <v>83763.600000000006</v>
      </c>
      <c r="G83" s="13">
        <v>1.63</v>
      </c>
      <c r="H83" s="91">
        <f>F83*G83/1000</f>
        <v>136.53466800000001</v>
      </c>
      <c r="I83" s="13">
        <f>F83/12*G83</f>
        <v>11377.888999999999</v>
      </c>
    </row>
    <row r="84" spans="1:9" ht="15.75" customHeight="1">
      <c r="A84" s="32"/>
      <c r="B84" s="40" t="s">
        <v>81</v>
      </c>
      <c r="C84" s="94"/>
      <c r="D84" s="93"/>
      <c r="E84" s="82"/>
      <c r="F84" s="82"/>
      <c r="G84" s="82"/>
      <c r="H84" s="95">
        <f>H83</f>
        <v>136.53466800000001</v>
      </c>
      <c r="I84" s="82">
        <f>I16+I17+I18+I20+I21+I24+I25+I26+I27+I38+I39+I40+I42+I43+I45+I51+I55+I58+I63+I65+I74+I82+I83</f>
        <v>122147.54892766665</v>
      </c>
    </row>
    <row r="85" spans="1:9" ht="15.75" customHeight="1">
      <c r="A85" s="135" t="s">
        <v>60</v>
      </c>
      <c r="B85" s="136"/>
      <c r="C85" s="136"/>
      <c r="D85" s="136"/>
      <c r="E85" s="136"/>
      <c r="F85" s="136"/>
      <c r="G85" s="136"/>
      <c r="H85" s="136"/>
      <c r="I85" s="137"/>
    </row>
    <row r="86" spans="1:9" ht="31.5" customHeight="1">
      <c r="A86" s="32">
        <v>24</v>
      </c>
      <c r="B86" s="61" t="s">
        <v>165</v>
      </c>
      <c r="C86" s="32" t="s">
        <v>82</v>
      </c>
      <c r="D86" s="39"/>
      <c r="E86" s="17"/>
      <c r="F86" s="36">
        <v>50</v>
      </c>
      <c r="G86" s="13">
        <v>1187</v>
      </c>
      <c r="H86" s="110">
        <f t="shared" ref="H86" si="7">G86*F86/1000</f>
        <v>59.35</v>
      </c>
      <c r="I86" s="13">
        <f>G86*2.5</f>
        <v>2967.5</v>
      </c>
    </row>
    <row r="87" spans="1:9" ht="15.75" customHeight="1">
      <c r="A87" s="32">
        <v>25</v>
      </c>
      <c r="B87" s="50" t="s">
        <v>138</v>
      </c>
      <c r="C87" s="62" t="s">
        <v>111</v>
      </c>
      <c r="D87" s="14"/>
      <c r="E87" s="18"/>
      <c r="F87" s="13">
        <v>1440</v>
      </c>
      <c r="G87" s="13">
        <v>53.42</v>
      </c>
      <c r="H87" s="91">
        <f t="shared" ref="H87" si="8">G87*F87/1000</f>
        <v>76.924800000000005</v>
      </c>
      <c r="I87" s="13">
        <f>G87*120</f>
        <v>6410.4000000000005</v>
      </c>
    </row>
    <row r="88" spans="1:9" ht="15.75" customHeight="1">
      <c r="A88" s="32">
        <v>26</v>
      </c>
      <c r="B88" s="98" t="s">
        <v>192</v>
      </c>
      <c r="C88" s="99" t="s">
        <v>142</v>
      </c>
      <c r="D88" s="111"/>
      <c r="E88" s="36"/>
      <c r="F88" s="36">
        <f>(3+4+15+15+15+5+20+20+15+10+15+15+7+6+15+3+10+10+15+7+20+3)/3</f>
        <v>82.666666666666671</v>
      </c>
      <c r="G88" s="36">
        <v>1120.8900000000001</v>
      </c>
      <c r="H88" s="110">
        <f t="shared" ref="H88:H93" si="9">G88*F88/1000</f>
        <v>92.660240000000016</v>
      </c>
      <c r="I88" s="13">
        <f>G88*((20+3)/3)</f>
        <v>8593.4900000000016</v>
      </c>
    </row>
    <row r="89" spans="1:9" ht="15.75" customHeight="1">
      <c r="A89" s="32">
        <v>27</v>
      </c>
      <c r="B89" s="50" t="s">
        <v>83</v>
      </c>
      <c r="C89" s="62" t="s">
        <v>111</v>
      </c>
      <c r="D89" s="39"/>
      <c r="E89" s="17"/>
      <c r="F89" s="36">
        <v>13</v>
      </c>
      <c r="G89" s="36">
        <v>189.88</v>
      </c>
      <c r="H89" s="110">
        <f t="shared" si="9"/>
        <v>2.4684400000000002</v>
      </c>
      <c r="I89" s="13">
        <f>G89</f>
        <v>189.88</v>
      </c>
    </row>
    <row r="90" spans="1:9" ht="15.75" customHeight="1">
      <c r="A90" s="32">
        <v>28</v>
      </c>
      <c r="B90" s="52" t="s">
        <v>262</v>
      </c>
      <c r="C90" s="53" t="s">
        <v>111</v>
      </c>
      <c r="D90" s="111"/>
      <c r="E90" s="36"/>
      <c r="F90" s="36">
        <v>2</v>
      </c>
      <c r="G90" s="36">
        <v>1202.53</v>
      </c>
      <c r="H90" s="36">
        <f t="shared" si="9"/>
        <v>2.4050599999999998</v>
      </c>
      <c r="I90" s="13">
        <f>G90</f>
        <v>1202.53</v>
      </c>
    </row>
    <row r="91" spans="1:9" ht="31.5" customHeight="1">
      <c r="A91" s="32">
        <v>29</v>
      </c>
      <c r="B91" s="50" t="s">
        <v>139</v>
      </c>
      <c r="C91" s="62" t="s">
        <v>37</v>
      </c>
      <c r="D91" s="39"/>
      <c r="E91" s="17"/>
      <c r="F91" s="36">
        <v>0.05</v>
      </c>
      <c r="G91" s="37">
        <v>3581.13</v>
      </c>
      <c r="H91" s="110">
        <f t="shared" si="9"/>
        <v>0.17905650000000004</v>
      </c>
      <c r="I91" s="13">
        <f>G91*0.02</f>
        <v>71.622600000000006</v>
      </c>
    </row>
    <row r="92" spans="1:9" ht="31.5" customHeight="1">
      <c r="A92" s="32">
        <v>30</v>
      </c>
      <c r="B92" s="50" t="s">
        <v>80</v>
      </c>
      <c r="C92" s="62" t="s">
        <v>111</v>
      </c>
      <c r="D92" s="39"/>
      <c r="E92" s="17"/>
      <c r="F92" s="36">
        <v>3</v>
      </c>
      <c r="G92" s="36">
        <v>83.36</v>
      </c>
      <c r="H92" s="110">
        <f t="shared" si="9"/>
        <v>0.25007999999999997</v>
      </c>
      <c r="I92" s="13">
        <f>G92</f>
        <v>83.36</v>
      </c>
    </row>
    <row r="93" spans="1:9" ht="15.75" customHeight="1">
      <c r="A93" s="32">
        <v>31</v>
      </c>
      <c r="B93" s="50" t="s">
        <v>263</v>
      </c>
      <c r="C93" s="62" t="s">
        <v>264</v>
      </c>
      <c r="D93" s="47"/>
      <c r="E93" s="36"/>
      <c r="F93" s="36">
        <v>0.01</v>
      </c>
      <c r="G93" s="37">
        <v>7412.92</v>
      </c>
      <c r="H93" s="110">
        <f t="shared" si="9"/>
        <v>7.4129199999999992E-2</v>
      </c>
      <c r="I93" s="13">
        <f>G93*0.01</f>
        <v>74.129199999999997</v>
      </c>
    </row>
    <row r="94" spans="1:9" ht="15.75" customHeight="1">
      <c r="A94" s="32"/>
      <c r="B94" s="45" t="s">
        <v>51</v>
      </c>
      <c r="C94" s="41"/>
      <c r="D94" s="48"/>
      <c r="E94" s="41">
        <v>1</v>
      </c>
      <c r="F94" s="41"/>
      <c r="G94" s="41"/>
      <c r="H94" s="41"/>
      <c r="I94" s="34">
        <f>SUM(I86:I93)</f>
        <v>19592.911800000002</v>
      </c>
    </row>
    <row r="95" spans="1:9">
      <c r="A95" s="32"/>
      <c r="B95" s="47" t="s">
        <v>79</v>
      </c>
      <c r="C95" s="15"/>
      <c r="D95" s="15"/>
      <c r="E95" s="42"/>
      <c r="F95" s="42"/>
      <c r="G95" s="43"/>
      <c r="H95" s="43"/>
      <c r="I95" s="17">
        <v>0</v>
      </c>
    </row>
    <row r="96" spans="1:9">
      <c r="A96" s="49"/>
      <c r="B96" s="46" t="s">
        <v>189</v>
      </c>
      <c r="C96" s="35"/>
      <c r="D96" s="35"/>
      <c r="E96" s="35"/>
      <c r="F96" s="35"/>
      <c r="G96" s="35"/>
      <c r="H96" s="35"/>
      <c r="I96" s="44">
        <f>I84+I94</f>
        <v>141740.46072766665</v>
      </c>
    </row>
    <row r="97" spans="1:9" ht="15.75">
      <c r="A97" s="127" t="s">
        <v>270</v>
      </c>
      <c r="B97" s="127"/>
      <c r="C97" s="127"/>
      <c r="D97" s="127"/>
      <c r="E97" s="127"/>
      <c r="F97" s="127"/>
      <c r="G97" s="127"/>
      <c r="H97" s="127"/>
      <c r="I97" s="127"/>
    </row>
    <row r="98" spans="1:9" ht="15.75" customHeight="1">
      <c r="A98" s="60"/>
      <c r="B98" s="128" t="s">
        <v>271</v>
      </c>
      <c r="C98" s="128"/>
      <c r="D98" s="128"/>
      <c r="E98" s="128"/>
      <c r="F98" s="128"/>
      <c r="G98" s="128"/>
      <c r="H98" s="75"/>
      <c r="I98" s="3"/>
    </row>
    <row r="99" spans="1:9">
      <c r="A99" s="106"/>
      <c r="B99" s="129" t="s">
        <v>6</v>
      </c>
      <c r="C99" s="129"/>
      <c r="D99" s="129"/>
      <c r="E99" s="129"/>
      <c r="F99" s="129"/>
      <c r="G99" s="129"/>
      <c r="H99" s="27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30" t="s">
        <v>7</v>
      </c>
      <c r="B101" s="130"/>
      <c r="C101" s="130"/>
      <c r="D101" s="130"/>
      <c r="E101" s="130"/>
      <c r="F101" s="130"/>
      <c r="G101" s="130"/>
      <c r="H101" s="130"/>
      <c r="I101" s="130"/>
    </row>
    <row r="102" spans="1:9" ht="15.75">
      <c r="A102" s="130" t="s">
        <v>8</v>
      </c>
      <c r="B102" s="130"/>
      <c r="C102" s="130"/>
      <c r="D102" s="130"/>
      <c r="E102" s="130"/>
      <c r="F102" s="130"/>
      <c r="G102" s="130"/>
      <c r="H102" s="130"/>
      <c r="I102" s="130"/>
    </row>
    <row r="103" spans="1:9" ht="15.75">
      <c r="A103" s="131" t="s">
        <v>61</v>
      </c>
      <c r="B103" s="131"/>
      <c r="C103" s="131"/>
      <c r="D103" s="131"/>
      <c r="E103" s="131"/>
      <c r="F103" s="131"/>
      <c r="G103" s="131"/>
      <c r="H103" s="131"/>
      <c r="I103" s="131"/>
    </row>
    <row r="104" spans="1:9" ht="15.75">
      <c r="A104" s="11"/>
    </row>
    <row r="105" spans="1:9" ht="15.75">
      <c r="A105" s="132" t="s">
        <v>9</v>
      </c>
      <c r="B105" s="132"/>
      <c r="C105" s="132"/>
      <c r="D105" s="132"/>
      <c r="E105" s="132"/>
      <c r="F105" s="132"/>
      <c r="G105" s="132"/>
      <c r="H105" s="132"/>
      <c r="I105" s="132"/>
    </row>
    <row r="106" spans="1:9" ht="15.75" customHeight="1">
      <c r="A106" s="4"/>
    </row>
    <row r="107" spans="1:9" ht="15.75" customHeight="1">
      <c r="B107" s="108" t="s">
        <v>10</v>
      </c>
      <c r="C107" s="133" t="s">
        <v>144</v>
      </c>
      <c r="D107" s="133"/>
      <c r="E107" s="133"/>
      <c r="F107" s="73"/>
      <c r="I107" s="109"/>
    </row>
    <row r="108" spans="1:9" ht="15.75" customHeight="1">
      <c r="A108" s="106"/>
      <c r="C108" s="129" t="s">
        <v>11</v>
      </c>
      <c r="D108" s="129"/>
      <c r="E108" s="129"/>
      <c r="F108" s="27"/>
      <c r="I108" s="107" t="s">
        <v>12</v>
      </c>
    </row>
    <row r="109" spans="1:9" ht="15.75" customHeight="1">
      <c r="A109" s="28"/>
      <c r="C109" s="12"/>
      <c r="D109" s="12"/>
      <c r="G109" s="12"/>
      <c r="H109" s="12"/>
    </row>
    <row r="110" spans="1:9" ht="15.75">
      <c r="B110" s="108" t="s">
        <v>13</v>
      </c>
      <c r="C110" s="134"/>
      <c r="D110" s="134"/>
      <c r="E110" s="134"/>
      <c r="F110" s="74"/>
      <c r="I110" s="109"/>
    </row>
    <row r="111" spans="1:9">
      <c r="A111" s="106"/>
      <c r="C111" s="123" t="s">
        <v>11</v>
      </c>
      <c r="D111" s="123"/>
      <c r="E111" s="123"/>
      <c r="F111" s="106"/>
      <c r="I111" s="107" t="s">
        <v>12</v>
      </c>
    </row>
    <row r="112" spans="1:9" ht="15.75">
      <c r="A112" s="4" t="s">
        <v>14</v>
      </c>
    </row>
    <row r="113" spans="1:9">
      <c r="A113" s="121" t="s">
        <v>15</v>
      </c>
      <c r="B113" s="121"/>
      <c r="C113" s="121"/>
      <c r="D113" s="121"/>
      <c r="E113" s="121"/>
      <c r="F113" s="121"/>
      <c r="G113" s="121"/>
      <c r="H113" s="121"/>
      <c r="I113" s="121"/>
    </row>
    <row r="114" spans="1:9" ht="45" customHeight="1">
      <c r="A114" s="122" t="s">
        <v>16</v>
      </c>
      <c r="B114" s="122"/>
      <c r="C114" s="122"/>
      <c r="D114" s="122"/>
      <c r="E114" s="122"/>
      <c r="F114" s="122"/>
      <c r="G114" s="122"/>
      <c r="H114" s="122"/>
      <c r="I114" s="122"/>
    </row>
    <row r="115" spans="1:9" ht="30" customHeight="1">
      <c r="A115" s="122" t="s">
        <v>17</v>
      </c>
      <c r="B115" s="122"/>
      <c r="C115" s="122"/>
      <c r="D115" s="122"/>
      <c r="E115" s="122"/>
      <c r="F115" s="122"/>
      <c r="G115" s="122"/>
      <c r="H115" s="122"/>
      <c r="I115" s="122"/>
    </row>
    <row r="116" spans="1:9" ht="30" customHeight="1">
      <c r="A116" s="122" t="s">
        <v>21</v>
      </c>
      <c r="B116" s="122"/>
      <c r="C116" s="122"/>
      <c r="D116" s="122"/>
      <c r="E116" s="122"/>
      <c r="F116" s="122"/>
      <c r="G116" s="122"/>
      <c r="H116" s="122"/>
      <c r="I116" s="122"/>
    </row>
    <row r="117" spans="1:9" ht="15" customHeight="1">
      <c r="A117" s="122" t="s">
        <v>20</v>
      </c>
      <c r="B117" s="122"/>
      <c r="C117" s="122"/>
      <c r="D117" s="122"/>
      <c r="E117" s="122"/>
      <c r="F117" s="122"/>
      <c r="G117" s="122"/>
      <c r="H117" s="122"/>
      <c r="I117" s="122"/>
    </row>
  </sheetData>
  <autoFilter ref="I12:I60"/>
  <mergeCells count="29">
    <mergeCell ref="A113:I113"/>
    <mergeCell ref="A114:I114"/>
    <mergeCell ref="A115:I115"/>
    <mergeCell ref="A116:I116"/>
    <mergeCell ref="A117:I117"/>
    <mergeCell ref="R65:U65"/>
    <mergeCell ref="C111:E111"/>
    <mergeCell ref="A85:I85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6:I46"/>
    <mergeCell ref="A56:I56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5"/>
  <sheetViews>
    <sheetView topLeftCell="A60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88</v>
      </c>
      <c r="I1" s="29"/>
      <c r="J1" s="1"/>
      <c r="K1" s="1"/>
      <c r="L1" s="1"/>
      <c r="M1" s="1"/>
    </row>
    <row r="2" spans="1:13" ht="15.75">
      <c r="A2" s="31" t="s">
        <v>62</v>
      </c>
      <c r="J2" s="2"/>
      <c r="K2" s="2"/>
      <c r="L2" s="2"/>
      <c r="M2" s="2"/>
    </row>
    <row r="3" spans="1:13" ht="15.75" customHeight="1">
      <c r="A3" s="143" t="s">
        <v>171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141</v>
      </c>
      <c r="B4" s="144"/>
      <c r="C4" s="144"/>
      <c r="D4" s="144"/>
      <c r="E4" s="144"/>
      <c r="F4" s="144"/>
      <c r="G4" s="144"/>
      <c r="H4" s="144"/>
      <c r="I4" s="144"/>
    </row>
    <row r="5" spans="1:13" ht="15.75">
      <c r="A5" s="143" t="s">
        <v>190</v>
      </c>
      <c r="B5" s="145"/>
      <c r="C5" s="145"/>
      <c r="D5" s="145"/>
      <c r="E5" s="145"/>
      <c r="F5" s="145"/>
      <c r="G5" s="145"/>
      <c r="H5" s="145"/>
      <c r="I5" s="145"/>
      <c r="J5" s="2"/>
      <c r="K5" s="2"/>
      <c r="L5" s="2"/>
      <c r="M5" s="2"/>
    </row>
    <row r="6" spans="1:13" ht="15.75">
      <c r="A6" s="2"/>
      <c r="B6" s="59"/>
      <c r="C6" s="59"/>
      <c r="D6" s="59"/>
      <c r="E6" s="59"/>
      <c r="F6" s="59"/>
      <c r="G6" s="59"/>
      <c r="H6" s="59"/>
      <c r="I6" s="33">
        <v>42794</v>
      </c>
      <c r="J6" s="2"/>
      <c r="K6" s="2"/>
      <c r="L6" s="2"/>
      <c r="M6" s="2"/>
    </row>
    <row r="7" spans="1:13" ht="15.75">
      <c r="B7" s="57"/>
      <c r="C7" s="57"/>
      <c r="D7" s="5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6" t="s">
        <v>147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7" t="s">
        <v>182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2" t="s">
        <v>59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32">
        <v>1</v>
      </c>
      <c r="B16" s="76" t="s">
        <v>89</v>
      </c>
      <c r="C16" s="77" t="s">
        <v>90</v>
      </c>
      <c r="D16" s="76" t="s">
        <v>186</v>
      </c>
      <c r="E16" s="78">
        <v>208.08</v>
      </c>
      <c r="F16" s="79">
        <f>SUM(E16*156/100)</f>
        <v>324.60480000000001</v>
      </c>
      <c r="G16" s="79">
        <v>175.38</v>
      </c>
      <c r="H16" s="80">
        <f t="shared" ref="H16:H25" si="0">SUM(F16*G16/1000)</f>
        <v>56.929189823999998</v>
      </c>
      <c r="I16" s="13">
        <f>F16/12*G16</f>
        <v>4744.0991519999998</v>
      </c>
      <c r="J16" s="24"/>
      <c r="K16" s="8"/>
      <c r="L16" s="8"/>
      <c r="M16" s="8"/>
    </row>
    <row r="17" spans="1:13" ht="15.75" customHeight="1">
      <c r="A17" s="32">
        <v>2</v>
      </c>
      <c r="B17" s="76" t="s">
        <v>120</v>
      </c>
      <c r="C17" s="77" t="s">
        <v>90</v>
      </c>
      <c r="D17" s="76" t="s">
        <v>185</v>
      </c>
      <c r="E17" s="78">
        <v>832.32</v>
      </c>
      <c r="F17" s="79">
        <f>SUM(E17*104/100)</f>
        <v>865.61279999999999</v>
      </c>
      <c r="G17" s="79">
        <v>175.38</v>
      </c>
      <c r="H17" s="80">
        <f t="shared" si="0"/>
        <v>151.81117286399999</v>
      </c>
      <c r="I17" s="13">
        <f>F17/12*G17</f>
        <v>12650.931071999999</v>
      </c>
      <c r="J17" s="25"/>
      <c r="K17" s="8"/>
      <c r="L17" s="8"/>
      <c r="M17" s="8"/>
    </row>
    <row r="18" spans="1:13" ht="15.75" customHeight="1">
      <c r="A18" s="32">
        <v>3</v>
      </c>
      <c r="B18" s="76" t="s">
        <v>121</v>
      </c>
      <c r="C18" s="77" t="s">
        <v>90</v>
      </c>
      <c r="D18" s="76" t="s">
        <v>184</v>
      </c>
      <c r="E18" s="78">
        <v>1040.4000000000001</v>
      </c>
      <c r="F18" s="79">
        <f>SUM(E18*24/100)</f>
        <v>249.69600000000003</v>
      </c>
      <c r="G18" s="79">
        <v>504.5</v>
      </c>
      <c r="H18" s="80">
        <f t="shared" si="0"/>
        <v>125.97163200000001</v>
      </c>
      <c r="I18" s="13">
        <f>F18/12*G18</f>
        <v>10497.636000000002</v>
      </c>
      <c r="J18" s="25"/>
      <c r="K18" s="8"/>
      <c r="L18" s="8"/>
      <c r="M18" s="8"/>
    </row>
    <row r="19" spans="1:13" ht="15.75" hidden="1" customHeight="1">
      <c r="A19" s="32"/>
      <c r="B19" s="76" t="s">
        <v>97</v>
      </c>
      <c r="C19" s="77" t="s">
        <v>98</v>
      </c>
      <c r="D19" s="76" t="s">
        <v>99</v>
      </c>
      <c r="E19" s="78">
        <v>48</v>
      </c>
      <c r="F19" s="79">
        <f>SUM(E19/10)</f>
        <v>4.8</v>
      </c>
      <c r="G19" s="79">
        <v>170.16</v>
      </c>
      <c r="H19" s="80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76" t="s">
        <v>100</v>
      </c>
      <c r="C20" s="77" t="s">
        <v>90</v>
      </c>
      <c r="D20" s="76" t="s">
        <v>122</v>
      </c>
      <c r="E20" s="78">
        <v>30.6</v>
      </c>
      <c r="F20" s="79">
        <f>SUM(E20*12/100)</f>
        <v>3.6720000000000006</v>
      </c>
      <c r="G20" s="79">
        <v>217.88</v>
      </c>
      <c r="H20" s="80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customHeight="1">
      <c r="A21" s="32">
        <v>5</v>
      </c>
      <c r="B21" s="76" t="s">
        <v>101</v>
      </c>
      <c r="C21" s="77" t="s">
        <v>90</v>
      </c>
      <c r="D21" s="76" t="s">
        <v>30</v>
      </c>
      <c r="E21" s="78">
        <v>10.06</v>
      </c>
      <c r="F21" s="79">
        <f>SUM(E21*12/100)</f>
        <v>1.2072000000000001</v>
      </c>
      <c r="G21" s="79">
        <v>216.12</v>
      </c>
      <c r="H21" s="80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6" t="s">
        <v>102</v>
      </c>
      <c r="C22" s="77" t="s">
        <v>52</v>
      </c>
      <c r="D22" s="76" t="s">
        <v>99</v>
      </c>
      <c r="E22" s="78">
        <v>769.2</v>
      </c>
      <c r="F22" s="79">
        <f>SUM(E22/100)</f>
        <v>7.6920000000000002</v>
      </c>
      <c r="G22" s="79">
        <v>269.26</v>
      </c>
      <c r="H22" s="80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6" t="s">
        <v>103</v>
      </c>
      <c r="C23" s="77" t="s">
        <v>52</v>
      </c>
      <c r="D23" s="76" t="s">
        <v>99</v>
      </c>
      <c r="E23" s="81">
        <v>35.28</v>
      </c>
      <c r="F23" s="79">
        <f>SUM(E23/100)</f>
        <v>0.3528</v>
      </c>
      <c r="G23" s="79">
        <v>44.29</v>
      </c>
      <c r="H23" s="80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customHeight="1">
      <c r="A24" s="32">
        <v>6</v>
      </c>
      <c r="B24" s="76" t="s">
        <v>104</v>
      </c>
      <c r="C24" s="77" t="s">
        <v>52</v>
      </c>
      <c r="D24" s="76" t="s">
        <v>30</v>
      </c>
      <c r="E24" s="78">
        <v>10.8</v>
      </c>
      <c r="F24" s="79">
        <f>E24*12/100</f>
        <v>1.2960000000000003</v>
      </c>
      <c r="G24" s="79">
        <v>389.72</v>
      </c>
      <c r="H24" s="80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customHeight="1">
      <c r="A25" s="32">
        <v>7</v>
      </c>
      <c r="B25" s="76" t="s">
        <v>105</v>
      </c>
      <c r="C25" s="77" t="s">
        <v>52</v>
      </c>
      <c r="D25" s="76" t="s">
        <v>123</v>
      </c>
      <c r="E25" s="78">
        <v>21.6</v>
      </c>
      <c r="F25" s="79">
        <f>SUM(E25*12/100)</f>
        <v>2.5920000000000005</v>
      </c>
      <c r="G25" s="79">
        <v>520.79999999999995</v>
      </c>
      <c r="H25" s="80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8</v>
      </c>
      <c r="B26" s="76" t="s">
        <v>64</v>
      </c>
      <c r="C26" s="77" t="s">
        <v>33</v>
      </c>
      <c r="D26" s="76" t="s">
        <v>183</v>
      </c>
      <c r="E26" s="78">
        <v>0.1</v>
      </c>
      <c r="F26" s="79">
        <f>SUM(E26*365)</f>
        <v>36.5</v>
      </c>
      <c r="G26" s="79">
        <v>147.03</v>
      </c>
      <c r="H26" s="80">
        <f>SUM(F26*G26/1000)</f>
        <v>5.3665950000000002</v>
      </c>
      <c r="I26" s="13">
        <f>F26/12*G26</f>
        <v>447.21625</v>
      </c>
      <c r="J26" s="26"/>
    </row>
    <row r="27" spans="1:13" ht="15.75" customHeight="1">
      <c r="A27" s="32">
        <v>9</v>
      </c>
      <c r="B27" s="84" t="s">
        <v>23</v>
      </c>
      <c r="C27" s="77" t="s">
        <v>24</v>
      </c>
      <c r="D27" s="76" t="s">
        <v>183</v>
      </c>
      <c r="E27" s="78">
        <v>6980.3</v>
      </c>
      <c r="F27" s="79">
        <f>SUM(E27*12)</f>
        <v>83763.600000000006</v>
      </c>
      <c r="G27" s="79">
        <v>4.4000000000000004</v>
      </c>
      <c r="H27" s="80">
        <f>SUM(F27*G27/1000)</f>
        <v>368.55984000000007</v>
      </c>
      <c r="I27" s="13">
        <f>F27/12*G27</f>
        <v>30713.320000000003</v>
      </c>
      <c r="J27" s="26"/>
    </row>
    <row r="28" spans="1:13" ht="15" customHeight="1">
      <c r="A28" s="138" t="s">
        <v>87</v>
      </c>
      <c r="B28" s="138"/>
      <c r="C28" s="138"/>
      <c r="D28" s="138"/>
      <c r="E28" s="138"/>
      <c r="F28" s="138"/>
      <c r="G28" s="138"/>
      <c r="H28" s="138"/>
      <c r="I28" s="138"/>
      <c r="J28" s="25"/>
      <c r="K28" s="8"/>
      <c r="L28" s="8"/>
      <c r="M28" s="8"/>
    </row>
    <row r="29" spans="1:13" ht="15.75" hidden="1" customHeight="1">
      <c r="A29" s="32"/>
      <c r="B29" s="100" t="s">
        <v>28</v>
      </c>
      <c r="C29" s="77"/>
      <c r="D29" s="76"/>
      <c r="E29" s="78"/>
      <c r="F29" s="79"/>
      <c r="G29" s="79"/>
      <c r="H29" s="80"/>
      <c r="I29" s="13"/>
      <c r="J29" s="25"/>
      <c r="K29" s="8"/>
      <c r="L29" s="8"/>
      <c r="M29" s="8"/>
    </row>
    <row r="30" spans="1:13" ht="31.5" hidden="1" customHeight="1">
      <c r="A30" s="32">
        <v>10</v>
      </c>
      <c r="B30" s="76" t="s">
        <v>109</v>
      </c>
      <c r="C30" s="77" t="s">
        <v>92</v>
      </c>
      <c r="D30" s="76" t="s">
        <v>106</v>
      </c>
      <c r="E30" s="79">
        <v>1168.05</v>
      </c>
      <c r="F30" s="79">
        <f>SUM(E30*52/1000)</f>
        <v>60.738599999999998</v>
      </c>
      <c r="G30" s="79">
        <v>155.88999999999999</v>
      </c>
      <c r="H30" s="80">
        <f t="shared" ref="H30:H36" si="1">SUM(F30*G30/1000)</f>
        <v>9.4685403539999982</v>
      </c>
      <c r="I30" s="13">
        <f>F30/6*G30</f>
        <v>1578.0900589999997</v>
      </c>
      <c r="J30" s="25"/>
      <c r="K30" s="8"/>
      <c r="L30" s="8"/>
      <c r="M30" s="8"/>
    </row>
    <row r="31" spans="1:13" ht="31.5" hidden="1" customHeight="1">
      <c r="A31" s="32">
        <v>11</v>
      </c>
      <c r="B31" s="76" t="s">
        <v>125</v>
      </c>
      <c r="C31" s="77" t="s">
        <v>92</v>
      </c>
      <c r="D31" s="76" t="s">
        <v>107</v>
      </c>
      <c r="E31" s="79">
        <v>1039.2</v>
      </c>
      <c r="F31" s="79">
        <f>SUM(E31*78/1000)</f>
        <v>81.057600000000008</v>
      </c>
      <c r="G31" s="79">
        <v>258.63</v>
      </c>
      <c r="H31" s="80">
        <f t="shared" si="1"/>
        <v>20.963927088000002</v>
      </c>
      <c r="I31" s="13">
        <f t="shared" ref="I31:I34" si="2">F31/6*G31</f>
        <v>3493.9878480000002</v>
      </c>
      <c r="J31" s="25"/>
      <c r="K31" s="8"/>
      <c r="L31" s="8"/>
      <c r="M31" s="8"/>
    </row>
    <row r="32" spans="1:13" ht="15.75" hidden="1" customHeight="1">
      <c r="A32" s="32">
        <v>16</v>
      </c>
      <c r="B32" s="76" t="s">
        <v>27</v>
      </c>
      <c r="C32" s="77" t="s">
        <v>92</v>
      </c>
      <c r="D32" s="76" t="s">
        <v>53</v>
      </c>
      <c r="E32" s="79">
        <v>584.03</v>
      </c>
      <c r="F32" s="79">
        <f>SUM(E32/1000)</f>
        <v>0.58402999999999994</v>
      </c>
      <c r="G32" s="79">
        <v>3020.33</v>
      </c>
      <c r="H32" s="80">
        <f t="shared" si="1"/>
        <v>1.7639633298999997</v>
      </c>
      <c r="I32" s="13">
        <f>F32*G32</f>
        <v>1763.9633298999997</v>
      </c>
      <c r="J32" s="25"/>
      <c r="K32" s="8"/>
      <c r="L32" s="8"/>
      <c r="M32" s="8"/>
    </row>
    <row r="33" spans="1:14" ht="15.75" hidden="1" customHeight="1">
      <c r="A33" s="32">
        <v>12</v>
      </c>
      <c r="B33" s="76" t="s">
        <v>124</v>
      </c>
      <c r="C33" s="77" t="s">
        <v>39</v>
      </c>
      <c r="D33" s="76" t="s">
        <v>63</v>
      </c>
      <c r="E33" s="79">
        <v>6</v>
      </c>
      <c r="F33" s="79">
        <f>E33*155/100</f>
        <v>9.3000000000000007</v>
      </c>
      <c r="G33" s="79">
        <v>1302.02</v>
      </c>
      <c r="H33" s="80">
        <f>G33*F33/1000</f>
        <v>12.108786</v>
      </c>
      <c r="I33" s="13">
        <f t="shared" si="2"/>
        <v>2018.1310000000001</v>
      </c>
      <c r="J33" s="25"/>
      <c r="K33" s="8"/>
      <c r="L33" s="8"/>
      <c r="M33" s="8"/>
    </row>
    <row r="34" spans="1:14" ht="15.75" hidden="1" customHeight="1">
      <c r="A34" s="32">
        <v>13</v>
      </c>
      <c r="B34" s="76" t="s">
        <v>108</v>
      </c>
      <c r="C34" s="77" t="s">
        <v>31</v>
      </c>
      <c r="D34" s="76" t="s">
        <v>63</v>
      </c>
      <c r="E34" s="83">
        <v>0.33333333333333331</v>
      </c>
      <c r="F34" s="79">
        <f>155/3</f>
        <v>51.666666666666664</v>
      </c>
      <c r="G34" s="79">
        <v>56.69</v>
      </c>
      <c r="H34" s="80">
        <f>SUM(G34*155/3/1000)</f>
        <v>2.9289833333333331</v>
      </c>
      <c r="I34" s="13">
        <f t="shared" si="2"/>
        <v>488.16388888888883</v>
      </c>
      <c r="J34" s="25"/>
      <c r="K34" s="8"/>
    </row>
    <row r="35" spans="1:14" ht="15.75" hidden="1" customHeight="1">
      <c r="A35" s="32"/>
      <c r="B35" s="76" t="s">
        <v>65</v>
      </c>
      <c r="C35" s="77" t="s">
        <v>33</v>
      </c>
      <c r="D35" s="76" t="s">
        <v>67</v>
      </c>
      <c r="E35" s="78"/>
      <c r="F35" s="79">
        <v>4</v>
      </c>
      <c r="G35" s="79">
        <v>180.15</v>
      </c>
      <c r="H35" s="80">
        <f t="shared" si="1"/>
        <v>0.72060000000000002</v>
      </c>
      <c r="I35" s="13">
        <v>0</v>
      </c>
      <c r="J35" s="26"/>
    </row>
    <row r="36" spans="1:14" ht="15.75" hidden="1" customHeight="1">
      <c r="A36" s="32"/>
      <c r="B36" s="76" t="s">
        <v>66</v>
      </c>
      <c r="C36" s="77" t="s">
        <v>32</v>
      </c>
      <c r="D36" s="76" t="s">
        <v>67</v>
      </c>
      <c r="E36" s="78"/>
      <c r="F36" s="79">
        <v>3</v>
      </c>
      <c r="G36" s="79">
        <v>1136.33</v>
      </c>
      <c r="H36" s="80">
        <f t="shared" si="1"/>
        <v>3.4089899999999997</v>
      </c>
      <c r="I36" s="13">
        <v>0</v>
      </c>
      <c r="J36" s="26"/>
    </row>
    <row r="37" spans="1:14" ht="15.75" customHeight="1">
      <c r="A37" s="32"/>
      <c r="B37" s="100" t="s">
        <v>5</v>
      </c>
      <c r="C37" s="77"/>
      <c r="D37" s="76"/>
      <c r="E37" s="78"/>
      <c r="F37" s="79"/>
      <c r="G37" s="79"/>
      <c r="H37" s="80" t="s">
        <v>152</v>
      </c>
      <c r="I37" s="13"/>
      <c r="J37" s="26"/>
    </row>
    <row r="38" spans="1:14" ht="15.75" customHeight="1">
      <c r="A38" s="32">
        <v>10</v>
      </c>
      <c r="B38" s="76" t="s">
        <v>26</v>
      </c>
      <c r="C38" s="77" t="s">
        <v>32</v>
      </c>
      <c r="D38" s="76"/>
      <c r="E38" s="78"/>
      <c r="F38" s="79">
        <v>10</v>
      </c>
      <c r="G38" s="79">
        <v>1527.22</v>
      </c>
      <c r="H38" s="80">
        <f t="shared" ref="H38:H45" si="3">SUM(F38*G38/1000)</f>
        <v>15.272200000000002</v>
      </c>
      <c r="I38" s="13">
        <f>F38/6*G38</f>
        <v>2545.3666666666668</v>
      </c>
      <c r="J38" s="26"/>
    </row>
    <row r="39" spans="1:14" ht="15.75" customHeight="1">
      <c r="A39" s="32">
        <v>11</v>
      </c>
      <c r="B39" s="76" t="s">
        <v>126</v>
      </c>
      <c r="C39" s="77" t="s">
        <v>33</v>
      </c>
      <c r="D39" s="76"/>
      <c r="E39" s="78"/>
      <c r="F39" s="79">
        <v>10</v>
      </c>
      <c r="G39" s="79">
        <v>77.94</v>
      </c>
      <c r="H39" s="80">
        <f>G39*F39/1000</f>
        <v>0.77939999999999998</v>
      </c>
      <c r="I39" s="13">
        <f>F39/6*G39</f>
        <v>129.9</v>
      </c>
      <c r="J39" s="26"/>
      <c r="L39" s="19"/>
      <c r="M39" s="20"/>
      <c r="N39" s="21"/>
    </row>
    <row r="40" spans="1:14" ht="15.75" customHeight="1">
      <c r="A40" s="32">
        <v>12</v>
      </c>
      <c r="B40" s="76" t="s">
        <v>110</v>
      </c>
      <c r="C40" s="77" t="s">
        <v>29</v>
      </c>
      <c r="D40" s="76" t="s">
        <v>127</v>
      </c>
      <c r="E40" s="78">
        <v>1039.2</v>
      </c>
      <c r="F40" s="79">
        <f>E40*25/1000</f>
        <v>25.98</v>
      </c>
      <c r="G40" s="79">
        <v>2102.71</v>
      </c>
      <c r="H40" s="80">
        <f>G40*F40/1000</f>
        <v>54.628405800000003</v>
      </c>
      <c r="I40" s="13">
        <f>F40/6*G40</f>
        <v>9104.7343000000001</v>
      </c>
      <c r="J40" s="26"/>
      <c r="L40" s="19"/>
      <c r="M40" s="20"/>
      <c r="N40" s="21"/>
    </row>
    <row r="41" spans="1:14" ht="15.75" hidden="1" customHeight="1">
      <c r="A41" s="32"/>
      <c r="B41" s="76" t="s">
        <v>128</v>
      </c>
      <c r="C41" s="77" t="s">
        <v>129</v>
      </c>
      <c r="D41" s="76" t="s">
        <v>67</v>
      </c>
      <c r="E41" s="78"/>
      <c r="F41" s="79">
        <v>50</v>
      </c>
      <c r="G41" s="79">
        <v>213.2</v>
      </c>
      <c r="H41" s="80">
        <f>G41*F41/1000</f>
        <v>10.66</v>
      </c>
      <c r="I41" s="13">
        <v>0</v>
      </c>
      <c r="J41" s="26"/>
      <c r="L41" s="19"/>
      <c r="M41" s="20"/>
      <c r="N41" s="21"/>
    </row>
    <row r="42" spans="1:14" ht="15.75" customHeight="1">
      <c r="A42" s="32">
        <v>13</v>
      </c>
      <c r="B42" s="76" t="s">
        <v>68</v>
      </c>
      <c r="C42" s="77" t="s">
        <v>29</v>
      </c>
      <c r="D42" s="76" t="s">
        <v>91</v>
      </c>
      <c r="E42" s="79">
        <v>153</v>
      </c>
      <c r="F42" s="79">
        <f>SUM(E42*155/1000)</f>
        <v>23.715</v>
      </c>
      <c r="G42" s="79">
        <v>350.75</v>
      </c>
      <c r="H42" s="80">
        <f t="shared" si="3"/>
        <v>8.3180362499999987</v>
      </c>
      <c r="I42" s="13">
        <f>F42/6*G42</f>
        <v>1386.339375</v>
      </c>
      <c r="J42" s="26"/>
      <c r="L42" s="19"/>
      <c r="M42" s="20"/>
      <c r="N42" s="21"/>
    </row>
    <row r="43" spans="1:14" ht="47.25" customHeight="1">
      <c r="A43" s="32">
        <v>14</v>
      </c>
      <c r="B43" s="76" t="s">
        <v>84</v>
      </c>
      <c r="C43" s="77" t="s">
        <v>92</v>
      </c>
      <c r="D43" s="76" t="s">
        <v>130</v>
      </c>
      <c r="E43" s="79">
        <v>24</v>
      </c>
      <c r="F43" s="79">
        <f>SUM(E43*50/1000)</f>
        <v>1.2</v>
      </c>
      <c r="G43" s="79">
        <v>5803.28</v>
      </c>
      <c r="H43" s="80">
        <f t="shared" si="3"/>
        <v>6.9639359999999995</v>
      </c>
      <c r="I43" s="13">
        <f>F43/6*G43</f>
        <v>1160.6559999999999</v>
      </c>
      <c r="J43" s="26"/>
      <c r="L43" s="19"/>
      <c r="M43" s="20"/>
      <c r="N43" s="21"/>
    </row>
    <row r="44" spans="1:14" ht="15.75" hidden="1" customHeight="1">
      <c r="A44" s="32">
        <v>15</v>
      </c>
      <c r="B44" s="76" t="s">
        <v>93</v>
      </c>
      <c r="C44" s="77" t="s">
        <v>92</v>
      </c>
      <c r="D44" s="76" t="s">
        <v>69</v>
      </c>
      <c r="E44" s="79">
        <v>153</v>
      </c>
      <c r="F44" s="79">
        <f>SUM(E44*45/1000)</f>
        <v>6.8849999999999998</v>
      </c>
      <c r="G44" s="79">
        <v>428.7</v>
      </c>
      <c r="H44" s="80">
        <f t="shared" si="3"/>
        <v>2.9515994999999999</v>
      </c>
      <c r="I44" s="13">
        <f>F44/6*G44</f>
        <v>491.93324999999999</v>
      </c>
      <c r="J44" s="26"/>
      <c r="L44" s="19"/>
      <c r="M44" s="20"/>
      <c r="N44" s="21"/>
    </row>
    <row r="45" spans="1:14" ht="15.75" customHeight="1">
      <c r="A45" s="32">
        <v>15</v>
      </c>
      <c r="B45" s="76" t="s">
        <v>70</v>
      </c>
      <c r="C45" s="77" t="s">
        <v>33</v>
      </c>
      <c r="D45" s="76"/>
      <c r="E45" s="78"/>
      <c r="F45" s="79">
        <v>0.9</v>
      </c>
      <c r="G45" s="79">
        <v>798</v>
      </c>
      <c r="H45" s="80">
        <f t="shared" si="3"/>
        <v>0.71820000000000006</v>
      </c>
      <c r="I45" s="13">
        <f>F45/6*G45</f>
        <v>119.69999999999999</v>
      </c>
      <c r="J45" s="26"/>
      <c r="L45" s="19"/>
      <c r="M45" s="20"/>
      <c r="N45" s="21"/>
    </row>
    <row r="46" spans="1:14" ht="15" customHeight="1">
      <c r="A46" s="139" t="s">
        <v>148</v>
      </c>
      <c r="B46" s="140"/>
      <c r="C46" s="140"/>
      <c r="D46" s="140"/>
      <c r="E46" s="140"/>
      <c r="F46" s="140"/>
      <c r="G46" s="140"/>
      <c r="H46" s="140"/>
      <c r="I46" s="141"/>
      <c r="J46" s="26"/>
      <c r="L46" s="19"/>
      <c r="M46" s="20"/>
      <c r="N46" s="21"/>
    </row>
    <row r="47" spans="1:14" ht="15.75" hidden="1" customHeight="1">
      <c r="A47" s="32"/>
      <c r="B47" s="76" t="s">
        <v>131</v>
      </c>
      <c r="C47" s="77" t="s">
        <v>92</v>
      </c>
      <c r="D47" s="76" t="s">
        <v>42</v>
      </c>
      <c r="E47" s="78">
        <v>1895</v>
      </c>
      <c r="F47" s="79">
        <f>SUM(E47*2/1000)</f>
        <v>3.79</v>
      </c>
      <c r="G47" s="13">
        <v>849.49</v>
      </c>
      <c r="H47" s="80">
        <f t="shared" ref="H47:H55" si="4">SUM(F47*G47/1000)</f>
        <v>3.2195671000000003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76" t="s">
        <v>34</v>
      </c>
      <c r="C48" s="77" t="s">
        <v>92</v>
      </c>
      <c r="D48" s="76" t="s">
        <v>42</v>
      </c>
      <c r="E48" s="78">
        <v>118.2</v>
      </c>
      <c r="F48" s="79">
        <f>E48*2/1000</f>
        <v>0.2364</v>
      </c>
      <c r="G48" s="13">
        <v>579.48</v>
      </c>
      <c r="H48" s="80">
        <f t="shared" si="4"/>
        <v>0.13698907199999999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76" t="s">
        <v>35</v>
      </c>
      <c r="C49" s="77" t="s">
        <v>92</v>
      </c>
      <c r="D49" s="76" t="s">
        <v>42</v>
      </c>
      <c r="E49" s="78">
        <v>4675</v>
      </c>
      <c r="F49" s="79">
        <f>SUM(E49*2/1000)</f>
        <v>9.35</v>
      </c>
      <c r="G49" s="13">
        <v>579.48</v>
      </c>
      <c r="H49" s="80">
        <f t="shared" si="4"/>
        <v>5.4181379999999999</v>
      </c>
      <c r="I49" s="13">
        <v>0</v>
      </c>
      <c r="J49" s="26"/>
      <c r="L49" s="19"/>
      <c r="M49" s="20"/>
      <c r="N49" s="21"/>
    </row>
    <row r="50" spans="1:22" ht="15.75" hidden="1" customHeight="1">
      <c r="A50" s="32"/>
      <c r="B50" s="76" t="s">
        <v>36</v>
      </c>
      <c r="C50" s="77" t="s">
        <v>92</v>
      </c>
      <c r="D50" s="76" t="s">
        <v>42</v>
      </c>
      <c r="E50" s="78">
        <v>4675</v>
      </c>
      <c r="F50" s="79">
        <f>SUM(E50*2/1000)</f>
        <v>9.35</v>
      </c>
      <c r="G50" s="13">
        <v>606.77</v>
      </c>
      <c r="H50" s="80">
        <f t="shared" si="4"/>
        <v>5.6732994999999988</v>
      </c>
      <c r="I50" s="13">
        <v>0</v>
      </c>
      <c r="J50" s="26"/>
      <c r="L50" s="19"/>
      <c r="M50" s="20"/>
      <c r="N50" s="21"/>
    </row>
    <row r="51" spans="1:22" ht="15.75" customHeight="1">
      <c r="A51" s="32">
        <v>16</v>
      </c>
      <c r="B51" s="76" t="s">
        <v>56</v>
      </c>
      <c r="C51" s="77" t="s">
        <v>92</v>
      </c>
      <c r="D51" s="76" t="s">
        <v>169</v>
      </c>
      <c r="E51" s="78">
        <v>3988</v>
      </c>
      <c r="F51" s="79">
        <f>SUM(E51*5/1000)</f>
        <v>19.940000000000001</v>
      </c>
      <c r="G51" s="13">
        <v>1142.7</v>
      </c>
      <c r="H51" s="80">
        <f t="shared" si="4"/>
        <v>22.785438000000003</v>
      </c>
      <c r="I51" s="13">
        <f>F51/5*G51</f>
        <v>4557.0876000000007</v>
      </c>
      <c r="J51" s="26"/>
      <c r="L51" s="19"/>
      <c r="M51" s="20"/>
      <c r="N51" s="21"/>
    </row>
    <row r="52" spans="1:22" ht="31.5" hidden="1" customHeight="1">
      <c r="A52" s="32"/>
      <c r="B52" s="76" t="s">
        <v>94</v>
      </c>
      <c r="C52" s="77" t="s">
        <v>92</v>
      </c>
      <c r="D52" s="76" t="s">
        <v>42</v>
      </c>
      <c r="E52" s="78">
        <v>3988</v>
      </c>
      <c r="F52" s="79">
        <f>SUM(E52*2/1000)</f>
        <v>7.976</v>
      </c>
      <c r="G52" s="13">
        <v>1213.55</v>
      </c>
      <c r="H52" s="80">
        <f t="shared" si="4"/>
        <v>9.6792748</v>
      </c>
      <c r="I52" s="13">
        <f t="shared" ref="I52:I53" si="5">F52/5*G52</f>
        <v>1935.8549599999999</v>
      </c>
      <c r="J52" s="26"/>
      <c r="L52" s="19"/>
      <c r="M52" s="20"/>
      <c r="N52" s="21"/>
    </row>
    <row r="53" spans="1:22" ht="31.5" hidden="1" customHeight="1">
      <c r="A53" s="32"/>
      <c r="B53" s="76" t="s">
        <v>95</v>
      </c>
      <c r="C53" s="77" t="s">
        <v>37</v>
      </c>
      <c r="D53" s="76" t="s">
        <v>42</v>
      </c>
      <c r="E53" s="78">
        <v>30</v>
      </c>
      <c r="F53" s="79">
        <f>SUM(E53*2/100)</f>
        <v>0.6</v>
      </c>
      <c r="G53" s="13">
        <v>2730.49</v>
      </c>
      <c r="H53" s="80">
        <f>SUM(F53*G53/1000)</f>
        <v>1.6382939999999999</v>
      </c>
      <c r="I53" s="13">
        <f t="shared" si="5"/>
        <v>327.65879999999999</v>
      </c>
      <c r="J53" s="26"/>
      <c r="L53" s="19"/>
      <c r="M53" s="20"/>
      <c r="N53" s="21"/>
    </row>
    <row r="54" spans="1:22" ht="15.75" hidden="1" customHeight="1">
      <c r="A54" s="32">
        <v>18</v>
      </c>
      <c r="B54" s="76" t="s">
        <v>38</v>
      </c>
      <c r="C54" s="77" t="s">
        <v>39</v>
      </c>
      <c r="D54" s="76" t="s">
        <v>42</v>
      </c>
      <c r="E54" s="78">
        <v>1</v>
      </c>
      <c r="F54" s="79">
        <v>0.02</v>
      </c>
      <c r="G54" s="13">
        <v>5652.13</v>
      </c>
      <c r="H54" s="80">
        <f t="shared" si="4"/>
        <v>0.11304260000000001</v>
      </c>
      <c r="I54" s="13">
        <f>F54/2*G54</f>
        <v>56.521300000000004</v>
      </c>
      <c r="J54" s="26"/>
      <c r="L54" s="19"/>
      <c r="M54" s="20"/>
      <c r="N54" s="21"/>
    </row>
    <row r="55" spans="1:22" ht="15.75" hidden="1" customHeight="1">
      <c r="A55" s="32">
        <v>18</v>
      </c>
      <c r="B55" s="76" t="s">
        <v>41</v>
      </c>
      <c r="C55" s="77" t="s">
        <v>111</v>
      </c>
      <c r="D55" s="76" t="s">
        <v>71</v>
      </c>
      <c r="E55" s="78">
        <v>236</v>
      </c>
      <c r="F55" s="79">
        <f>SUM(E55)*3</f>
        <v>708</v>
      </c>
      <c r="G55" s="13">
        <v>65.67</v>
      </c>
      <c r="H55" s="80">
        <f t="shared" si="4"/>
        <v>46.49436</v>
      </c>
      <c r="I55" s="13">
        <f>E55*G55</f>
        <v>15498.12</v>
      </c>
      <c r="J55" s="26"/>
      <c r="L55" s="19"/>
      <c r="M55" s="20"/>
      <c r="N55" s="21"/>
    </row>
    <row r="56" spans="1:22" ht="15.75" customHeight="1">
      <c r="A56" s="139" t="s">
        <v>149</v>
      </c>
      <c r="B56" s="140"/>
      <c r="C56" s="140"/>
      <c r="D56" s="140"/>
      <c r="E56" s="140"/>
      <c r="F56" s="140"/>
      <c r="G56" s="140"/>
      <c r="H56" s="140"/>
      <c r="I56" s="141"/>
      <c r="J56" s="26"/>
      <c r="L56" s="19"/>
      <c r="M56" s="20"/>
      <c r="N56" s="21"/>
    </row>
    <row r="57" spans="1:22" ht="15.75" customHeight="1">
      <c r="A57" s="32"/>
      <c r="B57" s="100" t="s">
        <v>43</v>
      </c>
      <c r="C57" s="77"/>
      <c r="D57" s="76"/>
      <c r="E57" s="78"/>
      <c r="F57" s="79"/>
      <c r="G57" s="79"/>
      <c r="H57" s="80"/>
      <c r="I57" s="13"/>
      <c r="J57" s="26"/>
      <c r="L57" s="19"/>
      <c r="M57" s="20"/>
      <c r="N57" s="21"/>
    </row>
    <row r="58" spans="1:22" ht="31.5" customHeight="1">
      <c r="A58" s="32">
        <v>17</v>
      </c>
      <c r="B58" s="76" t="s">
        <v>132</v>
      </c>
      <c r="C58" s="77" t="s">
        <v>90</v>
      </c>
      <c r="D58" s="76" t="s">
        <v>112</v>
      </c>
      <c r="E58" s="78">
        <v>30</v>
      </c>
      <c r="F58" s="79">
        <f>SUM(E58*6/100)</f>
        <v>1.8</v>
      </c>
      <c r="G58" s="13">
        <v>1547.28</v>
      </c>
      <c r="H58" s="80">
        <f>SUM(F58*G58/1000)</f>
        <v>2.785104</v>
      </c>
      <c r="I58" s="13">
        <f>F58/6*G58</f>
        <v>464.18399999999997</v>
      </c>
      <c r="J58" s="26"/>
      <c r="L58" s="19"/>
    </row>
    <row r="59" spans="1:22" ht="15.75" hidden="1" customHeight="1">
      <c r="A59" s="32">
        <v>20</v>
      </c>
      <c r="B59" s="85" t="s">
        <v>133</v>
      </c>
      <c r="C59" s="86" t="s">
        <v>134</v>
      </c>
      <c r="D59" s="85" t="s">
        <v>42</v>
      </c>
      <c r="E59" s="87">
        <v>6</v>
      </c>
      <c r="F59" s="88">
        <v>12</v>
      </c>
      <c r="G59" s="13">
        <v>180.78</v>
      </c>
      <c r="H59" s="89">
        <f>G59*F59/1000</f>
        <v>2.1693600000000002</v>
      </c>
      <c r="I59" s="13">
        <f>F59/2*G59</f>
        <v>1084.68</v>
      </c>
    </row>
    <row r="60" spans="1:22" ht="15.75" customHeight="1">
      <c r="A60" s="32">
        <v>18</v>
      </c>
      <c r="B60" s="85" t="s">
        <v>135</v>
      </c>
      <c r="C60" s="86" t="s">
        <v>52</v>
      </c>
      <c r="D60" s="85" t="s">
        <v>40</v>
      </c>
      <c r="E60" s="87">
        <v>6</v>
      </c>
      <c r="F60" s="88">
        <f>E60*4/100</f>
        <v>0.24</v>
      </c>
      <c r="G60" s="13">
        <v>1547.28</v>
      </c>
      <c r="H60" s="89">
        <f>G60*F60/1000</f>
        <v>0.37134719999999999</v>
      </c>
      <c r="I60" s="13">
        <f>F60/4*G60</f>
        <v>92.836799999999997</v>
      </c>
    </row>
    <row r="61" spans="1:22" ht="15.75" customHeight="1">
      <c r="A61" s="32"/>
      <c r="B61" s="101" t="s">
        <v>44</v>
      </c>
      <c r="C61" s="86"/>
      <c r="D61" s="85"/>
      <c r="E61" s="87"/>
      <c r="F61" s="88"/>
      <c r="G61" s="13"/>
      <c r="H61" s="89"/>
      <c r="I61" s="13"/>
    </row>
    <row r="62" spans="1:22" ht="15.75" hidden="1" customHeight="1">
      <c r="A62" s="32">
        <v>22</v>
      </c>
      <c r="B62" s="85" t="s">
        <v>136</v>
      </c>
      <c r="C62" s="86" t="s">
        <v>52</v>
      </c>
      <c r="D62" s="85" t="s">
        <v>53</v>
      </c>
      <c r="E62" s="87">
        <v>997</v>
      </c>
      <c r="F62" s="88">
        <v>9.9700000000000006</v>
      </c>
      <c r="G62" s="13">
        <v>793.61</v>
      </c>
      <c r="H62" s="89">
        <f>F62*G62/1000</f>
        <v>7.9122917000000008</v>
      </c>
      <c r="I62" s="13">
        <f>G62*F62</f>
        <v>7912.2917000000007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customHeight="1">
      <c r="A63" s="32">
        <v>19</v>
      </c>
      <c r="B63" s="85" t="s">
        <v>137</v>
      </c>
      <c r="C63" s="86" t="s">
        <v>25</v>
      </c>
      <c r="D63" s="85" t="s">
        <v>30</v>
      </c>
      <c r="E63" s="87">
        <v>394</v>
      </c>
      <c r="F63" s="90">
        <f>E63*12</f>
        <v>4728</v>
      </c>
      <c r="G63" s="71">
        <v>2.6</v>
      </c>
      <c r="H63" s="88">
        <f>F63*G63/1000</f>
        <v>12.292800000000002</v>
      </c>
      <c r="I63" s="13">
        <f>F63/12*G63</f>
        <v>1024.4000000000001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2"/>
      <c r="B64" s="101" t="s">
        <v>45</v>
      </c>
      <c r="C64" s="86"/>
      <c r="D64" s="85"/>
      <c r="E64" s="87"/>
      <c r="F64" s="90"/>
      <c r="G64" s="90"/>
      <c r="H64" s="88" t="s">
        <v>152</v>
      </c>
      <c r="I64" s="13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32">
        <v>20</v>
      </c>
      <c r="B65" s="14" t="s">
        <v>46</v>
      </c>
      <c r="C65" s="16" t="s">
        <v>111</v>
      </c>
      <c r="D65" s="76" t="s">
        <v>67</v>
      </c>
      <c r="E65" s="18">
        <v>15</v>
      </c>
      <c r="F65" s="79">
        <v>15</v>
      </c>
      <c r="G65" s="13">
        <v>222.4</v>
      </c>
      <c r="H65" s="91">
        <f t="shared" ref="H65:H78" si="6">SUM(F65*G65/1000)</f>
        <v>3.3359999999999999</v>
      </c>
      <c r="I65" s="13">
        <f>G65*3</f>
        <v>667.2</v>
      </c>
      <c r="J65" s="5"/>
      <c r="K65" s="5"/>
      <c r="L65" s="5"/>
      <c r="M65" s="5"/>
      <c r="N65" s="5"/>
      <c r="O65" s="5"/>
      <c r="P65" s="5"/>
      <c r="Q65" s="5"/>
      <c r="R65" s="123"/>
      <c r="S65" s="123"/>
      <c r="T65" s="123"/>
      <c r="U65" s="123"/>
    </row>
    <row r="66" spans="1:21" ht="15.75" hidden="1" customHeight="1">
      <c r="A66" s="32">
        <v>25</v>
      </c>
      <c r="B66" s="14" t="s">
        <v>47</v>
      </c>
      <c r="C66" s="16" t="s">
        <v>111</v>
      </c>
      <c r="D66" s="76" t="s">
        <v>67</v>
      </c>
      <c r="E66" s="18">
        <v>10</v>
      </c>
      <c r="F66" s="79">
        <v>10</v>
      </c>
      <c r="G66" s="13">
        <v>76.25</v>
      </c>
      <c r="H66" s="91">
        <f t="shared" si="6"/>
        <v>0.76249999999999996</v>
      </c>
      <c r="I66" s="13">
        <f>G66</f>
        <v>76.25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48</v>
      </c>
      <c r="C67" s="16" t="s">
        <v>113</v>
      </c>
      <c r="D67" s="14" t="s">
        <v>53</v>
      </c>
      <c r="E67" s="78">
        <v>28608</v>
      </c>
      <c r="F67" s="13">
        <f>SUM(E67/100)</f>
        <v>286.08</v>
      </c>
      <c r="G67" s="13">
        <v>199.77</v>
      </c>
      <c r="H67" s="91">
        <f t="shared" si="6"/>
        <v>57.150201600000003</v>
      </c>
      <c r="I67" s="13">
        <f>F67*G67</f>
        <v>57150.2016</v>
      </c>
    </row>
    <row r="68" spans="1:21" ht="15.75" hidden="1" customHeight="1">
      <c r="A68" s="32"/>
      <c r="B68" s="14" t="s">
        <v>49</v>
      </c>
      <c r="C68" s="16" t="s">
        <v>114</v>
      </c>
      <c r="D68" s="14"/>
      <c r="E68" s="78">
        <v>28608</v>
      </c>
      <c r="F68" s="13">
        <f>SUM(E68/1000)</f>
        <v>28.608000000000001</v>
      </c>
      <c r="G68" s="13">
        <v>155.57</v>
      </c>
      <c r="H68" s="91">
        <f t="shared" si="6"/>
        <v>4.4505465599999994</v>
      </c>
      <c r="I68" s="13">
        <f t="shared" ref="I68:I72" si="7">F68*G68</f>
        <v>4450.5465599999998</v>
      </c>
    </row>
    <row r="69" spans="1:21" ht="15.75" hidden="1" customHeight="1">
      <c r="A69" s="32"/>
      <c r="B69" s="14" t="s">
        <v>50</v>
      </c>
      <c r="C69" s="16" t="s">
        <v>77</v>
      </c>
      <c r="D69" s="14" t="s">
        <v>53</v>
      </c>
      <c r="E69" s="78">
        <v>4550</v>
      </c>
      <c r="F69" s="13">
        <f>SUM(E69/100)</f>
        <v>45.5</v>
      </c>
      <c r="G69" s="13">
        <v>2074.63</v>
      </c>
      <c r="H69" s="91">
        <f t="shared" si="6"/>
        <v>94.395665000000008</v>
      </c>
      <c r="I69" s="13">
        <f t="shared" si="7"/>
        <v>94395.665000000008</v>
      </c>
    </row>
    <row r="70" spans="1:21" ht="15.75" hidden="1" customHeight="1">
      <c r="A70" s="32"/>
      <c r="B70" s="92" t="s">
        <v>115</v>
      </c>
      <c r="C70" s="16" t="s">
        <v>33</v>
      </c>
      <c r="D70" s="14"/>
      <c r="E70" s="78">
        <v>58.5</v>
      </c>
      <c r="F70" s="13">
        <f>SUM(E70)</f>
        <v>58.5</v>
      </c>
      <c r="G70" s="13">
        <v>45.32</v>
      </c>
      <c r="H70" s="91">
        <f t="shared" si="6"/>
        <v>2.6512199999999999</v>
      </c>
      <c r="I70" s="13">
        <f t="shared" si="7"/>
        <v>2651.22</v>
      </c>
    </row>
    <row r="71" spans="1:21" ht="15.75" hidden="1" customHeight="1">
      <c r="A71" s="32"/>
      <c r="B71" s="92" t="s">
        <v>116</v>
      </c>
      <c r="C71" s="16" t="s">
        <v>33</v>
      </c>
      <c r="D71" s="14"/>
      <c r="E71" s="78">
        <v>58.5</v>
      </c>
      <c r="F71" s="13">
        <f>SUM(E71)</f>
        <v>58.5</v>
      </c>
      <c r="G71" s="13">
        <v>42.28</v>
      </c>
      <c r="H71" s="91">
        <f t="shared" si="6"/>
        <v>2.4733800000000001</v>
      </c>
      <c r="I71" s="13">
        <f t="shared" si="7"/>
        <v>2473.38</v>
      </c>
    </row>
    <row r="72" spans="1:21" ht="15.75" hidden="1" customHeight="1">
      <c r="A72" s="32"/>
      <c r="B72" s="14" t="s">
        <v>57</v>
      </c>
      <c r="C72" s="16" t="s">
        <v>58</v>
      </c>
      <c r="D72" s="14" t="s">
        <v>53</v>
      </c>
      <c r="E72" s="18">
        <v>5</v>
      </c>
      <c r="F72" s="79">
        <v>5</v>
      </c>
      <c r="G72" s="13">
        <v>49.88</v>
      </c>
      <c r="H72" s="91">
        <f t="shared" si="6"/>
        <v>0.24940000000000001</v>
      </c>
      <c r="I72" s="13">
        <f t="shared" si="7"/>
        <v>249.4</v>
      </c>
    </row>
    <row r="73" spans="1:21" ht="15.75" hidden="1" customHeight="1">
      <c r="A73" s="32"/>
      <c r="B73" s="58" t="s">
        <v>72</v>
      </c>
      <c r="C73" s="16"/>
      <c r="D73" s="14"/>
      <c r="E73" s="18"/>
      <c r="F73" s="13"/>
      <c r="G73" s="13"/>
      <c r="H73" s="91" t="s">
        <v>152</v>
      </c>
      <c r="I73" s="13"/>
    </row>
    <row r="74" spans="1:21" ht="15.75" hidden="1" customHeight="1">
      <c r="A74" s="32"/>
      <c r="B74" s="14" t="s">
        <v>73</v>
      </c>
      <c r="C74" s="16" t="s">
        <v>75</v>
      </c>
      <c r="D74" s="14"/>
      <c r="E74" s="18">
        <v>10</v>
      </c>
      <c r="F74" s="13">
        <v>1</v>
      </c>
      <c r="G74" s="13">
        <v>501.62</v>
      </c>
      <c r="H74" s="91">
        <f t="shared" si="6"/>
        <v>0.50161999999999995</v>
      </c>
      <c r="I74" s="13">
        <v>0</v>
      </c>
    </row>
    <row r="75" spans="1:21" ht="15.75" hidden="1" customHeight="1">
      <c r="A75" s="32"/>
      <c r="B75" s="14" t="s">
        <v>74</v>
      </c>
      <c r="C75" s="16" t="s">
        <v>31</v>
      </c>
      <c r="D75" s="14"/>
      <c r="E75" s="18">
        <v>3</v>
      </c>
      <c r="F75" s="71">
        <v>3</v>
      </c>
      <c r="G75" s="13">
        <v>852.99</v>
      </c>
      <c r="H75" s="91">
        <f>F75*G75/1000</f>
        <v>2.5589700000000004</v>
      </c>
      <c r="I75" s="13">
        <v>0</v>
      </c>
    </row>
    <row r="76" spans="1:21" ht="15.75" hidden="1" customHeight="1">
      <c r="A76" s="32"/>
      <c r="B76" s="14" t="s">
        <v>118</v>
      </c>
      <c r="C76" s="16" t="s">
        <v>31</v>
      </c>
      <c r="D76" s="14"/>
      <c r="E76" s="18">
        <v>1</v>
      </c>
      <c r="F76" s="13">
        <v>1</v>
      </c>
      <c r="G76" s="13">
        <v>358.51</v>
      </c>
      <c r="H76" s="91">
        <f>G76*F76/1000</f>
        <v>0.35851</v>
      </c>
      <c r="I76" s="13">
        <v>0</v>
      </c>
    </row>
    <row r="77" spans="1:21" ht="15.75" hidden="1" customHeight="1">
      <c r="A77" s="32"/>
      <c r="B77" s="94" t="s">
        <v>76</v>
      </c>
      <c r="C77" s="16"/>
      <c r="D77" s="14"/>
      <c r="E77" s="18"/>
      <c r="F77" s="13"/>
      <c r="G77" s="13" t="s">
        <v>152</v>
      </c>
      <c r="H77" s="91" t="s">
        <v>152</v>
      </c>
      <c r="I77" s="13"/>
    </row>
    <row r="78" spans="1:21" ht="15.75" hidden="1" customHeight="1">
      <c r="A78" s="32"/>
      <c r="B78" s="47" t="s">
        <v>170</v>
      </c>
      <c r="C78" s="16" t="s">
        <v>77</v>
      </c>
      <c r="D78" s="14"/>
      <c r="E78" s="18"/>
      <c r="F78" s="13">
        <v>1.2</v>
      </c>
      <c r="G78" s="13">
        <v>2759.44</v>
      </c>
      <c r="H78" s="91">
        <f t="shared" si="6"/>
        <v>3.311328</v>
      </c>
      <c r="I78" s="13">
        <v>0</v>
      </c>
    </row>
    <row r="79" spans="1:21" ht="15.75" hidden="1" customHeight="1">
      <c r="A79" s="32"/>
      <c r="B79" s="70" t="s">
        <v>96</v>
      </c>
      <c r="C79" s="70"/>
      <c r="D79" s="70"/>
      <c r="E79" s="70"/>
      <c r="F79" s="70"/>
      <c r="G79" s="82"/>
      <c r="H79" s="95">
        <f>SUM(H58:H78)</f>
        <v>197.73024405999999</v>
      </c>
      <c r="I79" s="82"/>
    </row>
    <row r="80" spans="1:21" ht="15.75" hidden="1" customHeight="1">
      <c r="A80" s="32"/>
      <c r="B80" s="102" t="s">
        <v>117</v>
      </c>
      <c r="C80" s="23"/>
      <c r="D80" s="22"/>
      <c r="E80" s="72"/>
      <c r="F80" s="103">
        <v>1</v>
      </c>
      <c r="G80" s="13">
        <v>23072.1</v>
      </c>
      <c r="H80" s="91">
        <f>G80*F80/1000</f>
        <v>23.072099999999999</v>
      </c>
      <c r="I80" s="13">
        <v>0</v>
      </c>
    </row>
    <row r="81" spans="1:9" ht="15.75" customHeight="1">
      <c r="A81" s="124" t="s">
        <v>150</v>
      </c>
      <c r="B81" s="125"/>
      <c r="C81" s="125"/>
      <c r="D81" s="125"/>
      <c r="E81" s="125"/>
      <c r="F81" s="125"/>
      <c r="G81" s="125"/>
      <c r="H81" s="125"/>
      <c r="I81" s="126"/>
    </row>
    <row r="82" spans="1:9" ht="15.75" customHeight="1">
      <c r="A82" s="32">
        <v>21</v>
      </c>
      <c r="B82" s="76" t="s">
        <v>119</v>
      </c>
      <c r="C82" s="16" t="s">
        <v>54</v>
      </c>
      <c r="D82" s="51" t="s">
        <v>55</v>
      </c>
      <c r="E82" s="13">
        <v>6980.3</v>
      </c>
      <c r="F82" s="13">
        <f>SUM(E82*12)</f>
        <v>83763.600000000006</v>
      </c>
      <c r="G82" s="13">
        <v>2.1</v>
      </c>
      <c r="H82" s="91">
        <f>SUM(F82*G82/1000)</f>
        <v>175.90356000000003</v>
      </c>
      <c r="I82" s="13">
        <f>F82/12*G82</f>
        <v>14658.630000000001</v>
      </c>
    </row>
    <row r="83" spans="1:9" ht="31.5" customHeight="1">
      <c r="A83" s="32">
        <v>22</v>
      </c>
      <c r="B83" s="14" t="s">
        <v>78</v>
      </c>
      <c r="C83" s="16"/>
      <c r="D83" s="51" t="s">
        <v>55</v>
      </c>
      <c r="E83" s="78">
        <f>E82</f>
        <v>6980.3</v>
      </c>
      <c r="F83" s="13">
        <f>E83*12</f>
        <v>83763.600000000006</v>
      </c>
      <c r="G83" s="13">
        <v>1.63</v>
      </c>
      <c r="H83" s="91">
        <f>F83*G83/1000</f>
        <v>136.53466800000001</v>
      </c>
      <c r="I83" s="13">
        <f>F83/12*G83</f>
        <v>11377.888999999999</v>
      </c>
    </row>
    <row r="84" spans="1:9" ht="15.75" customHeight="1">
      <c r="A84" s="32"/>
      <c r="B84" s="40" t="s">
        <v>81</v>
      </c>
      <c r="C84" s="94"/>
      <c r="D84" s="93"/>
      <c r="E84" s="82"/>
      <c r="F84" s="82"/>
      <c r="G84" s="82"/>
      <c r="H84" s="95">
        <f>H83</f>
        <v>136.53466800000001</v>
      </c>
      <c r="I84" s="82">
        <f>I16+I17+I18+I20+I21+I24+I25+I26+I27+I38+I39+I40+I42+I43+I45+I51+I58+I60+I63+I65+I82+I83</f>
        <v>106585.12172766666</v>
      </c>
    </row>
    <row r="85" spans="1:9" ht="15.75" customHeight="1">
      <c r="A85" s="135" t="s">
        <v>60</v>
      </c>
      <c r="B85" s="136"/>
      <c r="C85" s="136"/>
      <c r="D85" s="136"/>
      <c r="E85" s="136"/>
      <c r="F85" s="136"/>
      <c r="G85" s="136"/>
      <c r="H85" s="136"/>
      <c r="I85" s="137"/>
    </row>
    <row r="86" spans="1:9" ht="15.75" customHeight="1">
      <c r="A86" s="32">
        <v>23</v>
      </c>
      <c r="B86" s="50" t="s">
        <v>143</v>
      </c>
      <c r="C86" s="62" t="s">
        <v>85</v>
      </c>
      <c r="D86" s="14"/>
      <c r="E86" s="18"/>
      <c r="F86" s="13">
        <v>8</v>
      </c>
      <c r="G86" s="13">
        <v>195.85</v>
      </c>
      <c r="H86" s="91">
        <f>G86*F86/1000</f>
        <v>1.5668</v>
      </c>
      <c r="I86" s="13">
        <f>G86</f>
        <v>195.85</v>
      </c>
    </row>
    <row r="87" spans="1:9" ht="15.75" customHeight="1">
      <c r="A87" s="32">
        <v>24</v>
      </c>
      <c r="B87" s="50" t="s">
        <v>138</v>
      </c>
      <c r="C87" s="62" t="s">
        <v>111</v>
      </c>
      <c r="D87" s="14"/>
      <c r="E87" s="18"/>
      <c r="F87" s="13">
        <v>1080</v>
      </c>
      <c r="G87" s="13">
        <v>53.42</v>
      </c>
      <c r="H87" s="91">
        <f t="shared" ref="H87:H89" si="8">G87*F87/1000</f>
        <v>57.693599999999996</v>
      </c>
      <c r="I87" s="13">
        <f>G87*120</f>
        <v>6410.4000000000005</v>
      </c>
    </row>
    <row r="88" spans="1:9" ht="15.75" customHeight="1">
      <c r="A88" s="32">
        <v>25</v>
      </c>
      <c r="B88" s="63" t="s">
        <v>86</v>
      </c>
      <c r="C88" s="62" t="s">
        <v>111</v>
      </c>
      <c r="D88" s="14"/>
      <c r="E88" s="18"/>
      <c r="F88" s="13">
        <v>6</v>
      </c>
      <c r="G88" s="13">
        <v>189.67</v>
      </c>
      <c r="H88" s="91">
        <f t="shared" si="8"/>
        <v>1.13802</v>
      </c>
      <c r="I88" s="13">
        <f>G88*2</f>
        <v>379.34</v>
      </c>
    </row>
    <row r="89" spans="1:9" ht="31.5" customHeight="1">
      <c r="A89" s="32">
        <v>26</v>
      </c>
      <c r="B89" s="50" t="s">
        <v>191</v>
      </c>
      <c r="C89" s="62" t="s">
        <v>156</v>
      </c>
      <c r="D89" s="14"/>
      <c r="E89" s="18"/>
      <c r="F89" s="13">
        <v>1</v>
      </c>
      <c r="G89" s="13">
        <v>506.98</v>
      </c>
      <c r="H89" s="91">
        <f t="shared" si="8"/>
        <v>0.50697999999999999</v>
      </c>
      <c r="I89" s="13">
        <f t="shared" ref="I89" si="9">G89</f>
        <v>506.98</v>
      </c>
    </row>
    <row r="90" spans="1:9" ht="15.75" customHeight="1">
      <c r="A90" s="32">
        <v>27</v>
      </c>
      <c r="B90" s="98" t="s">
        <v>192</v>
      </c>
      <c r="C90" s="99" t="s">
        <v>142</v>
      </c>
      <c r="D90" s="111"/>
      <c r="E90" s="36"/>
      <c r="F90" s="36">
        <f>(3+4+15+15+15+5+20+20+15+10+15+15+7+6+15+3)/3</f>
        <v>61</v>
      </c>
      <c r="G90" s="36">
        <v>1120.8900000000001</v>
      </c>
      <c r="H90" s="110">
        <f>G90*F90/1000</f>
        <v>68.374290000000002</v>
      </c>
      <c r="I90" s="13">
        <f>G90</f>
        <v>1120.8900000000001</v>
      </c>
    </row>
    <row r="91" spans="1:9" ht="31.5" customHeight="1">
      <c r="A91" s="32">
        <v>28</v>
      </c>
      <c r="B91" s="50" t="s">
        <v>193</v>
      </c>
      <c r="C91" s="16" t="s">
        <v>82</v>
      </c>
      <c r="D91" s="111"/>
      <c r="E91" s="36"/>
      <c r="F91" s="36">
        <v>2</v>
      </c>
      <c r="G91" s="36">
        <v>1964</v>
      </c>
      <c r="H91" s="110">
        <f t="shared" ref="H91" si="10">G91*F91/1000</f>
        <v>3.9279999999999999</v>
      </c>
      <c r="I91" s="13">
        <f>G91*2</f>
        <v>3928</v>
      </c>
    </row>
    <row r="92" spans="1:9" ht="15.75" customHeight="1">
      <c r="A92" s="32"/>
      <c r="B92" s="45" t="s">
        <v>51</v>
      </c>
      <c r="C92" s="41"/>
      <c r="D92" s="48"/>
      <c r="E92" s="41">
        <v>1</v>
      </c>
      <c r="F92" s="41"/>
      <c r="G92" s="41"/>
      <c r="H92" s="41"/>
      <c r="I92" s="34">
        <f>SUM(I86:I91)</f>
        <v>12541.460000000001</v>
      </c>
    </row>
    <row r="93" spans="1:9">
      <c r="A93" s="32"/>
      <c r="B93" s="47" t="s">
        <v>79</v>
      </c>
      <c r="C93" s="15"/>
      <c r="D93" s="15"/>
      <c r="E93" s="42"/>
      <c r="F93" s="42"/>
      <c r="G93" s="43"/>
      <c r="H93" s="43"/>
      <c r="I93" s="17">
        <v>0</v>
      </c>
    </row>
    <row r="94" spans="1:9">
      <c r="A94" s="49"/>
      <c r="B94" s="46" t="s">
        <v>189</v>
      </c>
      <c r="C94" s="35"/>
      <c r="D94" s="35"/>
      <c r="E94" s="35"/>
      <c r="F94" s="35"/>
      <c r="G94" s="35"/>
      <c r="H94" s="35"/>
      <c r="I94" s="44">
        <f>I84+I92</f>
        <v>119126.58172766666</v>
      </c>
    </row>
    <row r="95" spans="1:9" ht="15.75">
      <c r="A95" s="127" t="s">
        <v>267</v>
      </c>
      <c r="B95" s="127"/>
      <c r="C95" s="127"/>
      <c r="D95" s="127"/>
      <c r="E95" s="127"/>
      <c r="F95" s="127"/>
      <c r="G95" s="127"/>
      <c r="H95" s="127"/>
      <c r="I95" s="127"/>
    </row>
    <row r="96" spans="1:9" ht="15.75" customHeight="1">
      <c r="A96" s="60"/>
      <c r="B96" s="128" t="s">
        <v>268</v>
      </c>
      <c r="C96" s="128"/>
      <c r="D96" s="128"/>
      <c r="E96" s="128"/>
      <c r="F96" s="128"/>
      <c r="G96" s="128"/>
      <c r="H96" s="75"/>
      <c r="I96" s="3"/>
    </row>
    <row r="97" spans="1:9">
      <c r="A97" s="56"/>
      <c r="B97" s="129" t="s">
        <v>6</v>
      </c>
      <c r="C97" s="129"/>
      <c r="D97" s="129"/>
      <c r="E97" s="129"/>
      <c r="F97" s="129"/>
      <c r="G97" s="129"/>
      <c r="H97" s="27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30" t="s">
        <v>7</v>
      </c>
      <c r="B99" s="130"/>
      <c r="C99" s="130"/>
      <c r="D99" s="130"/>
      <c r="E99" s="130"/>
      <c r="F99" s="130"/>
      <c r="G99" s="130"/>
      <c r="H99" s="130"/>
      <c r="I99" s="130"/>
    </row>
    <row r="100" spans="1:9" ht="15.75">
      <c r="A100" s="130" t="s">
        <v>8</v>
      </c>
      <c r="B100" s="130"/>
      <c r="C100" s="130"/>
      <c r="D100" s="130"/>
      <c r="E100" s="130"/>
      <c r="F100" s="130"/>
      <c r="G100" s="130"/>
      <c r="H100" s="130"/>
      <c r="I100" s="130"/>
    </row>
    <row r="101" spans="1:9" ht="15.75">
      <c r="A101" s="131" t="s">
        <v>61</v>
      </c>
      <c r="B101" s="131"/>
      <c r="C101" s="131"/>
      <c r="D101" s="131"/>
      <c r="E101" s="131"/>
      <c r="F101" s="131"/>
      <c r="G101" s="131"/>
      <c r="H101" s="131"/>
      <c r="I101" s="131"/>
    </row>
    <row r="102" spans="1:9" ht="15.75">
      <c r="A102" s="11"/>
    </row>
    <row r="103" spans="1:9" ht="15.75">
      <c r="A103" s="132" t="s">
        <v>9</v>
      </c>
      <c r="B103" s="132"/>
      <c r="C103" s="132"/>
      <c r="D103" s="132"/>
      <c r="E103" s="132"/>
      <c r="F103" s="132"/>
      <c r="G103" s="132"/>
      <c r="H103" s="132"/>
      <c r="I103" s="132"/>
    </row>
    <row r="104" spans="1:9" ht="15.75" customHeight="1">
      <c r="A104" s="4"/>
    </row>
    <row r="105" spans="1:9" ht="15.75" customHeight="1">
      <c r="B105" s="57" t="s">
        <v>10</v>
      </c>
      <c r="C105" s="133" t="s">
        <v>144</v>
      </c>
      <c r="D105" s="133"/>
      <c r="E105" s="133"/>
      <c r="F105" s="73"/>
      <c r="I105" s="55"/>
    </row>
    <row r="106" spans="1:9" ht="15.75" customHeight="1">
      <c r="A106" s="56"/>
      <c r="C106" s="129" t="s">
        <v>11</v>
      </c>
      <c r="D106" s="129"/>
      <c r="E106" s="129"/>
      <c r="F106" s="27"/>
      <c r="I106" s="54" t="s">
        <v>12</v>
      </c>
    </row>
    <row r="107" spans="1:9" ht="15.75" customHeight="1">
      <c r="A107" s="28"/>
      <c r="C107" s="12"/>
      <c r="D107" s="12"/>
      <c r="G107" s="12"/>
      <c r="H107" s="12"/>
    </row>
    <row r="108" spans="1:9" ht="15.75">
      <c r="B108" s="57" t="s">
        <v>13</v>
      </c>
      <c r="C108" s="134"/>
      <c r="D108" s="134"/>
      <c r="E108" s="134"/>
      <c r="F108" s="74"/>
      <c r="I108" s="55"/>
    </row>
    <row r="109" spans="1:9">
      <c r="A109" s="56"/>
      <c r="C109" s="123" t="s">
        <v>11</v>
      </c>
      <c r="D109" s="123"/>
      <c r="E109" s="123"/>
      <c r="F109" s="56"/>
      <c r="I109" s="54" t="s">
        <v>12</v>
      </c>
    </row>
    <row r="110" spans="1:9" ht="15.75">
      <c r="A110" s="4" t="s">
        <v>14</v>
      </c>
    </row>
    <row r="111" spans="1:9">
      <c r="A111" s="121" t="s">
        <v>15</v>
      </c>
      <c r="B111" s="121"/>
      <c r="C111" s="121"/>
      <c r="D111" s="121"/>
      <c r="E111" s="121"/>
      <c r="F111" s="121"/>
      <c r="G111" s="121"/>
      <c r="H111" s="121"/>
      <c r="I111" s="121"/>
    </row>
    <row r="112" spans="1:9" ht="45" customHeight="1">
      <c r="A112" s="122" t="s">
        <v>16</v>
      </c>
      <c r="B112" s="122"/>
      <c r="C112" s="122"/>
      <c r="D112" s="122"/>
      <c r="E112" s="122"/>
      <c r="F112" s="122"/>
      <c r="G112" s="122"/>
      <c r="H112" s="122"/>
      <c r="I112" s="122"/>
    </row>
    <row r="113" spans="1:9" ht="30" customHeight="1">
      <c r="A113" s="122" t="s">
        <v>17</v>
      </c>
      <c r="B113" s="122"/>
      <c r="C113" s="122"/>
      <c r="D113" s="122"/>
      <c r="E113" s="122"/>
      <c r="F113" s="122"/>
      <c r="G113" s="122"/>
      <c r="H113" s="122"/>
      <c r="I113" s="122"/>
    </row>
    <row r="114" spans="1:9" ht="30" customHeight="1">
      <c r="A114" s="122" t="s">
        <v>21</v>
      </c>
      <c r="B114" s="122"/>
      <c r="C114" s="122"/>
      <c r="D114" s="122"/>
      <c r="E114" s="122"/>
      <c r="F114" s="122"/>
      <c r="G114" s="122"/>
      <c r="H114" s="122"/>
      <c r="I114" s="122"/>
    </row>
    <row r="115" spans="1:9" ht="15" customHeight="1">
      <c r="A115" s="122" t="s">
        <v>20</v>
      </c>
      <c r="B115" s="122"/>
      <c r="C115" s="122"/>
      <c r="D115" s="122"/>
      <c r="E115" s="122"/>
      <c r="F115" s="122"/>
      <c r="G115" s="122"/>
      <c r="H115" s="122"/>
      <c r="I115" s="122"/>
    </row>
  </sheetData>
  <autoFilter ref="I12:I60"/>
  <mergeCells count="29">
    <mergeCell ref="R65:U65"/>
    <mergeCell ref="A81:I81"/>
    <mergeCell ref="A3:I3"/>
    <mergeCell ref="A4:I4"/>
    <mergeCell ref="A5:I5"/>
    <mergeCell ref="A8:I8"/>
    <mergeCell ref="A10:I10"/>
    <mergeCell ref="A14:I14"/>
    <mergeCell ref="A101:I101"/>
    <mergeCell ref="A15:I15"/>
    <mergeCell ref="A28:I28"/>
    <mergeCell ref="A46:I46"/>
    <mergeCell ref="A56:I56"/>
    <mergeCell ref="A95:I95"/>
    <mergeCell ref="B96:G96"/>
    <mergeCell ref="B97:G97"/>
    <mergeCell ref="A99:I99"/>
    <mergeCell ref="A100:I100"/>
    <mergeCell ref="A85:I85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7"/>
  <sheetViews>
    <sheetView topLeftCell="A90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88</v>
      </c>
      <c r="I1" s="29"/>
      <c r="J1" s="1"/>
      <c r="K1" s="1"/>
      <c r="L1" s="1"/>
      <c r="M1" s="1"/>
    </row>
    <row r="2" spans="1:13" ht="15.75">
      <c r="A2" s="31" t="s">
        <v>62</v>
      </c>
      <c r="J2" s="2"/>
      <c r="K2" s="2"/>
      <c r="L2" s="2"/>
      <c r="M2" s="2"/>
    </row>
    <row r="3" spans="1:13" ht="15.75" customHeight="1">
      <c r="A3" s="143" t="s">
        <v>172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141</v>
      </c>
      <c r="B4" s="144"/>
      <c r="C4" s="144"/>
      <c r="D4" s="144"/>
      <c r="E4" s="144"/>
      <c r="F4" s="144"/>
      <c r="G4" s="144"/>
      <c r="H4" s="144"/>
      <c r="I4" s="144"/>
    </row>
    <row r="5" spans="1:13" ht="15.75">
      <c r="A5" s="143" t="s">
        <v>194</v>
      </c>
      <c r="B5" s="145"/>
      <c r="C5" s="145"/>
      <c r="D5" s="145"/>
      <c r="E5" s="145"/>
      <c r="F5" s="145"/>
      <c r="G5" s="145"/>
      <c r="H5" s="145"/>
      <c r="I5" s="145"/>
      <c r="J5" s="2"/>
      <c r="K5" s="2"/>
      <c r="L5" s="2"/>
      <c r="M5" s="2"/>
    </row>
    <row r="6" spans="1:13" ht="15.75">
      <c r="A6" s="2"/>
      <c r="B6" s="65"/>
      <c r="C6" s="65"/>
      <c r="D6" s="65"/>
      <c r="E6" s="65"/>
      <c r="F6" s="65"/>
      <c r="G6" s="65"/>
      <c r="H6" s="65"/>
      <c r="I6" s="33">
        <v>42825</v>
      </c>
      <c r="J6" s="2"/>
      <c r="K6" s="2"/>
      <c r="L6" s="2"/>
      <c r="M6" s="2"/>
    </row>
    <row r="7" spans="1:13" ht="15.75">
      <c r="B7" s="66"/>
      <c r="C7" s="66"/>
      <c r="D7" s="6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6" t="s">
        <v>147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7" t="s">
        <v>182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2" t="s">
        <v>59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32">
        <v>1</v>
      </c>
      <c r="B16" s="76" t="s">
        <v>89</v>
      </c>
      <c r="C16" s="77" t="s">
        <v>90</v>
      </c>
      <c r="D16" s="76" t="s">
        <v>186</v>
      </c>
      <c r="E16" s="78">
        <v>208.08</v>
      </c>
      <c r="F16" s="79">
        <f>SUM(E16*156/100)</f>
        <v>324.60480000000001</v>
      </c>
      <c r="G16" s="79">
        <v>175.38</v>
      </c>
      <c r="H16" s="80">
        <f t="shared" ref="H16:H25" si="0">SUM(F16*G16/1000)</f>
        <v>56.929189823999998</v>
      </c>
      <c r="I16" s="13">
        <f>F16/12*G16</f>
        <v>4744.0991519999998</v>
      </c>
      <c r="J16" s="24"/>
      <c r="K16" s="8"/>
      <c r="L16" s="8"/>
      <c r="M16" s="8"/>
    </row>
    <row r="17" spans="1:13" ht="15.75" customHeight="1">
      <c r="A17" s="32">
        <v>2</v>
      </c>
      <c r="B17" s="76" t="s">
        <v>120</v>
      </c>
      <c r="C17" s="77" t="s">
        <v>90</v>
      </c>
      <c r="D17" s="76" t="s">
        <v>185</v>
      </c>
      <c r="E17" s="78">
        <v>832.32</v>
      </c>
      <c r="F17" s="79">
        <f>SUM(E17*104/100)</f>
        <v>865.61279999999999</v>
      </c>
      <c r="G17" s="79">
        <v>175.38</v>
      </c>
      <c r="H17" s="80">
        <f t="shared" si="0"/>
        <v>151.81117286399999</v>
      </c>
      <c r="I17" s="13">
        <f>F17/12*G17</f>
        <v>12650.931071999999</v>
      </c>
      <c r="J17" s="25"/>
      <c r="K17" s="8"/>
      <c r="L17" s="8"/>
      <c r="M17" s="8"/>
    </row>
    <row r="18" spans="1:13" ht="15.75" customHeight="1">
      <c r="A18" s="32">
        <v>3</v>
      </c>
      <c r="B18" s="76" t="s">
        <v>121</v>
      </c>
      <c r="C18" s="77" t="s">
        <v>90</v>
      </c>
      <c r="D18" s="76" t="s">
        <v>184</v>
      </c>
      <c r="E18" s="78">
        <v>1040.4000000000001</v>
      </c>
      <c r="F18" s="79">
        <f>SUM(E18*24/100)</f>
        <v>249.69600000000003</v>
      </c>
      <c r="G18" s="79">
        <v>504.5</v>
      </c>
      <c r="H18" s="80">
        <f t="shared" si="0"/>
        <v>125.97163200000001</v>
      </c>
      <c r="I18" s="13">
        <f>F18/12*G18</f>
        <v>10497.636000000002</v>
      </c>
      <c r="J18" s="25"/>
      <c r="K18" s="8"/>
      <c r="L18" s="8"/>
      <c r="M18" s="8"/>
    </row>
    <row r="19" spans="1:13" ht="15.75" hidden="1" customHeight="1">
      <c r="A19" s="32"/>
      <c r="B19" s="76" t="s">
        <v>97</v>
      </c>
      <c r="C19" s="77" t="s">
        <v>98</v>
      </c>
      <c r="D19" s="76" t="s">
        <v>99</v>
      </c>
      <c r="E19" s="78">
        <v>48</v>
      </c>
      <c r="F19" s="79">
        <f>SUM(E19/10)</f>
        <v>4.8</v>
      </c>
      <c r="G19" s="79">
        <v>170.16</v>
      </c>
      <c r="H19" s="80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76" t="s">
        <v>100</v>
      </c>
      <c r="C20" s="77" t="s">
        <v>90</v>
      </c>
      <c r="D20" s="76" t="s">
        <v>122</v>
      </c>
      <c r="E20" s="78">
        <v>30.6</v>
      </c>
      <c r="F20" s="79">
        <f>SUM(E20*12/100)</f>
        <v>3.6720000000000006</v>
      </c>
      <c r="G20" s="79">
        <v>217.88</v>
      </c>
      <c r="H20" s="80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customHeight="1">
      <c r="A21" s="32">
        <v>5</v>
      </c>
      <c r="B21" s="76" t="s">
        <v>101</v>
      </c>
      <c r="C21" s="77" t="s">
        <v>90</v>
      </c>
      <c r="D21" s="76" t="s">
        <v>30</v>
      </c>
      <c r="E21" s="78">
        <v>10.06</v>
      </c>
      <c r="F21" s="79">
        <f>SUM(E21*12/100)</f>
        <v>1.2072000000000001</v>
      </c>
      <c r="G21" s="79">
        <v>216.12</v>
      </c>
      <c r="H21" s="80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6" t="s">
        <v>102</v>
      </c>
      <c r="C22" s="77" t="s">
        <v>52</v>
      </c>
      <c r="D22" s="76" t="s">
        <v>99</v>
      </c>
      <c r="E22" s="78">
        <v>769.2</v>
      </c>
      <c r="F22" s="79">
        <f>SUM(E22/100)</f>
        <v>7.6920000000000002</v>
      </c>
      <c r="G22" s="79">
        <v>269.26</v>
      </c>
      <c r="H22" s="80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6" t="s">
        <v>103</v>
      </c>
      <c r="C23" s="77" t="s">
        <v>52</v>
      </c>
      <c r="D23" s="76" t="s">
        <v>99</v>
      </c>
      <c r="E23" s="81">
        <v>35.28</v>
      </c>
      <c r="F23" s="79">
        <f>SUM(E23/100)</f>
        <v>0.3528</v>
      </c>
      <c r="G23" s="79">
        <v>44.29</v>
      </c>
      <c r="H23" s="80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customHeight="1">
      <c r="A24" s="32">
        <v>6</v>
      </c>
      <c r="B24" s="76" t="s">
        <v>104</v>
      </c>
      <c r="C24" s="77" t="s">
        <v>52</v>
      </c>
      <c r="D24" s="76" t="s">
        <v>30</v>
      </c>
      <c r="E24" s="78">
        <v>10.8</v>
      </c>
      <c r="F24" s="79">
        <f>E24*12/100</f>
        <v>1.2960000000000003</v>
      </c>
      <c r="G24" s="79">
        <v>389.72</v>
      </c>
      <c r="H24" s="80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customHeight="1">
      <c r="A25" s="32">
        <v>7</v>
      </c>
      <c r="B25" s="76" t="s">
        <v>105</v>
      </c>
      <c r="C25" s="77" t="s">
        <v>52</v>
      </c>
      <c r="D25" s="76" t="s">
        <v>123</v>
      </c>
      <c r="E25" s="78">
        <v>21.6</v>
      </c>
      <c r="F25" s="79">
        <f>SUM(E25*12/100)</f>
        <v>2.5920000000000005</v>
      </c>
      <c r="G25" s="79">
        <v>520.79999999999995</v>
      </c>
      <c r="H25" s="80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8</v>
      </c>
      <c r="B26" s="76" t="s">
        <v>64</v>
      </c>
      <c r="C26" s="77" t="s">
        <v>33</v>
      </c>
      <c r="D26" s="76" t="s">
        <v>183</v>
      </c>
      <c r="E26" s="78">
        <v>0.1</v>
      </c>
      <c r="F26" s="79">
        <f>SUM(E26*365)</f>
        <v>36.5</v>
      </c>
      <c r="G26" s="79">
        <v>147.03</v>
      </c>
      <c r="H26" s="80">
        <f>SUM(F26*G26/1000)</f>
        <v>5.3665950000000002</v>
      </c>
      <c r="I26" s="13">
        <f>F26/12*G26</f>
        <v>447.21625</v>
      </c>
      <c r="J26" s="26"/>
    </row>
    <row r="27" spans="1:13" ht="15.75" customHeight="1">
      <c r="A27" s="32">
        <v>9</v>
      </c>
      <c r="B27" s="84" t="s">
        <v>23</v>
      </c>
      <c r="C27" s="77" t="s">
        <v>24</v>
      </c>
      <c r="D27" s="76" t="s">
        <v>183</v>
      </c>
      <c r="E27" s="78">
        <v>6980.3</v>
      </c>
      <c r="F27" s="79">
        <f>SUM(E27*12)</f>
        <v>83763.600000000006</v>
      </c>
      <c r="G27" s="79">
        <v>4.4000000000000004</v>
      </c>
      <c r="H27" s="80">
        <f>SUM(F27*G27/1000)</f>
        <v>368.55984000000007</v>
      </c>
      <c r="I27" s="13">
        <f>F27/12*G27</f>
        <v>30713.320000000003</v>
      </c>
      <c r="J27" s="26"/>
    </row>
    <row r="28" spans="1:13" ht="15" customHeight="1">
      <c r="A28" s="138" t="s">
        <v>87</v>
      </c>
      <c r="B28" s="138"/>
      <c r="C28" s="138"/>
      <c r="D28" s="138"/>
      <c r="E28" s="138"/>
      <c r="F28" s="138"/>
      <c r="G28" s="138"/>
      <c r="H28" s="138"/>
      <c r="I28" s="138"/>
      <c r="J28" s="25"/>
      <c r="K28" s="8"/>
      <c r="L28" s="8"/>
      <c r="M28" s="8"/>
    </row>
    <row r="29" spans="1:13" ht="15.75" hidden="1" customHeight="1">
      <c r="A29" s="32"/>
      <c r="B29" s="100" t="s">
        <v>28</v>
      </c>
      <c r="C29" s="77"/>
      <c r="D29" s="76"/>
      <c r="E29" s="78"/>
      <c r="F29" s="79"/>
      <c r="G29" s="79"/>
      <c r="H29" s="80"/>
      <c r="I29" s="13"/>
      <c r="J29" s="25"/>
      <c r="K29" s="8"/>
      <c r="L29" s="8"/>
      <c r="M29" s="8"/>
    </row>
    <row r="30" spans="1:13" ht="31.5" hidden="1" customHeight="1">
      <c r="A30" s="32">
        <v>10</v>
      </c>
      <c r="B30" s="76" t="s">
        <v>109</v>
      </c>
      <c r="C30" s="77" t="s">
        <v>92</v>
      </c>
      <c r="D30" s="76" t="s">
        <v>106</v>
      </c>
      <c r="E30" s="79">
        <v>1168.05</v>
      </c>
      <c r="F30" s="79">
        <f>SUM(E30*52/1000)</f>
        <v>60.738599999999998</v>
      </c>
      <c r="G30" s="79">
        <v>155.88999999999999</v>
      </c>
      <c r="H30" s="80">
        <f t="shared" ref="H30:H36" si="1">SUM(F30*G30/1000)</f>
        <v>9.4685403539999982</v>
      </c>
      <c r="I30" s="13">
        <f>F30/6*G30</f>
        <v>1578.0900589999997</v>
      </c>
      <c r="J30" s="25"/>
      <c r="K30" s="8"/>
      <c r="L30" s="8"/>
      <c r="M30" s="8"/>
    </row>
    <row r="31" spans="1:13" ht="31.5" hidden="1" customHeight="1">
      <c r="A31" s="32">
        <v>11</v>
      </c>
      <c r="B31" s="76" t="s">
        <v>125</v>
      </c>
      <c r="C31" s="77" t="s">
        <v>92</v>
      </c>
      <c r="D31" s="76" t="s">
        <v>107</v>
      </c>
      <c r="E31" s="79">
        <v>1039.2</v>
      </c>
      <c r="F31" s="79">
        <f>SUM(E31*78/1000)</f>
        <v>81.057600000000008</v>
      </c>
      <c r="G31" s="79">
        <v>258.63</v>
      </c>
      <c r="H31" s="80">
        <f t="shared" si="1"/>
        <v>20.963927088000002</v>
      </c>
      <c r="I31" s="13">
        <f t="shared" ref="I31:I34" si="2">F31/6*G31</f>
        <v>3493.9878480000002</v>
      </c>
      <c r="J31" s="25"/>
      <c r="K31" s="8"/>
      <c r="L31" s="8"/>
      <c r="M31" s="8"/>
    </row>
    <row r="32" spans="1:13" ht="15.75" hidden="1" customHeight="1">
      <c r="A32" s="32">
        <v>16</v>
      </c>
      <c r="B32" s="76" t="s">
        <v>27</v>
      </c>
      <c r="C32" s="77" t="s">
        <v>92</v>
      </c>
      <c r="D32" s="76" t="s">
        <v>53</v>
      </c>
      <c r="E32" s="79">
        <v>584.03</v>
      </c>
      <c r="F32" s="79">
        <f>SUM(E32/1000)</f>
        <v>0.58402999999999994</v>
      </c>
      <c r="G32" s="79">
        <v>3020.33</v>
      </c>
      <c r="H32" s="80">
        <f t="shared" si="1"/>
        <v>1.7639633298999997</v>
      </c>
      <c r="I32" s="13">
        <f>F32*G32</f>
        <v>1763.9633298999997</v>
      </c>
      <c r="J32" s="25"/>
      <c r="K32" s="8"/>
      <c r="L32" s="8"/>
      <c r="M32" s="8"/>
    </row>
    <row r="33" spans="1:14" ht="15.75" hidden="1" customHeight="1">
      <c r="A33" s="32">
        <v>12</v>
      </c>
      <c r="B33" s="76" t="s">
        <v>124</v>
      </c>
      <c r="C33" s="77" t="s">
        <v>39</v>
      </c>
      <c r="D33" s="76" t="s">
        <v>63</v>
      </c>
      <c r="E33" s="79">
        <v>6</v>
      </c>
      <c r="F33" s="79">
        <f>E33*155/100</f>
        <v>9.3000000000000007</v>
      </c>
      <c r="G33" s="79">
        <v>1302.02</v>
      </c>
      <c r="H33" s="80">
        <f>G33*F33/1000</f>
        <v>12.108786</v>
      </c>
      <c r="I33" s="13">
        <f t="shared" si="2"/>
        <v>2018.1310000000001</v>
      </c>
      <c r="J33" s="25"/>
      <c r="K33" s="8"/>
      <c r="L33" s="8"/>
      <c r="M33" s="8"/>
    </row>
    <row r="34" spans="1:14" ht="15.75" hidden="1" customHeight="1">
      <c r="A34" s="32">
        <v>13</v>
      </c>
      <c r="B34" s="76" t="s">
        <v>108</v>
      </c>
      <c r="C34" s="77" t="s">
        <v>31</v>
      </c>
      <c r="D34" s="76" t="s">
        <v>63</v>
      </c>
      <c r="E34" s="83">
        <v>0.33333333333333331</v>
      </c>
      <c r="F34" s="79">
        <f>155/3</f>
        <v>51.666666666666664</v>
      </c>
      <c r="G34" s="79">
        <v>56.69</v>
      </c>
      <c r="H34" s="80">
        <f>SUM(G34*155/3/1000)</f>
        <v>2.9289833333333331</v>
      </c>
      <c r="I34" s="13">
        <f t="shared" si="2"/>
        <v>488.16388888888883</v>
      </c>
      <c r="J34" s="25"/>
      <c r="K34" s="8"/>
    </row>
    <row r="35" spans="1:14" ht="15.75" hidden="1" customHeight="1">
      <c r="A35" s="32"/>
      <c r="B35" s="76" t="s">
        <v>65</v>
      </c>
      <c r="C35" s="77" t="s">
        <v>33</v>
      </c>
      <c r="D35" s="76" t="s">
        <v>67</v>
      </c>
      <c r="E35" s="78"/>
      <c r="F35" s="79">
        <v>4</v>
      </c>
      <c r="G35" s="79">
        <v>180.15</v>
      </c>
      <c r="H35" s="80">
        <f t="shared" si="1"/>
        <v>0.72060000000000002</v>
      </c>
      <c r="I35" s="13">
        <v>0</v>
      </c>
      <c r="J35" s="26"/>
    </row>
    <row r="36" spans="1:14" ht="15.75" hidden="1" customHeight="1">
      <c r="A36" s="32"/>
      <c r="B36" s="76" t="s">
        <v>66</v>
      </c>
      <c r="C36" s="77" t="s">
        <v>32</v>
      </c>
      <c r="D36" s="76" t="s">
        <v>67</v>
      </c>
      <c r="E36" s="78"/>
      <c r="F36" s="79">
        <v>3</v>
      </c>
      <c r="G36" s="79">
        <v>1136.33</v>
      </c>
      <c r="H36" s="80">
        <f t="shared" si="1"/>
        <v>3.4089899999999997</v>
      </c>
      <c r="I36" s="13">
        <v>0</v>
      </c>
      <c r="J36" s="26"/>
    </row>
    <row r="37" spans="1:14" ht="15.75" customHeight="1">
      <c r="A37" s="32"/>
      <c r="B37" s="100" t="s">
        <v>5</v>
      </c>
      <c r="C37" s="77"/>
      <c r="D37" s="76"/>
      <c r="E37" s="78"/>
      <c r="F37" s="79"/>
      <c r="G37" s="79"/>
      <c r="H37" s="80" t="s">
        <v>152</v>
      </c>
      <c r="I37" s="13"/>
      <c r="J37" s="26"/>
    </row>
    <row r="38" spans="1:14" ht="15.75" customHeight="1">
      <c r="A38" s="32">
        <v>10</v>
      </c>
      <c r="B38" s="76" t="s">
        <v>26</v>
      </c>
      <c r="C38" s="77" t="s">
        <v>32</v>
      </c>
      <c r="D38" s="76"/>
      <c r="E38" s="78"/>
      <c r="F38" s="79">
        <v>10</v>
      </c>
      <c r="G38" s="79">
        <v>1527.22</v>
      </c>
      <c r="H38" s="80">
        <f t="shared" ref="H38:H45" si="3">SUM(F38*G38/1000)</f>
        <v>15.272200000000002</v>
      </c>
      <c r="I38" s="13">
        <f>F38/6*G38</f>
        <v>2545.3666666666668</v>
      </c>
      <c r="J38" s="26"/>
    </row>
    <row r="39" spans="1:14" ht="15.75" customHeight="1">
      <c r="A39" s="32">
        <v>11</v>
      </c>
      <c r="B39" s="76" t="s">
        <v>126</v>
      </c>
      <c r="C39" s="77" t="s">
        <v>33</v>
      </c>
      <c r="D39" s="76"/>
      <c r="E39" s="78"/>
      <c r="F39" s="79">
        <v>10</v>
      </c>
      <c r="G39" s="79">
        <v>77.94</v>
      </c>
      <c r="H39" s="80">
        <f>G39*F39/1000</f>
        <v>0.77939999999999998</v>
      </c>
      <c r="I39" s="13">
        <f>F39/6*G39</f>
        <v>129.9</v>
      </c>
      <c r="J39" s="26"/>
      <c r="L39" s="19"/>
      <c r="M39" s="20"/>
      <c r="N39" s="21"/>
    </row>
    <row r="40" spans="1:14" ht="15.75" customHeight="1">
      <c r="A40" s="32">
        <v>12</v>
      </c>
      <c r="B40" s="76" t="s">
        <v>110</v>
      </c>
      <c r="C40" s="77" t="s">
        <v>29</v>
      </c>
      <c r="D40" s="76" t="s">
        <v>127</v>
      </c>
      <c r="E40" s="78">
        <v>1039.2</v>
      </c>
      <c r="F40" s="79">
        <f>E40*25/1000</f>
        <v>25.98</v>
      </c>
      <c r="G40" s="79">
        <v>2102.71</v>
      </c>
      <c r="H40" s="80">
        <f>G40*F40/1000</f>
        <v>54.628405800000003</v>
      </c>
      <c r="I40" s="13">
        <f>F40/6*G40</f>
        <v>9104.7343000000001</v>
      </c>
      <c r="J40" s="26"/>
      <c r="L40" s="19"/>
      <c r="M40" s="20"/>
      <c r="N40" s="21"/>
    </row>
    <row r="41" spans="1:14" ht="15.75" hidden="1" customHeight="1">
      <c r="A41" s="32"/>
      <c r="B41" s="76" t="s">
        <v>128</v>
      </c>
      <c r="C41" s="77" t="s">
        <v>129</v>
      </c>
      <c r="D41" s="76" t="s">
        <v>67</v>
      </c>
      <c r="E41" s="78"/>
      <c r="F41" s="79">
        <v>50</v>
      </c>
      <c r="G41" s="79">
        <v>213.2</v>
      </c>
      <c r="H41" s="80">
        <f>G41*F41/1000</f>
        <v>10.66</v>
      </c>
      <c r="I41" s="13">
        <v>0</v>
      </c>
      <c r="J41" s="26"/>
      <c r="L41" s="19"/>
      <c r="M41" s="20"/>
      <c r="N41" s="21"/>
    </row>
    <row r="42" spans="1:14" ht="15.75" customHeight="1">
      <c r="A42" s="32">
        <v>13</v>
      </c>
      <c r="B42" s="76" t="s">
        <v>68</v>
      </c>
      <c r="C42" s="77" t="s">
        <v>29</v>
      </c>
      <c r="D42" s="76" t="s">
        <v>91</v>
      </c>
      <c r="E42" s="79">
        <v>153</v>
      </c>
      <c r="F42" s="79">
        <f>SUM(E42*155/1000)</f>
        <v>23.715</v>
      </c>
      <c r="G42" s="79">
        <v>350.75</v>
      </c>
      <c r="H42" s="80">
        <f t="shared" si="3"/>
        <v>8.3180362499999987</v>
      </c>
      <c r="I42" s="13">
        <f>F42/6*G42</f>
        <v>1386.339375</v>
      </c>
      <c r="J42" s="26"/>
      <c r="L42" s="19"/>
      <c r="M42" s="20"/>
      <c r="N42" s="21"/>
    </row>
    <row r="43" spans="1:14" ht="47.25" customHeight="1">
      <c r="A43" s="32">
        <v>14</v>
      </c>
      <c r="B43" s="76" t="s">
        <v>84</v>
      </c>
      <c r="C43" s="77" t="s">
        <v>92</v>
      </c>
      <c r="D43" s="76" t="s">
        <v>130</v>
      </c>
      <c r="E43" s="79">
        <v>24</v>
      </c>
      <c r="F43" s="79">
        <f>SUM(E43*50/1000)</f>
        <v>1.2</v>
      </c>
      <c r="G43" s="79">
        <v>5803.28</v>
      </c>
      <c r="H43" s="80">
        <f t="shared" si="3"/>
        <v>6.9639359999999995</v>
      </c>
      <c r="I43" s="13">
        <f>F43/6*G43</f>
        <v>1160.6559999999999</v>
      </c>
      <c r="J43" s="26"/>
      <c r="L43" s="19"/>
      <c r="M43" s="20"/>
      <c r="N43" s="21"/>
    </row>
    <row r="44" spans="1:14" ht="15.75" customHeight="1">
      <c r="A44" s="32">
        <v>15</v>
      </c>
      <c r="B44" s="76" t="s">
        <v>93</v>
      </c>
      <c r="C44" s="77" t="s">
        <v>92</v>
      </c>
      <c r="D44" s="117" t="s">
        <v>269</v>
      </c>
      <c r="E44" s="118">
        <v>153</v>
      </c>
      <c r="F44" s="119">
        <f>SUM(E44*15/1000)</f>
        <v>2.2949999999999999</v>
      </c>
      <c r="G44" s="118">
        <v>428.7</v>
      </c>
      <c r="H44" s="120">
        <f t="shared" ref="H44" si="4">SUM(F44*G44/1000)</f>
        <v>0.98386649999999998</v>
      </c>
      <c r="I44" s="13">
        <f>F44/2*G44</f>
        <v>491.93324999999999</v>
      </c>
      <c r="J44" s="26"/>
      <c r="L44" s="19"/>
      <c r="M44" s="20"/>
      <c r="N44" s="21"/>
    </row>
    <row r="45" spans="1:14" ht="15.75" customHeight="1">
      <c r="A45" s="32">
        <v>16</v>
      </c>
      <c r="B45" s="76" t="s">
        <v>70</v>
      </c>
      <c r="C45" s="77" t="s">
        <v>33</v>
      </c>
      <c r="D45" s="76"/>
      <c r="E45" s="78"/>
      <c r="F45" s="79">
        <v>0.9</v>
      </c>
      <c r="G45" s="79">
        <v>798</v>
      </c>
      <c r="H45" s="80">
        <f t="shared" si="3"/>
        <v>0.71820000000000006</v>
      </c>
      <c r="I45" s="13">
        <f>F45/6*G45</f>
        <v>119.69999999999999</v>
      </c>
      <c r="J45" s="26"/>
      <c r="L45" s="19"/>
      <c r="M45" s="20"/>
      <c r="N45" s="21"/>
    </row>
    <row r="46" spans="1:14" ht="15" customHeight="1">
      <c r="A46" s="139" t="s">
        <v>148</v>
      </c>
      <c r="B46" s="140"/>
      <c r="C46" s="140"/>
      <c r="D46" s="140"/>
      <c r="E46" s="140"/>
      <c r="F46" s="140"/>
      <c r="G46" s="140"/>
      <c r="H46" s="140"/>
      <c r="I46" s="141"/>
      <c r="J46" s="26"/>
      <c r="L46" s="19"/>
      <c r="M46" s="20"/>
      <c r="N46" s="21"/>
    </row>
    <row r="47" spans="1:14" ht="15.75" hidden="1" customHeight="1">
      <c r="A47" s="32"/>
      <c r="B47" s="76" t="s">
        <v>131</v>
      </c>
      <c r="C47" s="77" t="s">
        <v>92</v>
      </c>
      <c r="D47" s="76" t="s">
        <v>42</v>
      </c>
      <c r="E47" s="78">
        <v>1895</v>
      </c>
      <c r="F47" s="79">
        <f>SUM(E47*2/1000)</f>
        <v>3.79</v>
      </c>
      <c r="G47" s="13">
        <v>849.49</v>
      </c>
      <c r="H47" s="80">
        <f t="shared" ref="H47:H55" si="5">SUM(F47*G47/1000)</f>
        <v>3.2195671000000003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76" t="s">
        <v>34</v>
      </c>
      <c r="C48" s="77" t="s">
        <v>92</v>
      </c>
      <c r="D48" s="76" t="s">
        <v>42</v>
      </c>
      <c r="E48" s="78">
        <v>118.2</v>
      </c>
      <c r="F48" s="79">
        <f>E48*2/1000</f>
        <v>0.2364</v>
      </c>
      <c r="G48" s="13">
        <v>579.48</v>
      </c>
      <c r="H48" s="80">
        <f t="shared" si="5"/>
        <v>0.13698907199999999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76" t="s">
        <v>35</v>
      </c>
      <c r="C49" s="77" t="s">
        <v>92</v>
      </c>
      <c r="D49" s="76" t="s">
        <v>42</v>
      </c>
      <c r="E49" s="78">
        <v>4675</v>
      </c>
      <c r="F49" s="79">
        <f>SUM(E49*2/1000)</f>
        <v>9.35</v>
      </c>
      <c r="G49" s="13">
        <v>579.48</v>
      </c>
      <c r="H49" s="80">
        <f t="shared" si="5"/>
        <v>5.4181379999999999</v>
      </c>
      <c r="I49" s="13">
        <v>0</v>
      </c>
      <c r="J49" s="26"/>
      <c r="L49" s="19"/>
      <c r="M49" s="20"/>
      <c r="N49" s="21"/>
    </row>
    <row r="50" spans="1:22" ht="15.75" hidden="1" customHeight="1">
      <c r="A50" s="32"/>
      <c r="B50" s="76" t="s">
        <v>36</v>
      </c>
      <c r="C50" s="77" t="s">
        <v>92</v>
      </c>
      <c r="D50" s="76" t="s">
        <v>42</v>
      </c>
      <c r="E50" s="78">
        <v>4675</v>
      </c>
      <c r="F50" s="79">
        <f>SUM(E50*2/1000)</f>
        <v>9.35</v>
      </c>
      <c r="G50" s="13">
        <v>606.77</v>
      </c>
      <c r="H50" s="80">
        <f t="shared" si="5"/>
        <v>5.6732994999999988</v>
      </c>
      <c r="I50" s="13">
        <v>0</v>
      </c>
      <c r="J50" s="26"/>
      <c r="L50" s="19"/>
      <c r="M50" s="20"/>
      <c r="N50" s="21"/>
    </row>
    <row r="51" spans="1:22" ht="15.75" hidden="1" customHeight="1">
      <c r="A51" s="32">
        <v>17</v>
      </c>
      <c r="B51" s="76" t="s">
        <v>56</v>
      </c>
      <c r="C51" s="77" t="s">
        <v>92</v>
      </c>
      <c r="D51" s="76" t="s">
        <v>169</v>
      </c>
      <c r="E51" s="78">
        <v>3988</v>
      </c>
      <c r="F51" s="79">
        <f>SUM(E51*5/1000)</f>
        <v>19.940000000000001</v>
      </c>
      <c r="G51" s="13">
        <v>1142.7</v>
      </c>
      <c r="H51" s="80">
        <f t="shared" si="5"/>
        <v>22.785438000000003</v>
      </c>
      <c r="I51" s="13">
        <f>F51/5*G51</f>
        <v>4557.0876000000007</v>
      </c>
      <c r="J51" s="26"/>
      <c r="L51" s="19"/>
      <c r="M51" s="20"/>
      <c r="N51" s="21"/>
    </row>
    <row r="52" spans="1:22" ht="31.5" hidden="1" customHeight="1">
      <c r="A52" s="32"/>
      <c r="B52" s="76" t="s">
        <v>94</v>
      </c>
      <c r="C52" s="77" t="s">
        <v>92</v>
      </c>
      <c r="D52" s="76" t="s">
        <v>42</v>
      </c>
      <c r="E52" s="78">
        <v>3988</v>
      </c>
      <c r="F52" s="79">
        <f>SUM(E52*2/1000)</f>
        <v>7.976</v>
      </c>
      <c r="G52" s="13">
        <v>1213.55</v>
      </c>
      <c r="H52" s="80">
        <f t="shared" si="5"/>
        <v>9.6792748</v>
      </c>
      <c r="I52" s="13">
        <v>0</v>
      </c>
      <c r="J52" s="26"/>
      <c r="L52" s="19"/>
      <c r="M52" s="20"/>
      <c r="N52" s="21"/>
    </row>
    <row r="53" spans="1:22" ht="31.5" hidden="1" customHeight="1">
      <c r="A53" s="32"/>
      <c r="B53" s="76" t="s">
        <v>95</v>
      </c>
      <c r="C53" s="77" t="s">
        <v>37</v>
      </c>
      <c r="D53" s="76" t="s">
        <v>42</v>
      </c>
      <c r="E53" s="78">
        <v>30</v>
      </c>
      <c r="F53" s="79">
        <f>SUM(E53*2/100)</f>
        <v>0.6</v>
      </c>
      <c r="G53" s="13">
        <v>2730.49</v>
      </c>
      <c r="H53" s="80">
        <f>SUM(F53*G53/1000)</f>
        <v>1.6382939999999999</v>
      </c>
      <c r="I53" s="13">
        <v>0</v>
      </c>
      <c r="J53" s="26"/>
      <c r="L53" s="19"/>
      <c r="M53" s="20"/>
      <c r="N53" s="21"/>
    </row>
    <row r="54" spans="1:22" ht="15.75" customHeight="1">
      <c r="A54" s="32">
        <v>17</v>
      </c>
      <c r="B54" s="76" t="s">
        <v>38</v>
      </c>
      <c r="C54" s="77" t="s">
        <v>39</v>
      </c>
      <c r="D54" s="76" t="s">
        <v>42</v>
      </c>
      <c r="E54" s="78">
        <v>1</v>
      </c>
      <c r="F54" s="79">
        <v>0.02</v>
      </c>
      <c r="G54" s="13">
        <v>5652.13</v>
      </c>
      <c r="H54" s="80">
        <f t="shared" si="5"/>
        <v>0.11304260000000001</v>
      </c>
      <c r="I54" s="13">
        <f>F54/2*G54</f>
        <v>56.521300000000004</v>
      </c>
      <c r="J54" s="26"/>
      <c r="L54" s="19"/>
      <c r="M54" s="20"/>
      <c r="N54" s="21"/>
    </row>
    <row r="55" spans="1:22" ht="15.75" hidden="1" customHeight="1">
      <c r="A55" s="32">
        <v>17</v>
      </c>
      <c r="B55" s="76" t="s">
        <v>41</v>
      </c>
      <c r="C55" s="77" t="s">
        <v>111</v>
      </c>
      <c r="D55" s="76" t="s">
        <v>71</v>
      </c>
      <c r="E55" s="78">
        <v>236</v>
      </c>
      <c r="F55" s="79">
        <f>SUM(E55)*3</f>
        <v>708</v>
      </c>
      <c r="G55" s="13">
        <v>65.67</v>
      </c>
      <c r="H55" s="80">
        <f t="shared" si="5"/>
        <v>46.49436</v>
      </c>
      <c r="I55" s="13">
        <f>E55*G55</f>
        <v>15498.12</v>
      </c>
      <c r="J55" s="26"/>
      <c r="L55" s="19"/>
      <c r="M55" s="20"/>
      <c r="N55" s="21"/>
    </row>
    <row r="56" spans="1:22" ht="15.75" customHeight="1">
      <c r="A56" s="139" t="s">
        <v>149</v>
      </c>
      <c r="B56" s="140"/>
      <c r="C56" s="140"/>
      <c r="D56" s="140"/>
      <c r="E56" s="140"/>
      <c r="F56" s="140"/>
      <c r="G56" s="140"/>
      <c r="H56" s="140"/>
      <c r="I56" s="141"/>
      <c r="J56" s="26"/>
      <c r="L56" s="19"/>
      <c r="M56" s="20"/>
      <c r="N56" s="21"/>
    </row>
    <row r="57" spans="1:22" ht="15.75" customHeight="1">
      <c r="A57" s="32"/>
      <c r="B57" s="100" t="s">
        <v>43</v>
      </c>
      <c r="C57" s="77"/>
      <c r="D57" s="76"/>
      <c r="E57" s="78"/>
      <c r="F57" s="79"/>
      <c r="G57" s="79"/>
      <c r="H57" s="80"/>
      <c r="I57" s="13"/>
      <c r="J57" s="26"/>
      <c r="L57" s="19"/>
      <c r="M57" s="20"/>
      <c r="N57" s="21"/>
    </row>
    <row r="58" spans="1:22" ht="31.5" customHeight="1">
      <c r="A58" s="32">
        <v>18</v>
      </c>
      <c r="B58" s="76" t="s">
        <v>132</v>
      </c>
      <c r="C58" s="77" t="s">
        <v>90</v>
      </c>
      <c r="D58" s="76" t="s">
        <v>112</v>
      </c>
      <c r="E58" s="78">
        <v>30</v>
      </c>
      <c r="F58" s="79">
        <f>SUM(E58*6/100)</f>
        <v>1.8</v>
      </c>
      <c r="G58" s="13">
        <v>1547.28</v>
      </c>
      <c r="H58" s="80">
        <f>SUM(F58*G58/1000)</f>
        <v>2.785104</v>
      </c>
      <c r="I58" s="13">
        <f>F58/6*G58</f>
        <v>464.18399999999997</v>
      </c>
      <c r="J58" s="26"/>
      <c r="L58" s="19"/>
    </row>
    <row r="59" spans="1:22" ht="15.75" hidden="1" customHeight="1">
      <c r="A59" s="32">
        <v>20</v>
      </c>
      <c r="B59" s="85" t="s">
        <v>133</v>
      </c>
      <c r="C59" s="86" t="s">
        <v>134</v>
      </c>
      <c r="D59" s="85" t="s">
        <v>42</v>
      </c>
      <c r="E59" s="87">
        <v>6</v>
      </c>
      <c r="F59" s="88">
        <v>12</v>
      </c>
      <c r="G59" s="13">
        <v>180.78</v>
      </c>
      <c r="H59" s="89">
        <f>G59*F59/1000</f>
        <v>2.1693600000000002</v>
      </c>
      <c r="I59" s="13">
        <f>F59/2*G59</f>
        <v>1084.68</v>
      </c>
    </row>
    <row r="60" spans="1:22" ht="15.75" hidden="1" customHeight="1">
      <c r="A60" s="32">
        <v>18</v>
      </c>
      <c r="B60" s="85" t="s">
        <v>135</v>
      </c>
      <c r="C60" s="86" t="s">
        <v>52</v>
      </c>
      <c r="D60" s="85" t="s">
        <v>40</v>
      </c>
      <c r="E60" s="87">
        <v>6</v>
      </c>
      <c r="F60" s="88">
        <f>E60*4/100</f>
        <v>0.24</v>
      </c>
      <c r="G60" s="13">
        <v>1547.28</v>
      </c>
      <c r="H60" s="89">
        <f>G60*F60/1000</f>
        <v>0.37134719999999999</v>
      </c>
      <c r="I60" s="13">
        <f>F60/4*G60</f>
        <v>92.836799999999997</v>
      </c>
    </row>
    <row r="61" spans="1:22" ht="15.75" customHeight="1">
      <c r="A61" s="32"/>
      <c r="B61" s="101" t="s">
        <v>44</v>
      </c>
      <c r="C61" s="86"/>
      <c r="D61" s="85"/>
      <c r="E61" s="87"/>
      <c r="F61" s="88"/>
      <c r="G61" s="13"/>
      <c r="H61" s="89"/>
      <c r="I61" s="13"/>
    </row>
    <row r="62" spans="1:22" ht="15.75" hidden="1" customHeight="1">
      <c r="A62" s="32">
        <v>22</v>
      </c>
      <c r="B62" s="85" t="s">
        <v>136</v>
      </c>
      <c r="C62" s="86" t="s">
        <v>52</v>
      </c>
      <c r="D62" s="85" t="s">
        <v>53</v>
      </c>
      <c r="E62" s="87">
        <v>997</v>
      </c>
      <c r="F62" s="88">
        <v>9.9700000000000006</v>
      </c>
      <c r="G62" s="13">
        <v>793.61</v>
      </c>
      <c r="H62" s="89">
        <f>F62*G62/1000</f>
        <v>7.9122917000000008</v>
      </c>
      <c r="I62" s="13">
        <f>G62*F62</f>
        <v>7912.2917000000007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customHeight="1">
      <c r="A63" s="32">
        <v>19</v>
      </c>
      <c r="B63" s="85" t="s">
        <v>137</v>
      </c>
      <c r="C63" s="86" t="s">
        <v>25</v>
      </c>
      <c r="D63" s="85" t="s">
        <v>30</v>
      </c>
      <c r="E63" s="87">
        <v>394</v>
      </c>
      <c r="F63" s="90">
        <f>E63*12</f>
        <v>4728</v>
      </c>
      <c r="G63" s="71">
        <v>2.6</v>
      </c>
      <c r="H63" s="88">
        <f>F63*G63/1000</f>
        <v>12.292800000000002</v>
      </c>
      <c r="I63" s="13">
        <f>F63/12*G63</f>
        <v>1024.4000000000001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32"/>
      <c r="B64" s="101" t="s">
        <v>45</v>
      </c>
      <c r="C64" s="86"/>
      <c r="D64" s="85"/>
      <c r="E64" s="87"/>
      <c r="F64" s="90"/>
      <c r="G64" s="90"/>
      <c r="H64" s="88" t="s">
        <v>152</v>
      </c>
      <c r="I64" s="13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32">
        <v>20</v>
      </c>
      <c r="B65" s="14" t="s">
        <v>46</v>
      </c>
      <c r="C65" s="16" t="s">
        <v>111</v>
      </c>
      <c r="D65" s="76" t="s">
        <v>67</v>
      </c>
      <c r="E65" s="18">
        <v>15</v>
      </c>
      <c r="F65" s="79">
        <v>15</v>
      </c>
      <c r="G65" s="13">
        <v>222.4</v>
      </c>
      <c r="H65" s="91">
        <f t="shared" ref="H65:H78" si="6">SUM(F65*G65/1000)</f>
        <v>3.3359999999999999</v>
      </c>
      <c r="I65" s="13">
        <f>G65*2</f>
        <v>444.8</v>
      </c>
      <c r="J65" s="5"/>
      <c r="K65" s="5"/>
      <c r="L65" s="5"/>
      <c r="M65" s="5"/>
      <c r="N65" s="5"/>
      <c r="O65" s="5"/>
      <c r="P65" s="5"/>
      <c r="Q65" s="5"/>
      <c r="R65" s="123"/>
      <c r="S65" s="123"/>
      <c r="T65" s="123"/>
      <c r="U65" s="123"/>
    </row>
    <row r="66" spans="1:21" ht="15.75" hidden="1" customHeight="1">
      <c r="A66" s="32">
        <v>25</v>
      </c>
      <c r="B66" s="14" t="s">
        <v>47</v>
      </c>
      <c r="C66" s="16" t="s">
        <v>111</v>
      </c>
      <c r="D66" s="76" t="s">
        <v>67</v>
      </c>
      <c r="E66" s="18">
        <v>10</v>
      </c>
      <c r="F66" s="79">
        <v>10</v>
      </c>
      <c r="G66" s="13">
        <v>76.25</v>
      </c>
      <c r="H66" s="91">
        <f t="shared" si="6"/>
        <v>0.76249999999999996</v>
      </c>
      <c r="I66" s="13">
        <f>G66</f>
        <v>76.25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48</v>
      </c>
      <c r="C67" s="16" t="s">
        <v>113</v>
      </c>
      <c r="D67" s="14" t="s">
        <v>53</v>
      </c>
      <c r="E67" s="78">
        <v>28608</v>
      </c>
      <c r="F67" s="13">
        <f>SUM(E67/100)</f>
        <v>286.08</v>
      </c>
      <c r="G67" s="13">
        <v>199.77</v>
      </c>
      <c r="H67" s="91">
        <f t="shared" si="6"/>
        <v>57.150201600000003</v>
      </c>
      <c r="I67" s="13">
        <f>F67*G67</f>
        <v>57150.2016</v>
      </c>
    </row>
    <row r="68" spans="1:21" ht="15.75" hidden="1" customHeight="1">
      <c r="A68" s="32"/>
      <c r="B68" s="14" t="s">
        <v>49</v>
      </c>
      <c r="C68" s="16" t="s">
        <v>114</v>
      </c>
      <c r="D68" s="14"/>
      <c r="E68" s="78">
        <v>28608</v>
      </c>
      <c r="F68" s="13">
        <f>SUM(E68/1000)</f>
        <v>28.608000000000001</v>
      </c>
      <c r="G68" s="13">
        <v>155.57</v>
      </c>
      <c r="H68" s="91">
        <f t="shared" si="6"/>
        <v>4.4505465599999994</v>
      </c>
      <c r="I68" s="13">
        <f t="shared" ref="I68:I72" si="7">F68*G68</f>
        <v>4450.5465599999998</v>
      </c>
    </row>
    <row r="69" spans="1:21" ht="15.75" hidden="1" customHeight="1">
      <c r="A69" s="32"/>
      <c r="B69" s="14" t="s">
        <v>50</v>
      </c>
      <c r="C69" s="16" t="s">
        <v>77</v>
      </c>
      <c r="D69" s="14" t="s">
        <v>53</v>
      </c>
      <c r="E69" s="78">
        <v>4550</v>
      </c>
      <c r="F69" s="13">
        <f>SUM(E69/100)</f>
        <v>45.5</v>
      </c>
      <c r="G69" s="13">
        <v>2074.63</v>
      </c>
      <c r="H69" s="91">
        <f t="shared" si="6"/>
        <v>94.395665000000008</v>
      </c>
      <c r="I69" s="13">
        <f t="shared" si="7"/>
        <v>94395.665000000008</v>
      </c>
    </row>
    <row r="70" spans="1:21" ht="15.75" hidden="1" customHeight="1">
      <c r="A70" s="32"/>
      <c r="B70" s="92" t="s">
        <v>115</v>
      </c>
      <c r="C70" s="16" t="s">
        <v>33</v>
      </c>
      <c r="D70" s="14"/>
      <c r="E70" s="78">
        <v>58.5</v>
      </c>
      <c r="F70" s="13">
        <f>SUM(E70)</f>
        <v>58.5</v>
      </c>
      <c r="G70" s="13">
        <v>45.32</v>
      </c>
      <c r="H70" s="91">
        <f t="shared" si="6"/>
        <v>2.6512199999999999</v>
      </c>
      <c r="I70" s="13">
        <f t="shared" si="7"/>
        <v>2651.22</v>
      </c>
    </row>
    <row r="71" spans="1:21" ht="15.75" hidden="1" customHeight="1">
      <c r="A71" s="32"/>
      <c r="B71" s="92" t="s">
        <v>116</v>
      </c>
      <c r="C71" s="16" t="s">
        <v>33</v>
      </c>
      <c r="D71" s="14"/>
      <c r="E71" s="78">
        <v>58.5</v>
      </c>
      <c r="F71" s="13">
        <f>SUM(E71)</f>
        <v>58.5</v>
      </c>
      <c r="G71" s="13">
        <v>42.28</v>
      </c>
      <c r="H71" s="91">
        <f t="shared" si="6"/>
        <v>2.4733800000000001</v>
      </c>
      <c r="I71" s="13">
        <f t="shared" si="7"/>
        <v>2473.38</v>
      </c>
    </row>
    <row r="72" spans="1:21" ht="15.75" hidden="1" customHeight="1">
      <c r="A72" s="32"/>
      <c r="B72" s="14" t="s">
        <v>57</v>
      </c>
      <c r="C72" s="16" t="s">
        <v>58</v>
      </c>
      <c r="D72" s="14" t="s">
        <v>53</v>
      </c>
      <c r="E72" s="18">
        <v>5</v>
      </c>
      <c r="F72" s="79">
        <v>5</v>
      </c>
      <c r="G72" s="13">
        <v>49.88</v>
      </c>
      <c r="H72" s="91">
        <f t="shared" si="6"/>
        <v>0.24940000000000001</v>
      </c>
      <c r="I72" s="13">
        <f t="shared" si="7"/>
        <v>249.4</v>
      </c>
    </row>
    <row r="73" spans="1:21" ht="15.75" customHeight="1">
      <c r="A73" s="32"/>
      <c r="B73" s="64" t="s">
        <v>72</v>
      </c>
      <c r="C73" s="16"/>
      <c r="D73" s="14"/>
      <c r="E73" s="18"/>
      <c r="F73" s="13"/>
      <c r="G73" s="13"/>
      <c r="H73" s="91" t="s">
        <v>152</v>
      </c>
      <c r="I73" s="13"/>
    </row>
    <row r="74" spans="1:21" ht="15.75" customHeight="1">
      <c r="A74" s="32">
        <v>20</v>
      </c>
      <c r="B74" s="14" t="s">
        <v>73</v>
      </c>
      <c r="C74" s="16" t="s">
        <v>75</v>
      </c>
      <c r="D74" s="14"/>
      <c r="E74" s="18">
        <v>10</v>
      </c>
      <c r="F74" s="13">
        <v>1</v>
      </c>
      <c r="G74" s="13">
        <v>501.62</v>
      </c>
      <c r="H74" s="91">
        <f t="shared" si="6"/>
        <v>0.50161999999999995</v>
      </c>
      <c r="I74" s="13">
        <f>G74*1.3</f>
        <v>652.10599999999999</v>
      </c>
    </row>
    <row r="75" spans="1:21" ht="15.75" hidden="1" customHeight="1">
      <c r="A75" s="32"/>
      <c r="B75" s="14" t="s">
        <v>74</v>
      </c>
      <c r="C75" s="16" t="s">
        <v>31</v>
      </c>
      <c r="D75" s="14"/>
      <c r="E75" s="18">
        <v>3</v>
      </c>
      <c r="F75" s="71">
        <v>3</v>
      </c>
      <c r="G75" s="13">
        <v>852.99</v>
      </c>
      <c r="H75" s="91">
        <f>F75*G75/1000</f>
        <v>2.5589700000000004</v>
      </c>
      <c r="I75" s="13">
        <v>0</v>
      </c>
    </row>
    <row r="76" spans="1:21" ht="15.75" hidden="1" customHeight="1">
      <c r="A76" s="32"/>
      <c r="B76" s="14" t="s">
        <v>118</v>
      </c>
      <c r="C76" s="16" t="s">
        <v>31</v>
      </c>
      <c r="D76" s="14"/>
      <c r="E76" s="18">
        <v>1</v>
      </c>
      <c r="F76" s="13">
        <v>1</v>
      </c>
      <c r="G76" s="13">
        <v>358.51</v>
      </c>
      <c r="H76" s="91">
        <f>G76*F76/1000</f>
        <v>0.35851</v>
      </c>
      <c r="I76" s="13">
        <v>0</v>
      </c>
    </row>
    <row r="77" spans="1:21" ht="15.75" hidden="1" customHeight="1">
      <c r="A77" s="32"/>
      <c r="B77" s="94" t="s">
        <v>76</v>
      </c>
      <c r="C77" s="16"/>
      <c r="D77" s="14"/>
      <c r="E77" s="18"/>
      <c r="F77" s="13"/>
      <c r="G77" s="13" t="s">
        <v>152</v>
      </c>
      <c r="H77" s="91" t="s">
        <v>152</v>
      </c>
      <c r="I77" s="13"/>
    </row>
    <row r="78" spans="1:21" ht="15.75" hidden="1" customHeight="1">
      <c r="A78" s="32"/>
      <c r="B78" s="47" t="s">
        <v>170</v>
      </c>
      <c r="C78" s="16" t="s">
        <v>77</v>
      </c>
      <c r="D78" s="14"/>
      <c r="E78" s="18"/>
      <c r="F78" s="13">
        <v>1.2</v>
      </c>
      <c r="G78" s="13">
        <v>2759.44</v>
      </c>
      <c r="H78" s="91">
        <f t="shared" si="6"/>
        <v>3.311328</v>
      </c>
      <c r="I78" s="13">
        <v>0</v>
      </c>
    </row>
    <row r="79" spans="1:21" ht="15.75" hidden="1" customHeight="1">
      <c r="A79" s="32"/>
      <c r="B79" s="70" t="s">
        <v>96</v>
      </c>
      <c r="C79" s="70"/>
      <c r="D79" s="70"/>
      <c r="E79" s="70"/>
      <c r="F79" s="70"/>
      <c r="G79" s="82"/>
      <c r="H79" s="95">
        <f>SUM(H58:H78)</f>
        <v>197.73024405999999</v>
      </c>
      <c r="I79" s="82"/>
    </row>
    <row r="80" spans="1:21" ht="15.75" hidden="1" customHeight="1">
      <c r="A80" s="32"/>
      <c r="B80" s="102" t="s">
        <v>117</v>
      </c>
      <c r="C80" s="23"/>
      <c r="D80" s="22"/>
      <c r="E80" s="72"/>
      <c r="F80" s="103">
        <v>1</v>
      </c>
      <c r="G80" s="13">
        <v>23072.1</v>
      </c>
      <c r="H80" s="91">
        <f>G80*F80/1000</f>
        <v>23.072099999999999</v>
      </c>
      <c r="I80" s="13">
        <v>0</v>
      </c>
    </row>
    <row r="81" spans="1:9" ht="15.75" customHeight="1">
      <c r="A81" s="124" t="s">
        <v>150</v>
      </c>
      <c r="B81" s="125"/>
      <c r="C81" s="125"/>
      <c r="D81" s="125"/>
      <c r="E81" s="125"/>
      <c r="F81" s="125"/>
      <c r="G81" s="125"/>
      <c r="H81" s="125"/>
      <c r="I81" s="126"/>
    </row>
    <row r="82" spans="1:9" ht="15.75" customHeight="1">
      <c r="A82" s="32">
        <v>21</v>
      </c>
      <c r="B82" s="76" t="s">
        <v>119</v>
      </c>
      <c r="C82" s="16" t="s">
        <v>54</v>
      </c>
      <c r="D82" s="51" t="s">
        <v>55</v>
      </c>
      <c r="E82" s="13">
        <v>6980.3</v>
      </c>
      <c r="F82" s="13">
        <f>SUM(E82*12)</f>
        <v>83763.600000000006</v>
      </c>
      <c r="G82" s="13">
        <v>2.1</v>
      </c>
      <c r="H82" s="91">
        <f>SUM(F82*G82/1000)</f>
        <v>175.90356000000003</v>
      </c>
      <c r="I82" s="13">
        <f>F82/12*G82</f>
        <v>14658.630000000001</v>
      </c>
    </row>
    <row r="83" spans="1:9" ht="31.5" customHeight="1">
      <c r="A83" s="32">
        <v>22</v>
      </c>
      <c r="B83" s="14" t="s">
        <v>78</v>
      </c>
      <c r="C83" s="16"/>
      <c r="D83" s="51" t="s">
        <v>55</v>
      </c>
      <c r="E83" s="78">
        <f>E82</f>
        <v>6980.3</v>
      </c>
      <c r="F83" s="13">
        <f>E83*12</f>
        <v>83763.600000000006</v>
      </c>
      <c r="G83" s="13">
        <v>1.63</v>
      </c>
      <c r="H83" s="91">
        <f>F83*G83/1000</f>
        <v>136.53466800000001</v>
      </c>
      <c r="I83" s="13">
        <f>F83/12*G83</f>
        <v>11377.888999999999</v>
      </c>
    </row>
    <row r="84" spans="1:9" ht="15.75" customHeight="1">
      <c r="A84" s="32"/>
      <c r="B84" s="40" t="s">
        <v>81</v>
      </c>
      <c r="C84" s="94"/>
      <c r="D84" s="93"/>
      <c r="E84" s="82"/>
      <c r="F84" s="82"/>
      <c r="G84" s="82"/>
      <c r="H84" s="95">
        <f>H83</f>
        <v>136.53466800000001</v>
      </c>
      <c r="I84" s="82">
        <f>I16+I17+I18+I20+I21+I24+I25+I26+I27+I38+I39+I40+I42+I43+I44+I45+I54+I58+I63+I74+I82+I83</f>
        <v>102468.55787766665</v>
      </c>
    </row>
    <row r="85" spans="1:9" ht="15.75" customHeight="1">
      <c r="A85" s="135" t="s">
        <v>60</v>
      </c>
      <c r="B85" s="136"/>
      <c r="C85" s="136"/>
      <c r="D85" s="136"/>
      <c r="E85" s="136"/>
      <c r="F85" s="136"/>
      <c r="G85" s="136"/>
      <c r="H85" s="136"/>
      <c r="I85" s="137"/>
    </row>
    <row r="86" spans="1:9" ht="15.75" customHeight="1">
      <c r="A86" s="32">
        <v>23</v>
      </c>
      <c r="B86" s="50" t="s">
        <v>143</v>
      </c>
      <c r="C86" s="62" t="s">
        <v>85</v>
      </c>
      <c r="D86" s="14"/>
      <c r="E86" s="18"/>
      <c r="F86" s="13">
        <v>8</v>
      </c>
      <c r="G86" s="13">
        <v>195.85</v>
      </c>
      <c r="H86" s="91">
        <f>G86*F86/1000</f>
        <v>1.5668</v>
      </c>
      <c r="I86" s="13">
        <f>G86</f>
        <v>195.85</v>
      </c>
    </row>
    <row r="87" spans="1:9" ht="31.5" customHeight="1">
      <c r="A87" s="32">
        <v>24</v>
      </c>
      <c r="B87" s="50" t="s">
        <v>155</v>
      </c>
      <c r="C87" s="62" t="s">
        <v>156</v>
      </c>
      <c r="D87" s="14"/>
      <c r="E87" s="18"/>
      <c r="F87" s="13">
        <v>13</v>
      </c>
      <c r="G87" s="13">
        <v>589.54</v>
      </c>
      <c r="H87" s="91">
        <f t="shared" ref="H87:H89" si="8">G87*F87/1000</f>
        <v>7.6640199999999998</v>
      </c>
      <c r="I87" s="13">
        <f>G87*5</f>
        <v>2947.7</v>
      </c>
    </row>
    <row r="88" spans="1:9" ht="31.5" customHeight="1">
      <c r="A88" s="32">
        <v>25</v>
      </c>
      <c r="B88" s="50" t="s">
        <v>161</v>
      </c>
      <c r="C88" s="62" t="s">
        <v>156</v>
      </c>
      <c r="D88" s="14"/>
      <c r="E88" s="18"/>
      <c r="F88" s="13">
        <v>3</v>
      </c>
      <c r="G88" s="13">
        <v>803.54</v>
      </c>
      <c r="H88" s="91">
        <f t="shared" si="8"/>
        <v>2.4106199999999998</v>
      </c>
      <c r="I88" s="13">
        <f>G88*2</f>
        <v>1607.08</v>
      </c>
    </row>
    <row r="89" spans="1:9" ht="15.75" customHeight="1">
      <c r="A89" s="32">
        <v>26</v>
      </c>
      <c r="B89" s="50" t="s">
        <v>138</v>
      </c>
      <c r="C89" s="62" t="s">
        <v>111</v>
      </c>
      <c r="D89" s="14"/>
      <c r="E89" s="18"/>
      <c r="F89" s="13">
        <v>1080</v>
      </c>
      <c r="G89" s="13">
        <v>53.42</v>
      </c>
      <c r="H89" s="91">
        <f t="shared" si="8"/>
        <v>57.693599999999996</v>
      </c>
      <c r="I89" s="13">
        <f>G89*120</f>
        <v>6410.4000000000005</v>
      </c>
    </row>
    <row r="90" spans="1:9" ht="15.75" customHeight="1">
      <c r="A90" s="32">
        <v>27</v>
      </c>
      <c r="B90" s="98" t="s">
        <v>192</v>
      </c>
      <c r="C90" s="99" t="s">
        <v>142</v>
      </c>
      <c r="D90" s="111"/>
      <c r="E90" s="36"/>
      <c r="F90" s="36">
        <f>(3+4+15+15+15+5+20+20+15+10+15+15+7+6+15+3)/3</f>
        <v>61</v>
      </c>
      <c r="G90" s="36">
        <v>1120.8900000000001</v>
      </c>
      <c r="H90" s="110">
        <f>G90*F90/1000</f>
        <v>68.374290000000002</v>
      </c>
      <c r="I90" s="13">
        <f>G90*((4+15+15+15+5)/3)</f>
        <v>20176.02</v>
      </c>
    </row>
    <row r="91" spans="1:9" ht="31.5" customHeight="1">
      <c r="A91" s="32">
        <v>28</v>
      </c>
      <c r="B91" s="50" t="s">
        <v>195</v>
      </c>
      <c r="C91" s="62" t="s">
        <v>156</v>
      </c>
      <c r="D91" s="47"/>
      <c r="E91" s="13"/>
      <c r="F91" s="13">
        <v>26</v>
      </c>
      <c r="G91" s="13">
        <v>1046.06</v>
      </c>
      <c r="H91" s="91">
        <f t="shared" ref="H91:H99" si="9">G91*F91/1000</f>
        <v>27.197559999999999</v>
      </c>
      <c r="I91" s="13">
        <f>G91*(10+2)</f>
        <v>12552.72</v>
      </c>
    </row>
    <row r="92" spans="1:9" ht="15.75" customHeight="1">
      <c r="A92" s="32">
        <v>29</v>
      </c>
      <c r="B92" s="50" t="s">
        <v>196</v>
      </c>
      <c r="C92" s="62" t="s">
        <v>111</v>
      </c>
      <c r="D92" s="47"/>
      <c r="E92" s="13"/>
      <c r="F92" s="13">
        <v>1</v>
      </c>
      <c r="G92" s="13">
        <v>112</v>
      </c>
      <c r="H92" s="91">
        <f t="shared" si="9"/>
        <v>0.112</v>
      </c>
      <c r="I92" s="13">
        <f>G92</f>
        <v>112</v>
      </c>
    </row>
    <row r="93" spans="1:9" ht="15.75" customHeight="1">
      <c r="A93" s="32">
        <v>30</v>
      </c>
      <c r="B93" s="50" t="s">
        <v>200</v>
      </c>
      <c r="C93" s="62" t="s">
        <v>111</v>
      </c>
      <c r="D93" s="14"/>
      <c r="E93" s="18"/>
      <c r="F93" s="13">
        <v>2</v>
      </c>
      <c r="G93" s="13">
        <v>50</v>
      </c>
      <c r="H93" s="91">
        <f t="shared" si="9"/>
        <v>0.1</v>
      </c>
      <c r="I93" s="13">
        <f>G93</f>
        <v>50</v>
      </c>
    </row>
    <row r="94" spans="1:9" ht="15.75" customHeight="1">
      <c r="A94" s="32">
        <v>31</v>
      </c>
      <c r="B94" s="50" t="s">
        <v>201</v>
      </c>
      <c r="C94" s="62" t="s">
        <v>111</v>
      </c>
      <c r="D94" s="47"/>
      <c r="E94" s="13"/>
      <c r="F94" s="13">
        <v>4</v>
      </c>
      <c r="G94" s="13">
        <v>22</v>
      </c>
      <c r="H94" s="91">
        <f t="shared" si="9"/>
        <v>8.7999999999999995E-2</v>
      </c>
      <c r="I94" s="13">
        <f>G94*3</f>
        <v>66</v>
      </c>
    </row>
    <row r="95" spans="1:9" ht="15.75" customHeight="1">
      <c r="A95" s="32">
        <v>32</v>
      </c>
      <c r="B95" s="50" t="s">
        <v>202</v>
      </c>
      <c r="C95" s="62" t="s">
        <v>111</v>
      </c>
      <c r="D95" s="47"/>
      <c r="E95" s="13"/>
      <c r="F95" s="13">
        <v>5</v>
      </c>
      <c r="G95" s="13">
        <v>22</v>
      </c>
      <c r="H95" s="91">
        <f t="shared" si="9"/>
        <v>0.11</v>
      </c>
      <c r="I95" s="13">
        <f t="shared" ref="I95" si="10">G95*3</f>
        <v>66</v>
      </c>
    </row>
    <row r="96" spans="1:9" ht="31.5" customHeight="1">
      <c r="A96" s="32">
        <v>33</v>
      </c>
      <c r="B96" s="50" t="s">
        <v>203</v>
      </c>
      <c r="C96" s="62" t="s">
        <v>156</v>
      </c>
      <c r="D96" s="47"/>
      <c r="E96" s="13"/>
      <c r="F96" s="13">
        <v>3</v>
      </c>
      <c r="G96" s="13">
        <v>727.73</v>
      </c>
      <c r="H96" s="91">
        <f t="shared" si="9"/>
        <v>2.1831900000000002</v>
      </c>
      <c r="I96" s="13">
        <f>G96*2</f>
        <v>1455.46</v>
      </c>
    </row>
    <row r="97" spans="1:9" ht="15.75" customHeight="1">
      <c r="A97" s="32">
        <v>34</v>
      </c>
      <c r="B97" s="50" t="s">
        <v>197</v>
      </c>
      <c r="C97" s="62" t="s">
        <v>111</v>
      </c>
      <c r="D97" s="14"/>
      <c r="E97" s="18"/>
      <c r="F97" s="13">
        <v>10</v>
      </c>
      <c r="G97" s="13">
        <v>140</v>
      </c>
      <c r="H97" s="91">
        <f t="shared" si="9"/>
        <v>1.4</v>
      </c>
      <c r="I97" s="13">
        <f>G97*(4+2)</f>
        <v>840</v>
      </c>
    </row>
    <row r="98" spans="1:9" ht="15.75" customHeight="1">
      <c r="A98" s="32">
        <v>35</v>
      </c>
      <c r="B98" s="50" t="s">
        <v>162</v>
      </c>
      <c r="C98" s="62" t="s">
        <v>160</v>
      </c>
      <c r="D98" s="14"/>
      <c r="E98" s="18"/>
      <c r="F98" s="13">
        <v>3</v>
      </c>
      <c r="G98" s="13">
        <v>306.37</v>
      </c>
      <c r="H98" s="91">
        <f t="shared" si="9"/>
        <v>0.91910999999999998</v>
      </c>
      <c r="I98" s="13">
        <f>G98*3</f>
        <v>919.11</v>
      </c>
    </row>
    <row r="99" spans="1:9" ht="15.75" customHeight="1">
      <c r="A99" s="32">
        <v>36</v>
      </c>
      <c r="B99" s="50" t="s">
        <v>164</v>
      </c>
      <c r="C99" s="62" t="s">
        <v>111</v>
      </c>
      <c r="D99" s="47"/>
      <c r="E99" s="13"/>
      <c r="F99" s="13">
        <v>3</v>
      </c>
      <c r="G99" s="13">
        <v>40</v>
      </c>
      <c r="H99" s="91">
        <f t="shared" si="9"/>
        <v>0.12</v>
      </c>
      <c r="I99" s="13">
        <f>G99</f>
        <v>40</v>
      </c>
    </row>
    <row r="100" spans="1:9" ht="15.75" customHeight="1">
      <c r="A100" s="32">
        <v>37</v>
      </c>
      <c r="B100" s="50" t="s">
        <v>199</v>
      </c>
      <c r="C100" s="62" t="s">
        <v>111</v>
      </c>
      <c r="D100" s="47"/>
      <c r="E100" s="13"/>
      <c r="F100" s="13">
        <v>1</v>
      </c>
      <c r="G100" s="13">
        <v>108</v>
      </c>
      <c r="H100" s="91">
        <f>G100*F100/1000</f>
        <v>0.108</v>
      </c>
      <c r="I100" s="13">
        <f t="shared" ref="I100" si="11">G100</f>
        <v>108</v>
      </c>
    </row>
    <row r="101" spans="1:9" ht="32.25" customHeight="1">
      <c r="A101" s="32">
        <v>38</v>
      </c>
      <c r="B101" s="61" t="s">
        <v>166</v>
      </c>
      <c r="C101" s="32" t="s">
        <v>82</v>
      </c>
      <c r="D101" s="14"/>
      <c r="E101" s="18"/>
      <c r="F101" s="13">
        <v>41.5</v>
      </c>
      <c r="G101" s="13">
        <v>1272</v>
      </c>
      <c r="H101" s="91">
        <f>G101*F101/1000</f>
        <v>52.787999999999997</v>
      </c>
      <c r="I101" s="13">
        <f>G101*(8+5)</f>
        <v>16536</v>
      </c>
    </row>
    <row r="102" spans="1:9" ht="15.75" customHeight="1">
      <c r="A102" s="32">
        <v>39</v>
      </c>
      <c r="B102" s="50" t="s">
        <v>83</v>
      </c>
      <c r="C102" s="62" t="s">
        <v>111</v>
      </c>
      <c r="D102" s="14"/>
      <c r="E102" s="18"/>
      <c r="F102" s="13">
        <v>11</v>
      </c>
      <c r="G102" s="13">
        <v>189.88</v>
      </c>
      <c r="H102" s="91">
        <f>G102*F102/1000</f>
        <v>2.0886799999999996</v>
      </c>
      <c r="I102" s="13">
        <f>G102*2</f>
        <v>379.76</v>
      </c>
    </row>
    <row r="103" spans="1:9" ht="15.75" customHeight="1">
      <c r="A103" s="32">
        <v>40</v>
      </c>
      <c r="B103" s="50" t="s">
        <v>140</v>
      </c>
      <c r="C103" s="62" t="s">
        <v>198</v>
      </c>
      <c r="D103" s="47"/>
      <c r="E103" s="13"/>
      <c r="F103" s="13">
        <v>1</v>
      </c>
      <c r="G103" s="13">
        <v>1102.53</v>
      </c>
      <c r="H103" s="91">
        <f>G103*F103/1000</f>
        <v>1.10253</v>
      </c>
      <c r="I103" s="13">
        <f t="shared" ref="I103" si="12">G103</f>
        <v>1102.53</v>
      </c>
    </row>
    <row r="104" spans="1:9" ht="15.75" customHeight="1">
      <c r="A104" s="32"/>
      <c r="B104" s="45" t="s">
        <v>51</v>
      </c>
      <c r="C104" s="41"/>
      <c r="D104" s="48"/>
      <c r="E104" s="41">
        <v>1</v>
      </c>
      <c r="F104" s="41"/>
      <c r="G104" s="41"/>
      <c r="H104" s="41"/>
      <c r="I104" s="34">
        <f>SUM(I86:I103)</f>
        <v>65564.63</v>
      </c>
    </row>
    <row r="105" spans="1:9">
      <c r="A105" s="32"/>
      <c r="B105" s="47" t="s">
        <v>79</v>
      </c>
      <c r="C105" s="15"/>
      <c r="D105" s="15"/>
      <c r="E105" s="42"/>
      <c r="F105" s="42"/>
      <c r="G105" s="43"/>
      <c r="H105" s="43"/>
      <c r="I105" s="17">
        <v>0</v>
      </c>
    </row>
    <row r="106" spans="1:9">
      <c r="A106" s="49"/>
      <c r="B106" s="46" t="s">
        <v>189</v>
      </c>
      <c r="C106" s="35"/>
      <c r="D106" s="35"/>
      <c r="E106" s="35"/>
      <c r="F106" s="35"/>
      <c r="G106" s="35"/>
      <c r="H106" s="35"/>
      <c r="I106" s="44">
        <f>I84+I104</f>
        <v>168033.18787766667</v>
      </c>
    </row>
    <row r="107" spans="1:9" ht="15.75">
      <c r="A107" s="127" t="s">
        <v>204</v>
      </c>
      <c r="B107" s="127"/>
      <c r="C107" s="127"/>
      <c r="D107" s="127"/>
      <c r="E107" s="127"/>
      <c r="F107" s="127"/>
      <c r="G107" s="127"/>
      <c r="H107" s="127"/>
      <c r="I107" s="127"/>
    </row>
    <row r="108" spans="1:9" ht="15.75" customHeight="1">
      <c r="A108" s="60"/>
      <c r="B108" s="128" t="s">
        <v>205</v>
      </c>
      <c r="C108" s="128"/>
      <c r="D108" s="128"/>
      <c r="E108" s="128"/>
      <c r="F108" s="128"/>
      <c r="G108" s="128"/>
      <c r="H108" s="75"/>
      <c r="I108" s="3"/>
    </row>
    <row r="109" spans="1:9">
      <c r="A109" s="69"/>
      <c r="B109" s="129" t="s">
        <v>6</v>
      </c>
      <c r="C109" s="129"/>
      <c r="D109" s="129"/>
      <c r="E109" s="129"/>
      <c r="F109" s="129"/>
      <c r="G109" s="129"/>
      <c r="H109" s="27"/>
      <c r="I109" s="5"/>
    </row>
    <row r="110" spans="1:9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ht="15.75">
      <c r="A111" s="130" t="s">
        <v>7</v>
      </c>
      <c r="B111" s="130"/>
      <c r="C111" s="130"/>
      <c r="D111" s="130"/>
      <c r="E111" s="130"/>
      <c r="F111" s="130"/>
      <c r="G111" s="130"/>
      <c r="H111" s="130"/>
      <c r="I111" s="130"/>
    </row>
    <row r="112" spans="1:9" ht="15.75">
      <c r="A112" s="130" t="s">
        <v>8</v>
      </c>
      <c r="B112" s="130"/>
      <c r="C112" s="130"/>
      <c r="D112" s="130"/>
      <c r="E112" s="130"/>
      <c r="F112" s="130"/>
      <c r="G112" s="130"/>
      <c r="H112" s="130"/>
      <c r="I112" s="130"/>
    </row>
    <row r="113" spans="1:9" ht="15.75">
      <c r="A113" s="131" t="s">
        <v>61</v>
      </c>
      <c r="B113" s="131"/>
      <c r="C113" s="131"/>
      <c r="D113" s="131"/>
      <c r="E113" s="131"/>
      <c r="F113" s="131"/>
      <c r="G113" s="131"/>
      <c r="H113" s="131"/>
      <c r="I113" s="131"/>
    </row>
    <row r="114" spans="1:9" ht="15.75">
      <c r="A114" s="11"/>
    </row>
    <row r="115" spans="1:9" ht="15.75">
      <c r="A115" s="132" t="s">
        <v>9</v>
      </c>
      <c r="B115" s="132"/>
      <c r="C115" s="132"/>
      <c r="D115" s="132"/>
      <c r="E115" s="132"/>
      <c r="F115" s="132"/>
      <c r="G115" s="132"/>
      <c r="H115" s="132"/>
      <c r="I115" s="132"/>
    </row>
    <row r="116" spans="1:9" ht="15.75" customHeight="1">
      <c r="A116" s="4"/>
    </row>
    <row r="117" spans="1:9" ht="15.75" customHeight="1">
      <c r="B117" s="66" t="s">
        <v>10</v>
      </c>
      <c r="C117" s="133" t="s">
        <v>144</v>
      </c>
      <c r="D117" s="133"/>
      <c r="E117" s="133"/>
      <c r="F117" s="73"/>
      <c r="I117" s="68"/>
    </row>
    <row r="118" spans="1:9" ht="15.75" customHeight="1">
      <c r="A118" s="69"/>
      <c r="C118" s="129" t="s">
        <v>11</v>
      </c>
      <c r="D118" s="129"/>
      <c r="E118" s="129"/>
      <c r="F118" s="27"/>
      <c r="I118" s="67" t="s">
        <v>12</v>
      </c>
    </row>
    <row r="119" spans="1:9" ht="15.75" customHeight="1">
      <c r="A119" s="28"/>
      <c r="C119" s="12"/>
      <c r="D119" s="12"/>
      <c r="G119" s="12"/>
      <c r="H119" s="12"/>
    </row>
    <row r="120" spans="1:9" ht="15.75">
      <c r="B120" s="66" t="s">
        <v>13</v>
      </c>
      <c r="C120" s="134"/>
      <c r="D120" s="134"/>
      <c r="E120" s="134"/>
      <c r="F120" s="74"/>
      <c r="I120" s="68"/>
    </row>
    <row r="121" spans="1:9">
      <c r="A121" s="69"/>
      <c r="C121" s="123" t="s">
        <v>11</v>
      </c>
      <c r="D121" s="123"/>
      <c r="E121" s="123"/>
      <c r="F121" s="69"/>
      <c r="I121" s="67" t="s">
        <v>12</v>
      </c>
    </row>
    <row r="122" spans="1:9" ht="15.75">
      <c r="A122" s="4" t="s">
        <v>14</v>
      </c>
    </row>
    <row r="123" spans="1:9">
      <c r="A123" s="121" t="s">
        <v>15</v>
      </c>
      <c r="B123" s="121"/>
      <c r="C123" s="121"/>
      <c r="D123" s="121"/>
      <c r="E123" s="121"/>
      <c r="F123" s="121"/>
      <c r="G123" s="121"/>
      <c r="H123" s="121"/>
      <c r="I123" s="121"/>
    </row>
    <row r="124" spans="1:9" ht="45" customHeight="1">
      <c r="A124" s="122" t="s">
        <v>16</v>
      </c>
      <c r="B124" s="122"/>
      <c r="C124" s="122"/>
      <c r="D124" s="122"/>
      <c r="E124" s="122"/>
      <c r="F124" s="122"/>
      <c r="G124" s="122"/>
      <c r="H124" s="122"/>
      <c r="I124" s="122"/>
    </row>
    <row r="125" spans="1:9" ht="30" customHeight="1">
      <c r="A125" s="122" t="s">
        <v>17</v>
      </c>
      <c r="B125" s="122"/>
      <c r="C125" s="122"/>
      <c r="D125" s="122"/>
      <c r="E125" s="122"/>
      <c r="F125" s="122"/>
      <c r="G125" s="122"/>
      <c r="H125" s="122"/>
      <c r="I125" s="122"/>
    </row>
    <row r="126" spans="1:9" ht="30" customHeight="1">
      <c r="A126" s="122" t="s">
        <v>21</v>
      </c>
      <c r="B126" s="122"/>
      <c r="C126" s="122"/>
      <c r="D126" s="122"/>
      <c r="E126" s="122"/>
      <c r="F126" s="122"/>
      <c r="G126" s="122"/>
      <c r="H126" s="122"/>
      <c r="I126" s="122"/>
    </row>
    <row r="127" spans="1:9" ht="15" customHeight="1">
      <c r="A127" s="122" t="s">
        <v>20</v>
      </c>
      <c r="B127" s="122"/>
      <c r="C127" s="122"/>
      <c r="D127" s="122"/>
      <c r="E127" s="122"/>
      <c r="F127" s="122"/>
      <c r="G127" s="122"/>
      <c r="H127" s="122"/>
      <c r="I127" s="122"/>
    </row>
  </sheetData>
  <autoFilter ref="I12:I60"/>
  <mergeCells count="29">
    <mergeCell ref="A124:I124"/>
    <mergeCell ref="A125:I125"/>
    <mergeCell ref="A126:I126"/>
    <mergeCell ref="A127:I127"/>
    <mergeCell ref="A115:I115"/>
    <mergeCell ref="C117:E117"/>
    <mergeCell ref="C118:E118"/>
    <mergeCell ref="C120:E120"/>
    <mergeCell ref="C121:E121"/>
    <mergeCell ref="A123:I123"/>
    <mergeCell ref="A113:I113"/>
    <mergeCell ref="A15:I15"/>
    <mergeCell ref="A28:I28"/>
    <mergeCell ref="A46:I46"/>
    <mergeCell ref="A56:I56"/>
    <mergeCell ref="A85:I85"/>
    <mergeCell ref="A107:I107"/>
    <mergeCell ref="B108:G108"/>
    <mergeCell ref="B109:G109"/>
    <mergeCell ref="A111:I111"/>
    <mergeCell ref="A112:I112"/>
    <mergeCell ref="R65:U65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23"/>
  <sheetViews>
    <sheetView topLeftCell="A85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88</v>
      </c>
      <c r="I1" s="29"/>
      <c r="J1" s="1"/>
      <c r="K1" s="1"/>
      <c r="L1" s="1"/>
      <c r="M1" s="1"/>
    </row>
    <row r="2" spans="1:13" ht="15.75">
      <c r="A2" s="31" t="s">
        <v>62</v>
      </c>
      <c r="J2" s="2"/>
      <c r="K2" s="2"/>
      <c r="L2" s="2"/>
      <c r="M2" s="2"/>
    </row>
    <row r="3" spans="1:13" ht="15.75" customHeight="1">
      <c r="A3" s="143" t="s">
        <v>173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141</v>
      </c>
      <c r="B4" s="144"/>
      <c r="C4" s="144"/>
      <c r="D4" s="144"/>
      <c r="E4" s="144"/>
      <c r="F4" s="144"/>
      <c r="G4" s="144"/>
      <c r="H4" s="144"/>
      <c r="I4" s="144"/>
    </row>
    <row r="5" spans="1:13" ht="15.75">
      <c r="A5" s="143" t="s">
        <v>206</v>
      </c>
      <c r="B5" s="145"/>
      <c r="C5" s="145"/>
      <c r="D5" s="145"/>
      <c r="E5" s="145"/>
      <c r="F5" s="145"/>
      <c r="G5" s="145"/>
      <c r="H5" s="145"/>
      <c r="I5" s="145"/>
      <c r="J5" s="2"/>
      <c r="K5" s="2"/>
      <c r="L5" s="2"/>
      <c r="M5" s="2"/>
    </row>
    <row r="6" spans="1:13" ht="15.75">
      <c r="A6" s="2"/>
      <c r="B6" s="65"/>
      <c r="C6" s="65"/>
      <c r="D6" s="65"/>
      <c r="E6" s="65"/>
      <c r="F6" s="65"/>
      <c r="G6" s="65"/>
      <c r="H6" s="65"/>
      <c r="I6" s="33">
        <v>42855</v>
      </c>
      <c r="J6" s="2"/>
      <c r="K6" s="2"/>
      <c r="L6" s="2"/>
      <c r="M6" s="2"/>
    </row>
    <row r="7" spans="1:13" ht="15.75">
      <c r="B7" s="66"/>
      <c r="C7" s="66"/>
      <c r="D7" s="6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6" t="s">
        <v>147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7" t="s">
        <v>182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2" t="s">
        <v>59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32">
        <v>1</v>
      </c>
      <c r="B16" s="76" t="s">
        <v>89</v>
      </c>
      <c r="C16" s="77" t="s">
        <v>90</v>
      </c>
      <c r="D16" s="76" t="s">
        <v>186</v>
      </c>
      <c r="E16" s="78">
        <v>208.08</v>
      </c>
      <c r="F16" s="79">
        <f>SUM(E16*156/100)</f>
        <v>324.60480000000001</v>
      </c>
      <c r="G16" s="79">
        <v>175.38</v>
      </c>
      <c r="H16" s="80">
        <f t="shared" ref="H16:H25" si="0">SUM(F16*G16/1000)</f>
        <v>56.929189823999998</v>
      </c>
      <c r="I16" s="13">
        <f>F16/12*G16</f>
        <v>4744.0991519999998</v>
      </c>
      <c r="J16" s="24"/>
      <c r="K16" s="8"/>
      <c r="L16" s="8"/>
      <c r="M16" s="8"/>
    </row>
    <row r="17" spans="1:13" ht="15.75" customHeight="1">
      <c r="A17" s="32">
        <v>2</v>
      </c>
      <c r="B17" s="76" t="s">
        <v>120</v>
      </c>
      <c r="C17" s="77" t="s">
        <v>90</v>
      </c>
      <c r="D17" s="76" t="s">
        <v>185</v>
      </c>
      <c r="E17" s="78">
        <v>832.32</v>
      </c>
      <c r="F17" s="79">
        <f>SUM(E17*104/100)</f>
        <v>865.61279999999999</v>
      </c>
      <c r="G17" s="79">
        <v>175.38</v>
      </c>
      <c r="H17" s="80">
        <f t="shared" si="0"/>
        <v>151.81117286399999</v>
      </c>
      <c r="I17" s="13">
        <f>F17/12*G17</f>
        <v>12650.931071999999</v>
      </c>
      <c r="J17" s="25"/>
      <c r="K17" s="8"/>
      <c r="L17" s="8"/>
      <c r="M17" s="8"/>
    </row>
    <row r="18" spans="1:13" ht="15.75" customHeight="1">
      <c r="A18" s="32">
        <v>3</v>
      </c>
      <c r="B18" s="76" t="s">
        <v>121</v>
      </c>
      <c r="C18" s="77" t="s">
        <v>90</v>
      </c>
      <c r="D18" s="76" t="s">
        <v>184</v>
      </c>
      <c r="E18" s="78">
        <v>1040.4000000000001</v>
      </c>
      <c r="F18" s="79">
        <f>SUM(E18*24/100)</f>
        <v>249.69600000000003</v>
      </c>
      <c r="G18" s="79">
        <v>504.5</v>
      </c>
      <c r="H18" s="80">
        <f t="shared" si="0"/>
        <v>125.97163200000001</v>
      </c>
      <c r="I18" s="13">
        <f>F18/12*G18</f>
        <v>10497.636000000002</v>
      </c>
      <c r="J18" s="25"/>
      <c r="K18" s="8"/>
      <c r="L18" s="8"/>
      <c r="M18" s="8"/>
    </row>
    <row r="19" spans="1:13" ht="15.75" hidden="1" customHeight="1">
      <c r="A19" s="32"/>
      <c r="B19" s="76" t="s">
        <v>97</v>
      </c>
      <c r="C19" s="77" t="s">
        <v>98</v>
      </c>
      <c r="D19" s="76" t="s">
        <v>99</v>
      </c>
      <c r="E19" s="78">
        <v>48</v>
      </c>
      <c r="F19" s="79">
        <f>SUM(E19/10)</f>
        <v>4.8</v>
      </c>
      <c r="G19" s="79">
        <v>170.16</v>
      </c>
      <c r="H19" s="80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76" t="s">
        <v>100</v>
      </c>
      <c r="C20" s="77" t="s">
        <v>90</v>
      </c>
      <c r="D20" s="76" t="s">
        <v>122</v>
      </c>
      <c r="E20" s="78">
        <v>30.6</v>
      </c>
      <c r="F20" s="79">
        <f>SUM(E20*12/100)</f>
        <v>3.6720000000000006</v>
      </c>
      <c r="G20" s="79">
        <v>217.88</v>
      </c>
      <c r="H20" s="80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customHeight="1">
      <c r="A21" s="32">
        <v>5</v>
      </c>
      <c r="B21" s="76" t="s">
        <v>101</v>
      </c>
      <c r="C21" s="77" t="s">
        <v>90</v>
      </c>
      <c r="D21" s="76" t="s">
        <v>30</v>
      </c>
      <c r="E21" s="78">
        <v>10.06</v>
      </c>
      <c r="F21" s="79">
        <f>SUM(E21*12/100)</f>
        <v>1.2072000000000001</v>
      </c>
      <c r="G21" s="79">
        <v>216.12</v>
      </c>
      <c r="H21" s="80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6" t="s">
        <v>102</v>
      </c>
      <c r="C22" s="77" t="s">
        <v>52</v>
      </c>
      <c r="D22" s="76" t="s">
        <v>99</v>
      </c>
      <c r="E22" s="78">
        <v>769.2</v>
      </c>
      <c r="F22" s="79">
        <f>SUM(E22/100)</f>
        <v>7.6920000000000002</v>
      </c>
      <c r="G22" s="79">
        <v>269.26</v>
      </c>
      <c r="H22" s="80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6" t="s">
        <v>103</v>
      </c>
      <c r="C23" s="77" t="s">
        <v>52</v>
      </c>
      <c r="D23" s="76" t="s">
        <v>99</v>
      </c>
      <c r="E23" s="81">
        <v>35.28</v>
      </c>
      <c r="F23" s="79">
        <f>SUM(E23/100)</f>
        <v>0.3528</v>
      </c>
      <c r="G23" s="79">
        <v>44.29</v>
      </c>
      <c r="H23" s="80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customHeight="1">
      <c r="A24" s="32">
        <v>6</v>
      </c>
      <c r="B24" s="76" t="s">
        <v>104</v>
      </c>
      <c r="C24" s="77" t="s">
        <v>52</v>
      </c>
      <c r="D24" s="76" t="s">
        <v>30</v>
      </c>
      <c r="E24" s="78">
        <v>10.8</v>
      </c>
      <c r="F24" s="79">
        <f>E24*12/100</f>
        <v>1.2960000000000003</v>
      </c>
      <c r="G24" s="79">
        <v>389.72</v>
      </c>
      <c r="H24" s="80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customHeight="1">
      <c r="A25" s="32">
        <v>7</v>
      </c>
      <c r="B25" s="76" t="s">
        <v>105</v>
      </c>
      <c r="C25" s="77" t="s">
        <v>52</v>
      </c>
      <c r="D25" s="76" t="s">
        <v>123</v>
      </c>
      <c r="E25" s="78">
        <v>21.6</v>
      </c>
      <c r="F25" s="79">
        <f>SUM(E25*12/100)</f>
        <v>2.5920000000000005</v>
      </c>
      <c r="G25" s="79">
        <v>520.79999999999995</v>
      </c>
      <c r="H25" s="80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8</v>
      </c>
      <c r="B26" s="76" t="s">
        <v>64</v>
      </c>
      <c r="C26" s="77" t="s">
        <v>33</v>
      </c>
      <c r="D26" s="76" t="s">
        <v>183</v>
      </c>
      <c r="E26" s="78">
        <v>0.1</v>
      </c>
      <c r="F26" s="79">
        <f>SUM(E26*365)</f>
        <v>36.5</v>
      </c>
      <c r="G26" s="79">
        <v>147.03</v>
      </c>
      <c r="H26" s="80">
        <f>SUM(F26*G26/1000)</f>
        <v>5.3665950000000002</v>
      </c>
      <c r="I26" s="13">
        <f>F26/12*G26</f>
        <v>447.21625</v>
      </c>
      <c r="J26" s="26"/>
    </row>
    <row r="27" spans="1:13" ht="15.75" customHeight="1">
      <c r="A27" s="32">
        <v>9</v>
      </c>
      <c r="B27" s="84" t="s">
        <v>23</v>
      </c>
      <c r="C27" s="77" t="s">
        <v>24</v>
      </c>
      <c r="D27" s="76" t="s">
        <v>183</v>
      </c>
      <c r="E27" s="78">
        <v>6980.3</v>
      </c>
      <c r="F27" s="79">
        <f>SUM(E27*12)</f>
        <v>83763.600000000006</v>
      </c>
      <c r="G27" s="79">
        <v>4.4000000000000004</v>
      </c>
      <c r="H27" s="80">
        <f>SUM(F27*G27/1000)</f>
        <v>368.55984000000007</v>
      </c>
      <c r="I27" s="13">
        <f>F27/12*G27</f>
        <v>30713.320000000003</v>
      </c>
      <c r="J27" s="26"/>
    </row>
    <row r="28" spans="1:13" ht="15" customHeight="1">
      <c r="A28" s="138" t="s">
        <v>87</v>
      </c>
      <c r="B28" s="138"/>
      <c r="C28" s="138"/>
      <c r="D28" s="138"/>
      <c r="E28" s="138"/>
      <c r="F28" s="138"/>
      <c r="G28" s="138"/>
      <c r="H28" s="138"/>
      <c r="I28" s="138"/>
      <c r="J28" s="25"/>
      <c r="K28" s="8"/>
      <c r="L28" s="8"/>
      <c r="M28" s="8"/>
    </row>
    <row r="29" spans="1:13" ht="15.75" hidden="1" customHeight="1">
      <c r="A29" s="32"/>
      <c r="B29" s="100" t="s">
        <v>28</v>
      </c>
      <c r="C29" s="77"/>
      <c r="D29" s="76"/>
      <c r="E29" s="78"/>
      <c r="F29" s="79"/>
      <c r="G29" s="79"/>
      <c r="H29" s="80"/>
      <c r="I29" s="13"/>
      <c r="J29" s="25"/>
      <c r="K29" s="8"/>
      <c r="L29" s="8"/>
      <c r="M29" s="8"/>
    </row>
    <row r="30" spans="1:13" ht="31.5" hidden="1" customHeight="1">
      <c r="A30" s="32">
        <v>10</v>
      </c>
      <c r="B30" s="76" t="s">
        <v>109</v>
      </c>
      <c r="C30" s="77" t="s">
        <v>92</v>
      </c>
      <c r="D30" s="76" t="s">
        <v>106</v>
      </c>
      <c r="E30" s="79">
        <v>1168.05</v>
      </c>
      <c r="F30" s="79">
        <f>SUM(E30*52/1000)</f>
        <v>60.738599999999998</v>
      </c>
      <c r="G30" s="79">
        <v>155.88999999999999</v>
      </c>
      <c r="H30" s="80">
        <f t="shared" ref="H30:H36" si="1">SUM(F30*G30/1000)</f>
        <v>9.4685403539999982</v>
      </c>
      <c r="I30" s="13">
        <f>F30/6*G30</f>
        <v>1578.0900589999997</v>
      </c>
      <c r="J30" s="25"/>
      <c r="K30" s="8"/>
      <c r="L30" s="8"/>
      <c r="M30" s="8"/>
    </row>
    <row r="31" spans="1:13" ht="31.5" hidden="1" customHeight="1">
      <c r="A31" s="32">
        <v>11</v>
      </c>
      <c r="B31" s="76" t="s">
        <v>125</v>
      </c>
      <c r="C31" s="77" t="s">
        <v>92</v>
      </c>
      <c r="D31" s="76" t="s">
        <v>107</v>
      </c>
      <c r="E31" s="79">
        <v>1039.2</v>
      </c>
      <c r="F31" s="79">
        <f>SUM(E31*78/1000)</f>
        <v>81.057600000000008</v>
      </c>
      <c r="G31" s="79">
        <v>258.63</v>
      </c>
      <c r="H31" s="80">
        <f t="shared" si="1"/>
        <v>20.963927088000002</v>
      </c>
      <c r="I31" s="13">
        <f t="shared" ref="I31:I34" si="2">F31/6*G31</f>
        <v>3493.9878480000002</v>
      </c>
      <c r="J31" s="25"/>
      <c r="K31" s="8"/>
      <c r="L31" s="8"/>
      <c r="M31" s="8"/>
    </row>
    <row r="32" spans="1:13" ht="15.75" hidden="1" customHeight="1">
      <c r="A32" s="32">
        <v>16</v>
      </c>
      <c r="B32" s="76" t="s">
        <v>27</v>
      </c>
      <c r="C32" s="77" t="s">
        <v>92</v>
      </c>
      <c r="D32" s="76" t="s">
        <v>53</v>
      </c>
      <c r="E32" s="79">
        <v>584.03</v>
      </c>
      <c r="F32" s="79">
        <f>SUM(E32/1000)</f>
        <v>0.58402999999999994</v>
      </c>
      <c r="G32" s="79">
        <v>3020.33</v>
      </c>
      <c r="H32" s="80">
        <f t="shared" si="1"/>
        <v>1.7639633298999997</v>
      </c>
      <c r="I32" s="13">
        <f>F32*G32</f>
        <v>1763.9633298999997</v>
      </c>
      <c r="J32" s="25"/>
      <c r="K32" s="8"/>
      <c r="L32" s="8"/>
      <c r="M32" s="8"/>
    </row>
    <row r="33" spans="1:14" ht="15.75" hidden="1" customHeight="1">
      <c r="A33" s="32">
        <v>12</v>
      </c>
      <c r="B33" s="76" t="s">
        <v>124</v>
      </c>
      <c r="C33" s="77" t="s">
        <v>39</v>
      </c>
      <c r="D33" s="76" t="s">
        <v>63</v>
      </c>
      <c r="E33" s="79">
        <v>6</v>
      </c>
      <c r="F33" s="79">
        <f>E33*155/100</f>
        <v>9.3000000000000007</v>
      </c>
      <c r="G33" s="79">
        <v>1302.02</v>
      </c>
      <c r="H33" s="80">
        <f>G33*F33/1000</f>
        <v>12.108786</v>
      </c>
      <c r="I33" s="13">
        <f t="shared" si="2"/>
        <v>2018.1310000000001</v>
      </c>
      <c r="J33" s="25"/>
      <c r="K33" s="8"/>
      <c r="L33" s="8"/>
      <c r="M33" s="8"/>
    </row>
    <row r="34" spans="1:14" ht="15.75" hidden="1" customHeight="1">
      <c r="A34" s="32">
        <v>13</v>
      </c>
      <c r="B34" s="76" t="s">
        <v>108</v>
      </c>
      <c r="C34" s="77" t="s">
        <v>31</v>
      </c>
      <c r="D34" s="76" t="s">
        <v>63</v>
      </c>
      <c r="E34" s="83">
        <v>0.33333333333333331</v>
      </c>
      <c r="F34" s="79">
        <f>155/3</f>
        <v>51.666666666666664</v>
      </c>
      <c r="G34" s="79">
        <v>56.69</v>
      </c>
      <c r="H34" s="80">
        <f>SUM(G34*155/3/1000)</f>
        <v>2.9289833333333331</v>
      </c>
      <c r="I34" s="13">
        <f t="shared" si="2"/>
        <v>488.16388888888883</v>
      </c>
      <c r="J34" s="25"/>
      <c r="K34" s="8"/>
    </row>
    <row r="35" spans="1:14" ht="15.75" hidden="1" customHeight="1">
      <c r="A35" s="32"/>
      <c r="B35" s="76" t="s">
        <v>65</v>
      </c>
      <c r="C35" s="77" t="s">
        <v>33</v>
      </c>
      <c r="D35" s="76" t="s">
        <v>67</v>
      </c>
      <c r="E35" s="78"/>
      <c r="F35" s="79">
        <v>4</v>
      </c>
      <c r="G35" s="79">
        <v>180.15</v>
      </c>
      <c r="H35" s="80">
        <f t="shared" si="1"/>
        <v>0.72060000000000002</v>
      </c>
      <c r="I35" s="13">
        <v>0</v>
      </c>
      <c r="J35" s="26"/>
    </row>
    <row r="36" spans="1:14" ht="15.75" hidden="1" customHeight="1">
      <c r="A36" s="32"/>
      <c r="B36" s="76" t="s">
        <v>66</v>
      </c>
      <c r="C36" s="77" t="s">
        <v>32</v>
      </c>
      <c r="D36" s="76" t="s">
        <v>67</v>
      </c>
      <c r="E36" s="78"/>
      <c r="F36" s="79">
        <v>3</v>
      </c>
      <c r="G36" s="79">
        <v>1136.33</v>
      </c>
      <c r="H36" s="80">
        <f t="shared" si="1"/>
        <v>3.4089899999999997</v>
      </c>
      <c r="I36" s="13">
        <v>0</v>
      </c>
      <c r="J36" s="26"/>
    </row>
    <row r="37" spans="1:14" ht="15.75" customHeight="1">
      <c r="A37" s="32"/>
      <c r="B37" s="100" t="s">
        <v>5</v>
      </c>
      <c r="C37" s="77"/>
      <c r="D37" s="76"/>
      <c r="E37" s="78"/>
      <c r="F37" s="79"/>
      <c r="G37" s="79"/>
      <c r="H37" s="80" t="s">
        <v>152</v>
      </c>
      <c r="I37" s="13"/>
      <c r="J37" s="26"/>
    </row>
    <row r="38" spans="1:14" ht="15.75" customHeight="1">
      <c r="A38" s="32">
        <v>10</v>
      </c>
      <c r="B38" s="76" t="s">
        <v>26</v>
      </c>
      <c r="C38" s="77" t="s">
        <v>32</v>
      </c>
      <c r="D38" s="76"/>
      <c r="E38" s="78"/>
      <c r="F38" s="79">
        <v>10</v>
      </c>
      <c r="G38" s="79">
        <v>1527.22</v>
      </c>
      <c r="H38" s="80">
        <f t="shared" ref="H38:H45" si="3">SUM(F38*G38/1000)</f>
        <v>15.272200000000002</v>
      </c>
      <c r="I38" s="13">
        <f>F38/6*G38</f>
        <v>2545.3666666666668</v>
      </c>
      <c r="J38" s="26"/>
    </row>
    <row r="39" spans="1:14" ht="15.75" customHeight="1">
      <c r="A39" s="32">
        <v>11</v>
      </c>
      <c r="B39" s="76" t="s">
        <v>126</v>
      </c>
      <c r="C39" s="77" t="s">
        <v>33</v>
      </c>
      <c r="D39" s="76"/>
      <c r="E39" s="78"/>
      <c r="F39" s="79">
        <v>10</v>
      </c>
      <c r="G39" s="79">
        <v>77.94</v>
      </c>
      <c r="H39" s="80">
        <f>G39*F39/1000</f>
        <v>0.77939999999999998</v>
      </c>
      <c r="I39" s="13">
        <f>F39/6*G39</f>
        <v>129.9</v>
      </c>
      <c r="J39" s="26"/>
      <c r="L39" s="19"/>
      <c r="M39" s="20"/>
      <c r="N39" s="21"/>
    </row>
    <row r="40" spans="1:14" ht="15.75" customHeight="1">
      <c r="A40" s="32">
        <v>12</v>
      </c>
      <c r="B40" s="76" t="s">
        <v>110</v>
      </c>
      <c r="C40" s="77" t="s">
        <v>29</v>
      </c>
      <c r="D40" s="76" t="s">
        <v>127</v>
      </c>
      <c r="E40" s="78">
        <v>1039.2</v>
      </c>
      <c r="F40" s="79">
        <f>E40*25/1000</f>
        <v>25.98</v>
      </c>
      <c r="G40" s="79">
        <v>2102.71</v>
      </c>
      <c r="H40" s="80">
        <f>G40*F40/1000</f>
        <v>54.628405800000003</v>
      </c>
      <c r="I40" s="13">
        <f>F40/6*G40</f>
        <v>9104.7343000000001</v>
      </c>
      <c r="J40" s="26"/>
      <c r="L40" s="19"/>
      <c r="M40" s="20"/>
      <c r="N40" s="21"/>
    </row>
    <row r="41" spans="1:14" ht="15.75" customHeight="1">
      <c r="A41" s="32">
        <v>13</v>
      </c>
      <c r="B41" s="76" t="s">
        <v>128</v>
      </c>
      <c r="C41" s="77" t="s">
        <v>129</v>
      </c>
      <c r="D41" s="76" t="s">
        <v>67</v>
      </c>
      <c r="E41" s="78"/>
      <c r="F41" s="79">
        <v>50</v>
      </c>
      <c r="G41" s="79">
        <v>213.2</v>
      </c>
      <c r="H41" s="80">
        <f>G41*F41/1000</f>
        <v>10.66</v>
      </c>
      <c r="I41" s="13">
        <f>G41*39</f>
        <v>8314.7999999999993</v>
      </c>
      <c r="J41" s="26"/>
      <c r="L41" s="19"/>
      <c r="M41" s="20"/>
      <c r="N41" s="21"/>
    </row>
    <row r="42" spans="1:14" ht="15.75" customHeight="1">
      <c r="A42" s="32">
        <v>14</v>
      </c>
      <c r="B42" s="76" t="s">
        <v>68</v>
      </c>
      <c r="C42" s="77" t="s">
        <v>29</v>
      </c>
      <c r="D42" s="76" t="s">
        <v>91</v>
      </c>
      <c r="E42" s="79">
        <v>153</v>
      </c>
      <c r="F42" s="79">
        <f>SUM(E42*155/1000)</f>
        <v>23.715</v>
      </c>
      <c r="G42" s="79">
        <v>350.75</v>
      </c>
      <c r="H42" s="80">
        <f t="shared" si="3"/>
        <v>8.3180362499999987</v>
      </c>
      <c r="I42" s="13">
        <f>F42/6*G42</f>
        <v>1386.339375</v>
      </c>
      <c r="J42" s="26"/>
      <c r="L42" s="19"/>
      <c r="M42" s="20"/>
      <c r="N42" s="21"/>
    </row>
    <row r="43" spans="1:14" ht="47.25" customHeight="1">
      <c r="A43" s="32">
        <v>15</v>
      </c>
      <c r="B43" s="76" t="s">
        <v>84</v>
      </c>
      <c r="C43" s="77" t="s">
        <v>92</v>
      </c>
      <c r="D43" s="76" t="s">
        <v>130</v>
      </c>
      <c r="E43" s="79">
        <v>24</v>
      </c>
      <c r="F43" s="79">
        <f>SUM(E43*50/1000)</f>
        <v>1.2</v>
      </c>
      <c r="G43" s="79">
        <v>5803.28</v>
      </c>
      <c r="H43" s="80">
        <f t="shared" si="3"/>
        <v>6.9639359999999995</v>
      </c>
      <c r="I43" s="13">
        <f>F43/6*G43</f>
        <v>1160.6559999999999</v>
      </c>
      <c r="J43" s="26"/>
      <c r="L43" s="19"/>
      <c r="M43" s="20"/>
      <c r="N43" s="21"/>
    </row>
    <row r="44" spans="1:14" ht="15.75" customHeight="1">
      <c r="A44" s="32">
        <v>16</v>
      </c>
      <c r="B44" s="76" t="s">
        <v>93</v>
      </c>
      <c r="C44" s="77" t="s">
        <v>92</v>
      </c>
      <c r="D44" s="117" t="s">
        <v>269</v>
      </c>
      <c r="E44" s="118">
        <v>153</v>
      </c>
      <c r="F44" s="119">
        <f>SUM(E44*15/1000)</f>
        <v>2.2949999999999999</v>
      </c>
      <c r="G44" s="118">
        <v>428.7</v>
      </c>
      <c r="H44" s="120">
        <f t="shared" ref="H44" si="4">SUM(F44*G44/1000)</f>
        <v>0.98386649999999998</v>
      </c>
      <c r="I44" s="13">
        <f>F44/2*G44</f>
        <v>491.93324999999999</v>
      </c>
      <c r="J44" s="26"/>
      <c r="L44" s="19"/>
      <c r="M44" s="20"/>
      <c r="N44" s="21"/>
    </row>
    <row r="45" spans="1:14" ht="15.75" customHeight="1">
      <c r="A45" s="32">
        <v>17</v>
      </c>
      <c r="B45" s="76" t="s">
        <v>70</v>
      </c>
      <c r="C45" s="77" t="s">
        <v>33</v>
      </c>
      <c r="D45" s="76"/>
      <c r="E45" s="78"/>
      <c r="F45" s="79">
        <v>0.9</v>
      </c>
      <c r="G45" s="79">
        <v>798</v>
      </c>
      <c r="H45" s="80">
        <f t="shared" si="3"/>
        <v>0.71820000000000006</v>
      </c>
      <c r="I45" s="13">
        <f>F45/6*G45</f>
        <v>119.69999999999999</v>
      </c>
      <c r="J45" s="26"/>
      <c r="L45" s="19"/>
      <c r="M45" s="20"/>
      <c r="N45" s="21"/>
    </row>
    <row r="46" spans="1:14" ht="15" customHeight="1">
      <c r="A46" s="139" t="s">
        <v>148</v>
      </c>
      <c r="B46" s="140"/>
      <c r="C46" s="140"/>
      <c r="D46" s="140"/>
      <c r="E46" s="140"/>
      <c r="F46" s="140"/>
      <c r="G46" s="140"/>
      <c r="H46" s="140"/>
      <c r="I46" s="141"/>
      <c r="J46" s="26"/>
      <c r="L46" s="19"/>
      <c r="M46" s="20"/>
      <c r="N46" s="21"/>
    </row>
    <row r="47" spans="1:14" ht="15.75" hidden="1" customHeight="1">
      <c r="A47" s="32"/>
      <c r="B47" s="76" t="s">
        <v>131</v>
      </c>
      <c r="C47" s="77" t="s">
        <v>92</v>
      </c>
      <c r="D47" s="76" t="s">
        <v>42</v>
      </c>
      <c r="E47" s="78">
        <v>1895</v>
      </c>
      <c r="F47" s="79">
        <f>SUM(E47*2/1000)</f>
        <v>3.79</v>
      </c>
      <c r="G47" s="13">
        <v>849.49</v>
      </c>
      <c r="H47" s="80">
        <f t="shared" ref="H47:H55" si="5">SUM(F47*G47/1000)</f>
        <v>3.2195671000000003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76" t="s">
        <v>34</v>
      </c>
      <c r="C48" s="77" t="s">
        <v>92</v>
      </c>
      <c r="D48" s="76" t="s">
        <v>42</v>
      </c>
      <c r="E48" s="78">
        <v>118.2</v>
      </c>
      <c r="F48" s="79">
        <f>E48*2/1000</f>
        <v>0.2364</v>
      </c>
      <c r="G48" s="13">
        <v>579.48</v>
      </c>
      <c r="H48" s="80">
        <f t="shared" si="5"/>
        <v>0.13698907199999999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76" t="s">
        <v>35</v>
      </c>
      <c r="C49" s="77" t="s">
        <v>92</v>
      </c>
      <c r="D49" s="76" t="s">
        <v>42</v>
      </c>
      <c r="E49" s="78">
        <v>4675</v>
      </c>
      <c r="F49" s="79">
        <f>SUM(E49*2/1000)</f>
        <v>9.35</v>
      </c>
      <c r="G49" s="13">
        <v>579.48</v>
      </c>
      <c r="H49" s="80">
        <f t="shared" si="5"/>
        <v>5.4181379999999999</v>
      </c>
      <c r="I49" s="13">
        <v>0</v>
      </c>
      <c r="J49" s="26"/>
      <c r="L49" s="19"/>
      <c r="M49" s="20"/>
      <c r="N49" s="21"/>
    </row>
    <row r="50" spans="1:22" ht="15.75" hidden="1" customHeight="1">
      <c r="A50" s="32"/>
      <c r="B50" s="76" t="s">
        <v>36</v>
      </c>
      <c r="C50" s="77" t="s">
        <v>92</v>
      </c>
      <c r="D50" s="76" t="s">
        <v>42</v>
      </c>
      <c r="E50" s="78">
        <v>4675</v>
      </c>
      <c r="F50" s="79">
        <f>SUM(E50*2/1000)</f>
        <v>9.35</v>
      </c>
      <c r="G50" s="13">
        <v>606.77</v>
      </c>
      <c r="H50" s="80">
        <f t="shared" si="5"/>
        <v>5.6732994999999988</v>
      </c>
      <c r="I50" s="13">
        <v>0</v>
      </c>
      <c r="J50" s="26"/>
      <c r="L50" s="19"/>
      <c r="M50" s="20"/>
      <c r="N50" s="21"/>
    </row>
    <row r="51" spans="1:22" ht="15.75" hidden="1" customHeight="1">
      <c r="A51" s="32">
        <v>17</v>
      </c>
      <c r="B51" s="76" t="s">
        <v>56</v>
      </c>
      <c r="C51" s="77" t="s">
        <v>92</v>
      </c>
      <c r="D51" s="76" t="s">
        <v>169</v>
      </c>
      <c r="E51" s="78">
        <v>3988</v>
      </c>
      <c r="F51" s="79">
        <f>SUM(E51*5/1000)</f>
        <v>19.940000000000001</v>
      </c>
      <c r="G51" s="13">
        <v>1142.7</v>
      </c>
      <c r="H51" s="80">
        <f t="shared" si="5"/>
        <v>22.785438000000003</v>
      </c>
      <c r="I51" s="13">
        <f>F51/5*G51</f>
        <v>4557.0876000000007</v>
      </c>
      <c r="J51" s="26"/>
      <c r="L51" s="19"/>
      <c r="M51" s="20"/>
      <c r="N51" s="21"/>
    </row>
    <row r="52" spans="1:22" ht="31.5" customHeight="1">
      <c r="A52" s="32">
        <v>18</v>
      </c>
      <c r="B52" s="76" t="s">
        <v>94</v>
      </c>
      <c r="C52" s="77" t="s">
        <v>92</v>
      </c>
      <c r="D52" s="76" t="s">
        <v>42</v>
      </c>
      <c r="E52" s="78">
        <v>3988</v>
      </c>
      <c r="F52" s="79">
        <f>SUM(E52*2/1000)</f>
        <v>7.976</v>
      </c>
      <c r="G52" s="13">
        <v>1213.55</v>
      </c>
      <c r="H52" s="80">
        <f t="shared" si="5"/>
        <v>9.6792748</v>
      </c>
      <c r="I52" s="13">
        <f>F52/2*G52</f>
        <v>4839.6373999999996</v>
      </c>
      <c r="J52" s="26"/>
      <c r="L52" s="19"/>
      <c r="M52" s="20"/>
      <c r="N52" s="21"/>
    </row>
    <row r="53" spans="1:22" ht="31.5" customHeight="1">
      <c r="A53" s="32">
        <v>19</v>
      </c>
      <c r="B53" s="76" t="s">
        <v>95</v>
      </c>
      <c r="C53" s="77" t="s">
        <v>37</v>
      </c>
      <c r="D53" s="76" t="s">
        <v>42</v>
      </c>
      <c r="E53" s="78">
        <v>30</v>
      </c>
      <c r="F53" s="79">
        <f>SUM(E53*2/100)</f>
        <v>0.6</v>
      </c>
      <c r="G53" s="13">
        <v>2730.49</v>
      </c>
      <c r="H53" s="80">
        <f>SUM(F53*G53/1000)</f>
        <v>1.6382939999999999</v>
      </c>
      <c r="I53" s="13">
        <f>F53/2*G53</f>
        <v>819.14699999999993</v>
      </c>
      <c r="J53" s="26"/>
      <c r="L53" s="19"/>
      <c r="M53" s="20"/>
      <c r="N53" s="21"/>
    </row>
    <row r="54" spans="1:22" ht="15.75" hidden="1" customHeight="1">
      <c r="A54" s="32"/>
      <c r="B54" s="76" t="s">
        <v>38</v>
      </c>
      <c r="C54" s="77" t="s">
        <v>39</v>
      </c>
      <c r="D54" s="76" t="s">
        <v>42</v>
      </c>
      <c r="E54" s="78">
        <v>1</v>
      </c>
      <c r="F54" s="79">
        <v>0.02</v>
      </c>
      <c r="G54" s="13">
        <v>5652.13</v>
      </c>
      <c r="H54" s="80">
        <f t="shared" si="5"/>
        <v>0.11304260000000001</v>
      </c>
      <c r="I54" s="13">
        <v>0</v>
      </c>
      <c r="J54" s="26"/>
      <c r="L54" s="19"/>
      <c r="M54" s="20"/>
      <c r="N54" s="21"/>
    </row>
    <row r="55" spans="1:22" ht="15.75" customHeight="1">
      <c r="A55" s="32">
        <v>20</v>
      </c>
      <c r="B55" s="76" t="s">
        <v>41</v>
      </c>
      <c r="C55" s="77" t="s">
        <v>111</v>
      </c>
      <c r="D55" s="76" t="s">
        <v>71</v>
      </c>
      <c r="E55" s="78">
        <v>236</v>
      </c>
      <c r="F55" s="79">
        <f>SUM(E55)*3</f>
        <v>708</v>
      </c>
      <c r="G55" s="13">
        <v>65.67</v>
      </c>
      <c r="H55" s="80">
        <f t="shared" si="5"/>
        <v>46.49436</v>
      </c>
      <c r="I55" s="13">
        <f>E55*G55</f>
        <v>15498.12</v>
      </c>
      <c r="J55" s="26"/>
      <c r="L55" s="19"/>
      <c r="M55" s="20"/>
      <c r="N55" s="21"/>
    </row>
    <row r="56" spans="1:22" ht="15.75" customHeight="1">
      <c r="A56" s="139" t="s">
        <v>149</v>
      </c>
      <c r="B56" s="140"/>
      <c r="C56" s="140"/>
      <c r="D56" s="140"/>
      <c r="E56" s="140"/>
      <c r="F56" s="140"/>
      <c r="G56" s="140"/>
      <c r="H56" s="140"/>
      <c r="I56" s="141"/>
      <c r="J56" s="26"/>
      <c r="L56" s="19"/>
      <c r="M56" s="20"/>
      <c r="N56" s="21"/>
    </row>
    <row r="57" spans="1:22" ht="15.75" customHeight="1">
      <c r="A57" s="32"/>
      <c r="B57" s="100" t="s">
        <v>43</v>
      </c>
      <c r="C57" s="77"/>
      <c r="D57" s="76"/>
      <c r="E57" s="78"/>
      <c r="F57" s="79"/>
      <c r="G57" s="79"/>
      <c r="H57" s="80"/>
      <c r="I57" s="13"/>
      <c r="J57" s="26"/>
      <c r="L57" s="19"/>
      <c r="M57" s="20"/>
      <c r="N57" s="21"/>
    </row>
    <row r="58" spans="1:22" ht="31.5" customHeight="1">
      <c r="A58" s="32">
        <v>21</v>
      </c>
      <c r="B58" s="76" t="s">
        <v>132</v>
      </c>
      <c r="C58" s="77" t="s">
        <v>90</v>
      </c>
      <c r="D58" s="76" t="s">
        <v>112</v>
      </c>
      <c r="E58" s="78">
        <v>30</v>
      </c>
      <c r="F58" s="79">
        <f>SUM(E58*6/100)</f>
        <v>1.8</v>
      </c>
      <c r="G58" s="13">
        <v>1547.28</v>
      </c>
      <c r="H58" s="80">
        <f>SUM(F58*G58/1000)</f>
        <v>2.785104</v>
      </c>
      <c r="I58" s="13">
        <f>F58/6*G58</f>
        <v>464.18399999999997</v>
      </c>
      <c r="J58" s="26"/>
      <c r="L58" s="19"/>
    </row>
    <row r="59" spans="1:22" ht="15.75" hidden="1" customHeight="1">
      <c r="A59" s="32">
        <v>20</v>
      </c>
      <c r="B59" s="85" t="s">
        <v>133</v>
      </c>
      <c r="C59" s="86" t="s">
        <v>134</v>
      </c>
      <c r="D59" s="85" t="s">
        <v>42</v>
      </c>
      <c r="E59" s="87">
        <v>6</v>
      </c>
      <c r="F59" s="88">
        <v>12</v>
      </c>
      <c r="G59" s="13">
        <v>180.78</v>
      </c>
      <c r="H59" s="89">
        <f>G59*F59/1000</f>
        <v>2.1693600000000002</v>
      </c>
      <c r="I59" s="13">
        <f>F59/2*G59</f>
        <v>1084.68</v>
      </c>
    </row>
    <row r="60" spans="1:22" ht="15.75" hidden="1" customHeight="1">
      <c r="A60" s="32">
        <v>21</v>
      </c>
      <c r="B60" s="85" t="s">
        <v>135</v>
      </c>
      <c r="C60" s="86" t="s">
        <v>52</v>
      </c>
      <c r="D60" s="85" t="s">
        <v>40</v>
      </c>
      <c r="E60" s="87">
        <v>6</v>
      </c>
      <c r="F60" s="88">
        <f>E60*4/100</f>
        <v>0.24</v>
      </c>
      <c r="G60" s="13">
        <v>1547.28</v>
      </c>
      <c r="H60" s="89">
        <f>G60*F60/1000</f>
        <v>0.37134719999999999</v>
      </c>
      <c r="I60" s="13">
        <f>F60/4*G60</f>
        <v>92.836799999999997</v>
      </c>
    </row>
    <row r="61" spans="1:22" ht="15.75" customHeight="1">
      <c r="A61" s="32"/>
      <c r="B61" s="101" t="s">
        <v>44</v>
      </c>
      <c r="C61" s="86"/>
      <c r="D61" s="85"/>
      <c r="E61" s="87"/>
      <c r="F61" s="88"/>
      <c r="G61" s="13"/>
      <c r="H61" s="89"/>
      <c r="I61" s="13"/>
    </row>
    <row r="62" spans="1:22" ht="15.75" hidden="1" customHeight="1">
      <c r="A62" s="32">
        <v>22</v>
      </c>
      <c r="B62" s="85" t="s">
        <v>136</v>
      </c>
      <c r="C62" s="86" t="s">
        <v>52</v>
      </c>
      <c r="D62" s="85" t="s">
        <v>53</v>
      </c>
      <c r="E62" s="87">
        <v>997</v>
      </c>
      <c r="F62" s="88">
        <v>9.9700000000000006</v>
      </c>
      <c r="G62" s="13">
        <v>793.61</v>
      </c>
      <c r="H62" s="89">
        <f>F62*G62/1000</f>
        <v>7.9122917000000008</v>
      </c>
      <c r="I62" s="13">
        <f>G62*F62</f>
        <v>7912.2917000000007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customHeight="1">
      <c r="A63" s="32">
        <v>22</v>
      </c>
      <c r="B63" s="85" t="s">
        <v>137</v>
      </c>
      <c r="C63" s="86" t="s">
        <v>25</v>
      </c>
      <c r="D63" s="85" t="s">
        <v>30</v>
      </c>
      <c r="E63" s="87">
        <v>394</v>
      </c>
      <c r="F63" s="90">
        <f>E63*12</f>
        <v>4728</v>
      </c>
      <c r="G63" s="71">
        <v>2.6</v>
      </c>
      <c r="H63" s="88">
        <f>F63*G63/1000</f>
        <v>12.292800000000002</v>
      </c>
      <c r="I63" s="13">
        <f>F63/12*G63</f>
        <v>1024.4000000000001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2"/>
      <c r="B64" s="101" t="s">
        <v>45</v>
      </c>
      <c r="C64" s="86"/>
      <c r="D64" s="85"/>
      <c r="E64" s="87"/>
      <c r="F64" s="90"/>
      <c r="G64" s="90"/>
      <c r="H64" s="88" t="s">
        <v>152</v>
      </c>
      <c r="I64" s="13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32">
        <v>23</v>
      </c>
      <c r="B65" s="14" t="s">
        <v>46</v>
      </c>
      <c r="C65" s="16" t="s">
        <v>111</v>
      </c>
      <c r="D65" s="76" t="s">
        <v>67</v>
      </c>
      <c r="E65" s="18">
        <v>15</v>
      </c>
      <c r="F65" s="79">
        <v>15</v>
      </c>
      <c r="G65" s="13">
        <v>222.4</v>
      </c>
      <c r="H65" s="91">
        <f t="shared" ref="H65:H78" si="6">SUM(F65*G65/1000)</f>
        <v>3.3359999999999999</v>
      </c>
      <c r="I65" s="13">
        <f>G65</f>
        <v>222.4</v>
      </c>
      <c r="J65" s="5"/>
      <c r="K65" s="5"/>
      <c r="L65" s="5"/>
      <c r="M65" s="5"/>
      <c r="N65" s="5"/>
      <c r="O65" s="5"/>
      <c r="P65" s="5"/>
      <c r="Q65" s="5"/>
      <c r="R65" s="123"/>
      <c r="S65" s="123"/>
      <c r="T65" s="123"/>
      <c r="U65" s="123"/>
    </row>
    <row r="66" spans="1:21" ht="15.75" hidden="1" customHeight="1">
      <c r="A66" s="32">
        <v>25</v>
      </c>
      <c r="B66" s="14" t="s">
        <v>47</v>
      </c>
      <c r="C66" s="16" t="s">
        <v>111</v>
      </c>
      <c r="D66" s="76" t="s">
        <v>67</v>
      </c>
      <c r="E66" s="18">
        <v>10</v>
      </c>
      <c r="F66" s="79">
        <v>10</v>
      </c>
      <c r="G66" s="13">
        <v>76.25</v>
      </c>
      <c r="H66" s="91">
        <f t="shared" si="6"/>
        <v>0.76249999999999996</v>
      </c>
      <c r="I66" s="13">
        <f>G66</f>
        <v>76.25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48</v>
      </c>
      <c r="C67" s="16" t="s">
        <v>113</v>
      </c>
      <c r="D67" s="14" t="s">
        <v>53</v>
      </c>
      <c r="E67" s="78">
        <v>28608</v>
      </c>
      <c r="F67" s="13">
        <f>SUM(E67/100)</f>
        <v>286.08</v>
      </c>
      <c r="G67" s="13">
        <v>199.77</v>
      </c>
      <c r="H67" s="91">
        <f t="shared" si="6"/>
        <v>57.150201600000003</v>
      </c>
      <c r="I67" s="13">
        <f>F67*G67</f>
        <v>57150.2016</v>
      </c>
    </row>
    <row r="68" spans="1:21" ht="15.75" hidden="1" customHeight="1">
      <c r="A68" s="32"/>
      <c r="B68" s="14" t="s">
        <v>49</v>
      </c>
      <c r="C68" s="16" t="s">
        <v>114</v>
      </c>
      <c r="D68" s="14"/>
      <c r="E68" s="78">
        <v>28608</v>
      </c>
      <c r="F68" s="13">
        <f>SUM(E68/1000)</f>
        <v>28.608000000000001</v>
      </c>
      <c r="G68" s="13">
        <v>155.57</v>
      </c>
      <c r="H68" s="91">
        <f t="shared" si="6"/>
        <v>4.4505465599999994</v>
      </c>
      <c r="I68" s="13">
        <f t="shared" ref="I68:I72" si="7">F68*G68</f>
        <v>4450.5465599999998</v>
      </c>
    </row>
    <row r="69" spans="1:21" ht="15.75" hidden="1" customHeight="1">
      <c r="A69" s="32"/>
      <c r="B69" s="14" t="s">
        <v>50</v>
      </c>
      <c r="C69" s="16" t="s">
        <v>77</v>
      </c>
      <c r="D69" s="14" t="s">
        <v>53</v>
      </c>
      <c r="E69" s="78">
        <v>4550</v>
      </c>
      <c r="F69" s="13">
        <f>SUM(E69/100)</f>
        <v>45.5</v>
      </c>
      <c r="G69" s="13">
        <v>2074.63</v>
      </c>
      <c r="H69" s="91">
        <f t="shared" si="6"/>
        <v>94.395665000000008</v>
      </c>
      <c r="I69" s="13">
        <f t="shared" si="7"/>
        <v>94395.665000000008</v>
      </c>
    </row>
    <row r="70" spans="1:21" ht="15.75" hidden="1" customHeight="1">
      <c r="A70" s="32"/>
      <c r="B70" s="92" t="s">
        <v>115</v>
      </c>
      <c r="C70" s="16" t="s">
        <v>33</v>
      </c>
      <c r="D70" s="14"/>
      <c r="E70" s="78">
        <v>58.5</v>
      </c>
      <c r="F70" s="13">
        <f>SUM(E70)</f>
        <v>58.5</v>
      </c>
      <c r="G70" s="13">
        <v>45.32</v>
      </c>
      <c r="H70" s="91">
        <f t="shared" si="6"/>
        <v>2.6512199999999999</v>
      </c>
      <c r="I70" s="13">
        <f t="shared" si="7"/>
        <v>2651.22</v>
      </c>
    </row>
    <row r="71" spans="1:21" ht="15.75" hidden="1" customHeight="1">
      <c r="A71" s="32"/>
      <c r="B71" s="92" t="s">
        <v>116</v>
      </c>
      <c r="C71" s="16" t="s">
        <v>33</v>
      </c>
      <c r="D71" s="14"/>
      <c r="E71" s="78">
        <v>58.5</v>
      </c>
      <c r="F71" s="13">
        <f>SUM(E71)</f>
        <v>58.5</v>
      </c>
      <c r="G71" s="13">
        <v>42.28</v>
      </c>
      <c r="H71" s="91">
        <f t="shared" si="6"/>
        <v>2.4733800000000001</v>
      </c>
      <c r="I71" s="13">
        <f t="shared" si="7"/>
        <v>2473.38</v>
      </c>
    </row>
    <row r="72" spans="1:21" ht="15.75" hidden="1" customHeight="1">
      <c r="A72" s="32"/>
      <c r="B72" s="14" t="s">
        <v>57</v>
      </c>
      <c r="C72" s="16" t="s">
        <v>58</v>
      </c>
      <c r="D72" s="14" t="s">
        <v>53</v>
      </c>
      <c r="E72" s="18">
        <v>5</v>
      </c>
      <c r="F72" s="79">
        <v>5</v>
      </c>
      <c r="G72" s="13">
        <v>49.88</v>
      </c>
      <c r="H72" s="91">
        <f t="shared" si="6"/>
        <v>0.24940000000000001</v>
      </c>
      <c r="I72" s="13">
        <f t="shared" si="7"/>
        <v>249.4</v>
      </c>
    </row>
    <row r="73" spans="1:21" ht="15.75" customHeight="1">
      <c r="A73" s="32"/>
      <c r="B73" s="64" t="s">
        <v>72</v>
      </c>
      <c r="C73" s="16"/>
      <c r="D73" s="14"/>
      <c r="E73" s="18"/>
      <c r="F73" s="13"/>
      <c r="G73" s="13"/>
      <c r="H73" s="91" t="s">
        <v>152</v>
      </c>
      <c r="I73" s="13"/>
    </row>
    <row r="74" spans="1:21" ht="15.75" customHeight="1">
      <c r="A74" s="32">
        <v>24</v>
      </c>
      <c r="B74" s="14" t="s">
        <v>73</v>
      </c>
      <c r="C74" s="16" t="s">
        <v>75</v>
      </c>
      <c r="D74" s="14"/>
      <c r="E74" s="18">
        <v>10</v>
      </c>
      <c r="F74" s="13">
        <v>1</v>
      </c>
      <c r="G74" s="13">
        <v>501.62</v>
      </c>
      <c r="H74" s="91">
        <f t="shared" si="6"/>
        <v>0.50161999999999995</v>
      </c>
      <c r="I74" s="13">
        <f>G74*0.3</f>
        <v>150.48599999999999</v>
      </c>
    </row>
    <row r="75" spans="1:21" ht="15.75" hidden="1" customHeight="1">
      <c r="A75" s="32"/>
      <c r="B75" s="14" t="s">
        <v>74</v>
      </c>
      <c r="C75" s="16" t="s">
        <v>31</v>
      </c>
      <c r="D75" s="14"/>
      <c r="E75" s="18">
        <v>3</v>
      </c>
      <c r="F75" s="71">
        <v>3</v>
      </c>
      <c r="G75" s="13">
        <v>852.99</v>
      </c>
      <c r="H75" s="91">
        <f>F75*G75/1000</f>
        <v>2.5589700000000004</v>
      </c>
      <c r="I75" s="13">
        <v>0</v>
      </c>
    </row>
    <row r="76" spans="1:21" ht="15.75" hidden="1" customHeight="1">
      <c r="A76" s="32"/>
      <c r="B76" s="14" t="s">
        <v>118</v>
      </c>
      <c r="C76" s="16" t="s">
        <v>31</v>
      </c>
      <c r="D76" s="14"/>
      <c r="E76" s="18">
        <v>1</v>
      </c>
      <c r="F76" s="13">
        <v>1</v>
      </c>
      <c r="G76" s="13">
        <v>358.51</v>
      </c>
      <c r="H76" s="91">
        <f>G76*F76/1000</f>
        <v>0.35851</v>
      </c>
      <c r="I76" s="13">
        <v>0</v>
      </c>
    </row>
    <row r="77" spans="1:21" ht="15.75" hidden="1" customHeight="1">
      <c r="A77" s="32"/>
      <c r="B77" s="94" t="s">
        <v>76</v>
      </c>
      <c r="C77" s="16"/>
      <c r="D77" s="14"/>
      <c r="E77" s="18"/>
      <c r="F77" s="13"/>
      <c r="G77" s="13" t="s">
        <v>152</v>
      </c>
      <c r="H77" s="91" t="s">
        <v>152</v>
      </c>
      <c r="I77" s="13"/>
    </row>
    <row r="78" spans="1:21" ht="15.75" hidden="1" customHeight="1">
      <c r="A78" s="32"/>
      <c r="B78" s="47" t="s">
        <v>170</v>
      </c>
      <c r="C78" s="16" t="s">
        <v>77</v>
      </c>
      <c r="D78" s="14"/>
      <c r="E78" s="18"/>
      <c r="F78" s="13">
        <v>1.2</v>
      </c>
      <c r="G78" s="13">
        <v>2759.44</v>
      </c>
      <c r="H78" s="91">
        <f t="shared" si="6"/>
        <v>3.311328</v>
      </c>
      <c r="I78" s="13">
        <v>0</v>
      </c>
    </row>
    <row r="79" spans="1:21" ht="15.75" customHeight="1">
      <c r="A79" s="32"/>
      <c r="B79" s="70" t="s">
        <v>96</v>
      </c>
      <c r="C79" s="70"/>
      <c r="D79" s="70"/>
      <c r="E79" s="70"/>
      <c r="F79" s="70"/>
      <c r="G79" s="82"/>
      <c r="H79" s="95">
        <f>SUM(H58:H78)</f>
        <v>197.73024405999999</v>
      </c>
      <c r="I79" s="82"/>
    </row>
    <row r="80" spans="1:21" ht="15.75" customHeight="1">
      <c r="A80" s="32">
        <v>25</v>
      </c>
      <c r="B80" s="102" t="s">
        <v>117</v>
      </c>
      <c r="C80" s="23"/>
      <c r="D80" s="22"/>
      <c r="E80" s="72"/>
      <c r="F80" s="103">
        <v>1</v>
      </c>
      <c r="G80" s="38">
        <v>24989.1</v>
      </c>
      <c r="H80" s="91">
        <f>G80*F80/1000</f>
        <v>24.989099999999997</v>
      </c>
      <c r="I80" s="13">
        <f>G80</f>
        <v>24989.1</v>
      </c>
    </row>
    <row r="81" spans="1:9" ht="15.75" customHeight="1">
      <c r="A81" s="124" t="s">
        <v>150</v>
      </c>
      <c r="B81" s="125"/>
      <c r="C81" s="125"/>
      <c r="D81" s="125"/>
      <c r="E81" s="125"/>
      <c r="F81" s="125"/>
      <c r="G81" s="125"/>
      <c r="H81" s="125"/>
      <c r="I81" s="126"/>
    </row>
    <row r="82" spans="1:9" ht="15.75" customHeight="1">
      <c r="A82" s="32">
        <v>26</v>
      </c>
      <c r="B82" s="76" t="s">
        <v>119</v>
      </c>
      <c r="C82" s="16" t="s">
        <v>54</v>
      </c>
      <c r="D82" s="51" t="s">
        <v>55</v>
      </c>
      <c r="E82" s="13">
        <v>6980.3</v>
      </c>
      <c r="F82" s="13">
        <f>SUM(E82*12)</f>
        <v>83763.600000000006</v>
      </c>
      <c r="G82" s="13">
        <v>2.1</v>
      </c>
      <c r="H82" s="91">
        <f>SUM(F82*G82/1000)</f>
        <v>175.90356000000003</v>
      </c>
      <c r="I82" s="13">
        <f>F82/12*G82</f>
        <v>14658.630000000001</v>
      </c>
    </row>
    <row r="83" spans="1:9" ht="31.5" customHeight="1">
      <c r="A83" s="32">
        <v>27</v>
      </c>
      <c r="B83" s="14" t="s">
        <v>78</v>
      </c>
      <c r="C83" s="16"/>
      <c r="D83" s="51" t="s">
        <v>55</v>
      </c>
      <c r="E83" s="78">
        <f>E82</f>
        <v>6980.3</v>
      </c>
      <c r="F83" s="13">
        <f>E83*12</f>
        <v>83763.600000000006</v>
      </c>
      <c r="G83" s="13">
        <v>1.63</v>
      </c>
      <c r="H83" s="91">
        <f>F83*G83/1000</f>
        <v>136.53466800000001</v>
      </c>
      <c r="I83" s="13">
        <f>F83/12*G83</f>
        <v>11377.888999999999</v>
      </c>
    </row>
    <row r="84" spans="1:9" ht="15.75" customHeight="1">
      <c r="A84" s="32"/>
      <c r="B84" s="40" t="s">
        <v>81</v>
      </c>
      <c r="C84" s="94"/>
      <c r="D84" s="93"/>
      <c r="E84" s="82"/>
      <c r="F84" s="82"/>
      <c r="G84" s="82"/>
      <c r="H84" s="95">
        <f>H83</f>
        <v>136.53466800000001</v>
      </c>
      <c r="I84" s="82">
        <f>I16+I17+I18+I20+I21+I24+I25+I26+I27+I38+I39+I40+I41+I42+I43+I44+I45+I52+I53+I55+I58+I63+I65+I74+I80+I82+I83</f>
        <v>156593.62097766664</v>
      </c>
    </row>
    <row r="85" spans="1:9" ht="15.75" customHeight="1">
      <c r="A85" s="135" t="s">
        <v>60</v>
      </c>
      <c r="B85" s="136"/>
      <c r="C85" s="136"/>
      <c r="D85" s="136"/>
      <c r="E85" s="136"/>
      <c r="F85" s="136"/>
      <c r="G85" s="136"/>
      <c r="H85" s="136"/>
      <c r="I85" s="137"/>
    </row>
    <row r="86" spans="1:9" ht="15.75" customHeight="1">
      <c r="A86" s="32">
        <v>28</v>
      </c>
      <c r="B86" s="50" t="s">
        <v>143</v>
      </c>
      <c r="C86" s="62" t="s">
        <v>85</v>
      </c>
      <c r="D86" s="39"/>
      <c r="E86" s="17"/>
      <c r="F86" s="36">
        <v>8</v>
      </c>
      <c r="G86" s="36">
        <v>195.85</v>
      </c>
      <c r="H86" s="110">
        <f>G86*F86/1000</f>
        <v>1.5668</v>
      </c>
      <c r="I86" s="13">
        <f>G86*2</f>
        <v>391.7</v>
      </c>
    </row>
    <row r="87" spans="1:9" ht="31.5" customHeight="1">
      <c r="A87" s="32">
        <v>29</v>
      </c>
      <c r="B87" s="61" t="s">
        <v>165</v>
      </c>
      <c r="C87" s="32" t="s">
        <v>82</v>
      </c>
      <c r="D87" s="39"/>
      <c r="E87" s="17"/>
      <c r="F87" s="36">
        <v>47.5</v>
      </c>
      <c r="G87" s="13">
        <v>1187</v>
      </c>
      <c r="H87" s="110">
        <f t="shared" ref="H87:H88" si="8">G87*F87/1000</f>
        <v>56.3825</v>
      </c>
      <c r="I87" s="13">
        <f>G87*(6+8)</f>
        <v>16618</v>
      </c>
    </row>
    <row r="88" spans="1:9" ht="15.75" customHeight="1">
      <c r="A88" s="32">
        <v>30</v>
      </c>
      <c r="B88" s="50" t="s">
        <v>138</v>
      </c>
      <c r="C88" s="62" t="s">
        <v>111</v>
      </c>
      <c r="D88" s="14"/>
      <c r="E88" s="18"/>
      <c r="F88" s="13">
        <v>1080</v>
      </c>
      <c r="G88" s="13">
        <v>53.42</v>
      </c>
      <c r="H88" s="91">
        <f t="shared" si="8"/>
        <v>57.693599999999996</v>
      </c>
      <c r="I88" s="13">
        <f>G88*120</f>
        <v>6410.4000000000005</v>
      </c>
    </row>
    <row r="89" spans="1:9" ht="15.75" customHeight="1">
      <c r="A89" s="32">
        <v>31</v>
      </c>
      <c r="B89" s="98" t="s">
        <v>192</v>
      </c>
      <c r="C89" s="99" t="s">
        <v>142</v>
      </c>
      <c r="D89" s="111"/>
      <c r="E89" s="36"/>
      <c r="F89" s="36">
        <f>(3+4+15+15+15+5+20+20+15+10+15+15+7+6+15+3)/3</f>
        <v>61</v>
      </c>
      <c r="G89" s="36">
        <v>1120.8900000000001</v>
      </c>
      <c r="H89" s="110">
        <f>G89*F89/1000</f>
        <v>68.374290000000002</v>
      </c>
      <c r="I89" s="13">
        <f>G89*((20+20)/3)</f>
        <v>14945.200000000003</v>
      </c>
    </row>
    <row r="90" spans="1:9" ht="31.5" customHeight="1">
      <c r="A90" s="32">
        <v>32</v>
      </c>
      <c r="B90" s="52" t="s">
        <v>195</v>
      </c>
      <c r="C90" s="53" t="s">
        <v>156</v>
      </c>
      <c r="D90" s="111"/>
      <c r="E90" s="36"/>
      <c r="F90" s="36">
        <v>26</v>
      </c>
      <c r="G90" s="36">
        <v>1046.06</v>
      </c>
      <c r="H90" s="110">
        <f t="shared" ref="H90:H92" si="9">G90*F90/1000</f>
        <v>27.197559999999999</v>
      </c>
      <c r="I90" s="13">
        <f>G90*2</f>
        <v>2092.12</v>
      </c>
    </row>
    <row r="91" spans="1:9" ht="15.75" customHeight="1">
      <c r="A91" s="32">
        <v>33</v>
      </c>
      <c r="B91" s="50" t="s">
        <v>197</v>
      </c>
      <c r="C91" s="62" t="s">
        <v>111</v>
      </c>
      <c r="D91" s="39"/>
      <c r="E91" s="17"/>
      <c r="F91" s="36">
        <v>10</v>
      </c>
      <c r="G91" s="36">
        <v>140</v>
      </c>
      <c r="H91" s="110">
        <f t="shared" si="9"/>
        <v>1.4</v>
      </c>
      <c r="I91" s="13">
        <f>G91*2</f>
        <v>280</v>
      </c>
    </row>
    <row r="92" spans="1:9" ht="15.75" customHeight="1">
      <c r="A92" s="32">
        <v>34</v>
      </c>
      <c r="B92" s="50" t="s">
        <v>164</v>
      </c>
      <c r="C92" s="62" t="s">
        <v>111</v>
      </c>
      <c r="D92" s="111"/>
      <c r="E92" s="36"/>
      <c r="F92" s="36">
        <v>3</v>
      </c>
      <c r="G92" s="36">
        <v>40</v>
      </c>
      <c r="H92" s="110">
        <f t="shared" si="9"/>
        <v>0.12</v>
      </c>
      <c r="I92" s="13">
        <f t="shared" ref="I92" si="10">G92</f>
        <v>40</v>
      </c>
    </row>
    <row r="93" spans="1:9" ht="31.5" customHeight="1">
      <c r="A93" s="32">
        <v>35</v>
      </c>
      <c r="B93" s="61" t="s">
        <v>166</v>
      </c>
      <c r="C93" s="32" t="s">
        <v>82</v>
      </c>
      <c r="D93" s="14"/>
      <c r="E93" s="18"/>
      <c r="F93" s="13">
        <v>41.5</v>
      </c>
      <c r="G93" s="13">
        <v>1272</v>
      </c>
      <c r="H93" s="91">
        <f>G93*F93/1000</f>
        <v>52.787999999999997</v>
      </c>
      <c r="I93" s="13">
        <f>G93*4</f>
        <v>5088</v>
      </c>
    </row>
    <row r="94" spans="1:9" ht="15.75" customHeight="1">
      <c r="A94" s="32">
        <v>36</v>
      </c>
      <c r="B94" s="50" t="s">
        <v>83</v>
      </c>
      <c r="C94" s="62" t="s">
        <v>111</v>
      </c>
      <c r="D94" s="14"/>
      <c r="E94" s="18"/>
      <c r="F94" s="13">
        <v>11</v>
      </c>
      <c r="G94" s="13">
        <v>189.88</v>
      </c>
      <c r="H94" s="91">
        <f>G94*F94/1000</f>
        <v>2.0886799999999996</v>
      </c>
      <c r="I94" s="13">
        <f>G94*3</f>
        <v>569.64</v>
      </c>
    </row>
    <row r="95" spans="1:9" ht="15.75" customHeight="1">
      <c r="A95" s="32">
        <v>37</v>
      </c>
      <c r="B95" s="61" t="s">
        <v>167</v>
      </c>
      <c r="C95" s="32" t="s">
        <v>111</v>
      </c>
      <c r="D95" s="47"/>
      <c r="E95" s="13"/>
      <c r="F95" s="13">
        <v>3</v>
      </c>
      <c r="G95" s="13">
        <v>470</v>
      </c>
      <c r="H95" s="110">
        <f t="shared" ref="H95:H97" si="11">G95*F95/1000</f>
        <v>1.41</v>
      </c>
      <c r="I95" s="13">
        <f>G95*3</f>
        <v>1410</v>
      </c>
    </row>
    <row r="96" spans="1:9" ht="15.75" customHeight="1">
      <c r="A96" s="32">
        <v>38</v>
      </c>
      <c r="B96" s="50" t="s">
        <v>168</v>
      </c>
      <c r="C96" s="62" t="s">
        <v>111</v>
      </c>
      <c r="D96" s="111"/>
      <c r="E96" s="36"/>
      <c r="F96" s="36">
        <v>1</v>
      </c>
      <c r="G96" s="36">
        <v>61</v>
      </c>
      <c r="H96" s="110">
        <f t="shared" si="11"/>
        <v>6.0999999999999999E-2</v>
      </c>
      <c r="I96" s="13">
        <f>G96</f>
        <v>61</v>
      </c>
    </row>
    <row r="97" spans="1:9" ht="15.75" customHeight="1">
      <c r="A97" s="32">
        <v>39</v>
      </c>
      <c r="B97" s="50" t="s">
        <v>207</v>
      </c>
      <c r="C97" s="62" t="s">
        <v>111</v>
      </c>
      <c r="D97" s="111"/>
      <c r="E97" s="36"/>
      <c r="F97" s="36">
        <v>1</v>
      </c>
      <c r="G97" s="36">
        <v>1240.05</v>
      </c>
      <c r="H97" s="110">
        <f t="shared" si="11"/>
        <v>1.2400499999999999</v>
      </c>
      <c r="I97" s="13">
        <f>G97</f>
        <v>1240.05</v>
      </c>
    </row>
    <row r="98" spans="1:9" ht="31.5" customHeight="1">
      <c r="A98" s="32">
        <v>40</v>
      </c>
      <c r="B98" s="50" t="s">
        <v>139</v>
      </c>
      <c r="C98" s="62" t="s">
        <v>37</v>
      </c>
      <c r="D98" s="39"/>
      <c r="E98" s="17"/>
      <c r="F98" s="36">
        <v>0.03</v>
      </c>
      <c r="G98" s="37">
        <v>3581.13</v>
      </c>
      <c r="H98" s="110">
        <f>G98*F98/1000</f>
        <v>0.1074339</v>
      </c>
      <c r="I98" s="13">
        <f>G98*0.01</f>
        <v>35.811300000000003</v>
      </c>
    </row>
    <row r="99" spans="1:9" ht="47.25" customHeight="1">
      <c r="A99" s="32">
        <v>41</v>
      </c>
      <c r="B99" s="52" t="s">
        <v>208</v>
      </c>
      <c r="C99" s="53" t="s">
        <v>209</v>
      </c>
      <c r="D99" s="47"/>
      <c r="E99" s="13"/>
      <c r="F99" s="13">
        <f>15/10</f>
        <v>1.5</v>
      </c>
      <c r="G99" s="13">
        <v>2166.5300000000002</v>
      </c>
      <c r="H99" s="110">
        <f t="shared" ref="H99" si="12">G99*F99/1000</f>
        <v>3.2497950000000002</v>
      </c>
      <c r="I99" s="13">
        <f>G99*1.5</f>
        <v>3249.7950000000001</v>
      </c>
    </row>
    <row r="100" spans="1:9" ht="15.75" customHeight="1">
      <c r="A100" s="32"/>
      <c r="B100" s="45" t="s">
        <v>51</v>
      </c>
      <c r="C100" s="41"/>
      <c r="D100" s="48"/>
      <c r="E100" s="41">
        <v>1</v>
      </c>
      <c r="F100" s="41"/>
      <c r="G100" s="41"/>
      <c r="H100" s="41"/>
      <c r="I100" s="34">
        <f>SUM(I86:I99)</f>
        <v>52431.716300000007</v>
      </c>
    </row>
    <row r="101" spans="1:9">
      <c r="A101" s="32"/>
      <c r="B101" s="47" t="s">
        <v>79</v>
      </c>
      <c r="C101" s="15"/>
      <c r="D101" s="15"/>
      <c r="E101" s="42"/>
      <c r="F101" s="42"/>
      <c r="G101" s="43"/>
      <c r="H101" s="43"/>
      <c r="I101" s="17">
        <v>0</v>
      </c>
    </row>
    <row r="102" spans="1:9">
      <c r="A102" s="49"/>
      <c r="B102" s="46" t="s">
        <v>189</v>
      </c>
      <c r="C102" s="35"/>
      <c r="D102" s="35"/>
      <c r="E102" s="35"/>
      <c r="F102" s="35"/>
      <c r="G102" s="35"/>
      <c r="H102" s="35"/>
      <c r="I102" s="44">
        <f>I84+I100</f>
        <v>209025.33727766664</v>
      </c>
    </row>
    <row r="103" spans="1:9" ht="15.75">
      <c r="A103" s="127" t="s">
        <v>210</v>
      </c>
      <c r="B103" s="127"/>
      <c r="C103" s="127"/>
      <c r="D103" s="127"/>
      <c r="E103" s="127"/>
      <c r="F103" s="127"/>
      <c r="G103" s="127"/>
      <c r="H103" s="127"/>
      <c r="I103" s="127"/>
    </row>
    <row r="104" spans="1:9" ht="15.75" customHeight="1">
      <c r="A104" s="60"/>
      <c r="B104" s="128" t="s">
        <v>211</v>
      </c>
      <c r="C104" s="128"/>
      <c r="D104" s="128"/>
      <c r="E104" s="128"/>
      <c r="F104" s="128"/>
      <c r="G104" s="128"/>
      <c r="H104" s="75"/>
      <c r="I104" s="3"/>
    </row>
    <row r="105" spans="1:9">
      <c r="A105" s="69"/>
      <c r="B105" s="129" t="s">
        <v>6</v>
      </c>
      <c r="C105" s="129"/>
      <c r="D105" s="129"/>
      <c r="E105" s="129"/>
      <c r="F105" s="129"/>
      <c r="G105" s="129"/>
      <c r="H105" s="27"/>
      <c r="I105" s="5"/>
    </row>
    <row r="106" spans="1:9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>
      <c r="A107" s="130" t="s">
        <v>7</v>
      </c>
      <c r="B107" s="130"/>
      <c r="C107" s="130"/>
      <c r="D107" s="130"/>
      <c r="E107" s="130"/>
      <c r="F107" s="130"/>
      <c r="G107" s="130"/>
      <c r="H107" s="130"/>
      <c r="I107" s="130"/>
    </row>
    <row r="108" spans="1:9" ht="15.75">
      <c r="A108" s="130" t="s">
        <v>8</v>
      </c>
      <c r="B108" s="130"/>
      <c r="C108" s="130"/>
      <c r="D108" s="130"/>
      <c r="E108" s="130"/>
      <c r="F108" s="130"/>
      <c r="G108" s="130"/>
      <c r="H108" s="130"/>
      <c r="I108" s="130"/>
    </row>
    <row r="109" spans="1:9" ht="15.75">
      <c r="A109" s="131" t="s">
        <v>61</v>
      </c>
      <c r="B109" s="131"/>
      <c r="C109" s="131"/>
      <c r="D109" s="131"/>
      <c r="E109" s="131"/>
      <c r="F109" s="131"/>
      <c r="G109" s="131"/>
      <c r="H109" s="131"/>
      <c r="I109" s="131"/>
    </row>
    <row r="110" spans="1:9" ht="15.75">
      <c r="A110" s="11"/>
    </row>
    <row r="111" spans="1:9" ht="15.75">
      <c r="A111" s="132" t="s">
        <v>9</v>
      </c>
      <c r="B111" s="132"/>
      <c r="C111" s="132"/>
      <c r="D111" s="132"/>
      <c r="E111" s="132"/>
      <c r="F111" s="132"/>
      <c r="G111" s="132"/>
      <c r="H111" s="132"/>
      <c r="I111" s="132"/>
    </row>
    <row r="112" spans="1:9" ht="15.75" customHeight="1">
      <c r="A112" s="4"/>
    </row>
    <row r="113" spans="1:9" ht="15.75" customHeight="1">
      <c r="B113" s="66" t="s">
        <v>10</v>
      </c>
      <c r="C113" s="133" t="s">
        <v>144</v>
      </c>
      <c r="D113" s="133"/>
      <c r="E113" s="133"/>
      <c r="F113" s="73"/>
      <c r="I113" s="68"/>
    </row>
    <row r="114" spans="1:9" ht="15.75" customHeight="1">
      <c r="A114" s="69"/>
      <c r="C114" s="129" t="s">
        <v>11</v>
      </c>
      <c r="D114" s="129"/>
      <c r="E114" s="129"/>
      <c r="F114" s="27"/>
      <c r="I114" s="67" t="s">
        <v>12</v>
      </c>
    </row>
    <row r="115" spans="1:9" ht="15.75" customHeight="1">
      <c r="A115" s="28"/>
      <c r="C115" s="12"/>
      <c r="D115" s="12"/>
      <c r="G115" s="12"/>
      <c r="H115" s="12"/>
    </row>
    <row r="116" spans="1:9" ht="15.75">
      <c r="B116" s="66" t="s">
        <v>13</v>
      </c>
      <c r="C116" s="134"/>
      <c r="D116" s="134"/>
      <c r="E116" s="134"/>
      <c r="F116" s="74"/>
      <c r="I116" s="68"/>
    </row>
    <row r="117" spans="1:9">
      <c r="A117" s="69"/>
      <c r="C117" s="123" t="s">
        <v>11</v>
      </c>
      <c r="D117" s="123"/>
      <c r="E117" s="123"/>
      <c r="F117" s="69"/>
      <c r="I117" s="67" t="s">
        <v>12</v>
      </c>
    </row>
    <row r="118" spans="1:9" ht="15.75">
      <c r="A118" s="4" t="s">
        <v>14</v>
      </c>
    </row>
    <row r="119" spans="1:9">
      <c r="A119" s="121" t="s">
        <v>15</v>
      </c>
      <c r="B119" s="121"/>
      <c r="C119" s="121"/>
      <c r="D119" s="121"/>
      <c r="E119" s="121"/>
      <c r="F119" s="121"/>
      <c r="G119" s="121"/>
      <c r="H119" s="121"/>
      <c r="I119" s="121"/>
    </row>
    <row r="120" spans="1:9" ht="45" customHeight="1">
      <c r="A120" s="122" t="s">
        <v>16</v>
      </c>
      <c r="B120" s="122"/>
      <c r="C120" s="122"/>
      <c r="D120" s="122"/>
      <c r="E120" s="122"/>
      <c r="F120" s="122"/>
      <c r="G120" s="122"/>
      <c r="H120" s="122"/>
      <c r="I120" s="122"/>
    </row>
    <row r="121" spans="1:9" ht="30" customHeight="1">
      <c r="A121" s="122" t="s">
        <v>17</v>
      </c>
      <c r="B121" s="122"/>
      <c r="C121" s="122"/>
      <c r="D121" s="122"/>
      <c r="E121" s="122"/>
      <c r="F121" s="122"/>
      <c r="G121" s="122"/>
      <c r="H121" s="122"/>
      <c r="I121" s="122"/>
    </row>
    <row r="122" spans="1:9" ht="30" customHeight="1">
      <c r="A122" s="122" t="s">
        <v>21</v>
      </c>
      <c r="B122" s="122"/>
      <c r="C122" s="122"/>
      <c r="D122" s="122"/>
      <c r="E122" s="122"/>
      <c r="F122" s="122"/>
      <c r="G122" s="122"/>
      <c r="H122" s="122"/>
      <c r="I122" s="122"/>
    </row>
    <row r="123" spans="1:9" ht="15" customHeight="1">
      <c r="A123" s="122" t="s">
        <v>20</v>
      </c>
      <c r="B123" s="122"/>
      <c r="C123" s="122"/>
      <c r="D123" s="122"/>
      <c r="E123" s="122"/>
      <c r="F123" s="122"/>
      <c r="G123" s="122"/>
      <c r="H123" s="122"/>
      <c r="I123" s="122"/>
    </row>
  </sheetData>
  <autoFilter ref="I12:I60"/>
  <mergeCells count="29">
    <mergeCell ref="A120:I120"/>
    <mergeCell ref="A121:I121"/>
    <mergeCell ref="A122:I122"/>
    <mergeCell ref="A123:I123"/>
    <mergeCell ref="A111:I111"/>
    <mergeCell ref="C113:E113"/>
    <mergeCell ref="C114:E114"/>
    <mergeCell ref="C116:E116"/>
    <mergeCell ref="C117:E117"/>
    <mergeCell ref="A119:I119"/>
    <mergeCell ref="A109:I109"/>
    <mergeCell ref="A15:I15"/>
    <mergeCell ref="A28:I28"/>
    <mergeCell ref="A46:I46"/>
    <mergeCell ref="A56:I56"/>
    <mergeCell ref="A85:I85"/>
    <mergeCell ref="A103:I103"/>
    <mergeCell ref="B104:G104"/>
    <mergeCell ref="B105:G105"/>
    <mergeCell ref="A107:I107"/>
    <mergeCell ref="A108:I108"/>
    <mergeCell ref="R65:U65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3"/>
  <sheetViews>
    <sheetView topLeftCell="A6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88</v>
      </c>
      <c r="I1" s="29"/>
      <c r="J1" s="1"/>
      <c r="K1" s="1"/>
      <c r="L1" s="1"/>
      <c r="M1" s="1"/>
    </row>
    <row r="2" spans="1:13" ht="15.75">
      <c r="A2" s="31" t="s">
        <v>62</v>
      </c>
      <c r="J2" s="2"/>
      <c r="K2" s="2"/>
      <c r="L2" s="2"/>
      <c r="M2" s="2"/>
    </row>
    <row r="3" spans="1:13" ht="15.75" customHeight="1">
      <c r="A3" s="143" t="s">
        <v>174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141</v>
      </c>
      <c r="B4" s="144"/>
      <c r="C4" s="144"/>
      <c r="D4" s="144"/>
      <c r="E4" s="144"/>
      <c r="F4" s="144"/>
      <c r="G4" s="144"/>
      <c r="H4" s="144"/>
      <c r="I4" s="144"/>
    </row>
    <row r="5" spans="1:13" ht="15.75">
      <c r="A5" s="143" t="s">
        <v>212</v>
      </c>
      <c r="B5" s="145"/>
      <c r="C5" s="145"/>
      <c r="D5" s="145"/>
      <c r="E5" s="145"/>
      <c r="F5" s="145"/>
      <c r="G5" s="145"/>
      <c r="H5" s="145"/>
      <c r="I5" s="145"/>
      <c r="J5" s="2"/>
      <c r="K5" s="2"/>
      <c r="L5" s="2"/>
      <c r="M5" s="2"/>
    </row>
    <row r="6" spans="1:13" ht="15.75">
      <c r="A6" s="2"/>
      <c r="B6" s="65"/>
      <c r="C6" s="65"/>
      <c r="D6" s="65"/>
      <c r="E6" s="65"/>
      <c r="F6" s="65"/>
      <c r="G6" s="65"/>
      <c r="H6" s="65"/>
      <c r="I6" s="33">
        <v>42886</v>
      </c>
      <c r="J6" s="2"/>
      <c r="K6" s="2"/>
      <c r="L6" s="2"/>
      <c r="M6" s="2"/>
    </row>
    <row r="7" spans="1:13" ht="15.75">
      <c r="B7" s="66"/>
      <c r="C7" s="66"/>
      <c r="D7" s="6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6" t="s">
        <v>147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7" t="s">
        <v>182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2" t="s">
        <v>59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32">
        <v>1</v>
      </c>
      <c r="B16" s="76" t="s">
        <v>89</v>
      </c>
      <c r="C16" s="77" t="s">
        <v>90</v>
      </c>
      <c r="D16" s="76" t="s">
        <v>186</v>
      </c>
      <c r="E16" s="78">
        <v>208.08</v>
      </c>
      <c r="F16" s="79">
        <f>SUM(E16*156/100)</f>
        <v>324.60480000000001</v>
      </c>
      <c r="G16" s="79">
        <v>175.38</v>
      </c>
      <c r="H16" s="80">
        <f t="shared" ref="H16:H25" si="0">SUM(F16*G16/1000)</f>
        <v>56.929189823999998</v>
      </c>
      <c r="I16" s="13">
        <f>F16/12*G16</f>
        <v>4744.0991519999998</v>
      </c>
      <c r="J16" s="24"/>
      <c r="K16" s="8"/>
      <c r="L16" s="8"/>
      <c r="M16" s="8"/>
    </row>
    <row r="17" spans="1:13" ht="15.75" customHeight="1">
      <c r="A17" s="32">
        <v>2</v>
      </c>
      <c r="B17" s="76" t="s">
        <v>120</v>
      </c>
      <c r="C17" s="77" t="s">
        <v>90</v>
      </c>
      <c r="D17" s="76" t="s">
        <v>185</v>
      </c>
      <c r="E17" s="78">
        <v>832.32</v>
      </c>
      <c r="F17" s="79">
        <f>SUM(E17*104/100)</f>
        <v>865.61279999999999</v>
      </c>
      <c r="G17" s="79">
        <v>175.38</v>
      </c>
      <c r="H17" s="80">
        <f t="shared" si="0"/>
        <v>151.81117286399999</v>
      </c>
      <c r="I17" s="13">
        <f>F17/12*G17</f>
        <v>12650.931071999999</v>
      </c>
      <c r="J17" s="25"/>
      <c r="K17" s="8"/>
      <c r="L17" s="8"/>
      <c r="M17" s="8"/>
    </row>
    <row r="18" spans="1:13" ht="15.75" customHeight="1">
      <c r="A18" s="32">
        <v>3</v>
      </c>
      <c r="B18" s="76" t="s">
        <v>121</v>
      </c>
      <c r="C18" s="77" t="s">
        <v>90</v>
      </c>
      <c r="D18" s="76" t="s">
        <v>184</v>
      </c>
      <c r="E18" s="78">
        <v>1040.4000000000001</v>
      </c>
      <c r="F18" s="79">
        <f>SUM(E18*24/100)</f>
        <v>249.69600000000003</v>
      </c>
      <c r="G18" s="79">
        <v>504.5</v>
      </c>
      <c r="H18" s="80">
        <f t="shared" si="0"/>
        <v>125.97163200000001</v>
      </c>
      <c r="I18" s="13">
        <f>F18/12*G18</f>
        <v>10497.636000000002</v>
      </c>
      <c r="J18" s="25"/>
      <c r="K18" s="8"/>
      <c r="L18" s="8"/>
      <c r="M18" s="8"/>
    </row>
    <row r="19" spans="1:13" ht="15.75" customHeight="1">
      <c r="A19" s="32">
        <v>4</v>
      </c>
      <c r="B19" s="76" t="s">
        <v>97</v>
      </c>
      <c r="C19" s="77" t="s">
        <v>98</v>
      </c>
      <c r="D19" s="76" t="s">
        <v>99</v>
      </c>
      <c r="E19" s="78">
        <v>48</v>
      </c>
      <c r="F19" s="79">
        <f>SUM(E19/10)</f>
        <v>4.8</v>
      </c>
      <c r="G19" s="79">
        <v>170.16</v>
      </c>
      <c r="H19" s="80">
        <f t="shared" si="0"/>
        <v>0.81676799999999994</v>
      </c>
      <c r="I19" s="13">
        <f>F19/2*G19</f>
        <v>408.38399999999996</v>
      </c>
      <c r="J19" s="25"/>
      <c r="K19" s="8"/>
      <c r="L19" s="8"/>
      <c r="M19" s="8"/>
    </row>
    <row r="20" spans="1:13" ht="15.75" customHeight="1">
      <c r="A20" s="32">
        <v>5</v>
      </c>
      <c r="B20" s="76" t="s">
        <v>100</v>
      </c>
      <c r="C20" s="77" t="s">
        <v>90</v>
      </c>
      <c r="D20" s="76" t="s">
        <v>122</v>
      </c>
      <c r="E20" s="78">
        <v>30.6</v>
      </c>
      <c r="F20" s="79">
        <f>SUM(E20*12/100)</f>
        <v>3.6720000000000006</v>
      </c>
      <c r="G20" s="79">
        <v>217.88</v>
      </c>
      <c r="H20" s="80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customHeight="1">
      <c r="A21" s="32">
        <v>6</v>
      </c>
      <c r="B21" s="76" t="s">
        <v>101</v>
      </c>
      <c r="C21" s="77" t="s">
        <v>90</v>
      </c>
      <c r="D21" s="76" t="s">
        <v>30</v>
      </c>
      <c r="E21" s="78">
        <v>10.06</v>
      </c>
      <c r="F21" s="79">
        <f>SUM(E21*12/100)</f>
        <v>1.2072000000000001</v>
      </c>
      <c r="G21" s="79">
        <v>216.12</v>
      </c>
      <c r="H21" s="80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customHeight="1">
      <c r="A22" s="32">
        <v>7</v>
      </c>
      <c r="B22" s="76" t="s">
        <v>102</v>
      </c>
      <c r="C22" s="77" t="s">
        <v>52</v>
      </c>
      <c r="D22" s="76" t="s">
        <v>99</v>
      </c>
      <c r="E22" s="78">
        <v>769.2</v>
      </c>
      <c r="F22" s="79">
        <f>SUM(E22/100)</f>
        <v>7.6920000000000002</v>
      </c>
      <c r="G22" s="79">
        <v>269.26</v>
      </c>
      <c r="H22" s="80">
        <f t="shared" si="0"/>
        <v>2.07114792</v>
      </c>
      <c r="I22" s="13">
        <f>F22*G22</f>
        <v>2071.1479199999999</v>
      </c>
      <c r="J22" s="25"/>
      <c r="K22" s="8"/>
      <c r="L22" s="8"/>
      <c r="M22" s="8"/>
    </row>
    <row r="23" spans="1:13" ht="15.75" customHeight="1">
      <c r="A23" s="32">
        <v>8</v>
      </c>
      <c r="B23" s="76" t="s">
        <v>103</v>
      </c>
      <c r="C23" s="77" t="s">
        <v>52</v>
      </c>
      <c r="D23" s="76" t="s">
        <v>99</v>
      </c>
      <c r="E23" s="81">
        <v>35.28</v>
      </c>
      <c r="F23" s="79">
        <f>SUM(E23/100)</f>
        <v>0.3528</v>
      </c>
      <c r="G23" s="79">
        <v>44.29</v>
      </c>
      <c r="H23" s="80">
        <f t="shared" si="0"/>
        <v>1.5625512000000001E-2</v>
      </c>
      <c r="I23" s="13">
        <f>F23*G23</f>
        <v>15.625512000000001</v>
      </c>
      <c r="J23" s="25"/>
      <c r="K23" s="8"/>
      <c r="L23" s="8"/>
      <c r="M23" s="8"/>
    </row>
    <row r="24" spans="1:13" ht="15.75" customHeight="1">
      <c r="A24" s="32">
        <v>9</v>
      </c>
      <c r="B24" s="76" t="s">
        <v>104</v>
      </c>
      <c r="C24" s="77" t="s">
        <v>52</v>
      </c>
      <c r="D24" s="76" t="s">
        <v>30</v>
      </c>
      <c r="E24" s="78">
        <v>10.8</v>
      </c>
      <c r="F24" s="79">
        <f>E24*12/100</f>
        <v>1.2960000000000003</v>
      </c>
      <c r="G24" s="79">
        <v>389.72</v>
      </c>
      <c r="H24" s="80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customHeight="1">
      <c r="A25" s="32">
        <v>10</v>
      </c>
      <c r="B25" s="76" t="s">
        <v>105</v>
      </c>
      <c r="C25" s="77" t="s">
        <v>52</v>
      </c>
      <c r="D25" s="76" t="s">
        <v>123</v>
      </c>
      <c r="E25" s="78">
        <v>21.6</v>
      </c>
      <c r="F25" s="79">
        <f>SUM(E25*12/100)</f>
        <v>2.5920000000000005</v>
      </c>
      <c r="G25" s="79">
        <v>520.79999999999995</v>
      </c>
      <c r="H25" s="80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11</v>
      </c>
      <c r="B26" s="76" t="s">
        <v>64</v>
      </c>
      <c r="C26" s="77" t="s">
        <v>33</v>
      </c>
      <c r="D26" s="76" t="s">
        <v>183</v>
      </c>
      <c r="E26" s="78">
        <v>0.1</v>
      </c>
      <c r="F26" s="79">
        <f>SUM(E26*365)</f>
        <v>36.5</v>
      </c>
      <c r="G26" s="79">
        <v>147.03</v>
      </c>
      <c r="H26" s="80">
        <f>SUM(F26*G26/1000)</f>
        <v>5.3665950000000002</v>
      </c>
      <c r="I26" s="13">
        <f>F26/12*G26</f>
        <v>447.21625</v>
      </c>
      <c r="J26" s="26"/>
    </row>
    <row r="27" spans="1:13" ht="15.75" customHeight="1">
      <c r="A27" s="32">
        <v>12</v>
      </c>
      <c r="B27" s="84" t="s">
        <v>23</v>
      </c>
      <c r="C27" s="77" t="s">
        <v>24</v>
      </c>
      <c r="D27" s="76" t="s">
        <v>183</v>
      </c>
      <c r="E27" s="78">
        <v>6980.3</v>
      </c>
      <c r="F27" s="79">
        <f>SUM(E27*12)</f>
        <v>83763.600000000006</v>
      </c>
      <c r="G27" s="79">
        <v>4.4000000000000004</v>
      </c>
      <c r="H27" s="80">
        <f>SUM(F27*G27/1000)</f>
        <v>368.55984000000007</v>
      </c>
      <c r="I27" s="13">
        <f>F27/12*G27</f>
        <v>30713.320000000003</v>
      </c>
      <c r="J27" s="26"/>
    </row>
    <row r="28" spans="1:13" ht="15" customHeight="1">
      <c r="A28" s="138" t="s">
        <v>87</v>
      </c>
      <c r="B28" s="138"/>
      <c r="C28" s="138"/>
      <c r="D28" s="138"/>
      <c r="E28" s="138"/>
      <c r="F28" s="138"/>
      <c r="G28" s="138"/>
      <c r="H28" s="138"/>
      <c r="I28" s="138"/>
      <c r="J28" s="25"/>
      <c r="K28" s="8"/>
      <c r="L28" s="8"/>
      <c r="M28" s="8"/>
    </row>
    <row r="29" spans="1:13" ht="15.75" customHeight="1">
      <c r="A29" s="32"/>
      <c r="B29" s="100" t="s">
        <v>28</v>
      </c>
      <c r="C29" s="77"/>
      <c r="D29" s="76"/>
      <c r="E29" s="78"/>
      <c r="F29" s="79"/>
      <c r="G29" s="79"/>
      <c r="H29" s="80"/>
      <c r="I29" s="13"/>
      <c r="J29" s="25"/>
      <c r="K29" s="8"/>
      <c r="L29" s="8"/>
      <c r="M29" s="8"/>
    </row>
    <row r="30" spans="1:13" ht="15.75" customHeight="1">
      <c r="A30" s="32">
        <v>13</v>
      </c>
      <c r="B30" s="76" t="s">
        <v>109</v>
      </c>
      <c r="C30" s="77" t="s">
        <v>92</v>
      </c>
      <c r="D30" s="76" t="s">
        <v>213</v>
      </c>
      <c r="E30" s="79">
        <v>1168.05</v>
      </c>
      <c r="F30" s="79">
        <f>SUM(E30*52/1000)</f>
        <v>60.738599999999998</v>
      </c>
      <c r="G30" s="79">
        <v>155.88999999999999</v>
      </c>
      <c r="H30" s="80">
        <f t="shared" ref="H30:H36" si="1">SUM(F30*G30/1000)</f>
        <v>9.4685403539999982</v>
      </c>
      <c r="I30" s="13">
        <f>F30/6*G30</f>
        <v>1578.0900589999997</v>
      </c>
      <c r="J30" s="25"/>
      <c r="K30" s="8"/>
      <c r="L30" s="8"/>
      <c r="M30" s="8"/>
    </row>
    <row r="31" spans="1:13" ht="31.5" customHeight="1">
      <c r="A31" s="32">
        <v>14</v>
      </c>
      <c r="B31" s="76" t="s">
        <v>125</v>
      </c>
      <c r="C31" s="77" t="s">
        <v>92</v>
      </c>
      <c r="D31" s="76" t="s">
        <v>214</v>
      </c>
      <c r="E31" s="79">
        <v>1039.2</v>
      </c>
      <c r="F31" s="79">
        <f>SUM(E31*78/1000)</f>
        <v>81.057600000000008</v>
      </c>
      <c r="G31" s="79">
        <v>258.63</v>
      </c>
      <c r="H31" s="80">
        <f t="shared" si="1"/>
        <v>20.963927088000002</v>
      </c>
      <c r="I31" s="13">
        <f t="shared" ref="I31:I34" si="2">F31/6*G31</f>
        <v>3493.9878480000002</v>
      </c>
      <c r="J31" s="25"/>
      <c r="K31" s="8"/>
      <c r="L31" s="8"/>
      <c r="M31" s="8"/>
    </row>
    <row r="32" spans="1:13" ht="15.75" customHeight="1">
      <c r="A32" s="32">
        <v>15</v>
      </c>
      <c r="B32" s="76" t="s">
        <v>27</v>
      </c>
      <c r="C32" s="77" t="s">
        <v>92</v>
      </c>
      <c r="D32" s="76" t="s">
        <v>53</v>
      </c>
      <c r="E32" s="79">
        <v>584.03</v>
      </c>
      <c r="F32" s="79">
        <f>SUM(E32/1000)</f>
        <v>0.58402999999999994</v>
      </c>
      <c r="G32" s="79">
        <v>3020.33</v>
      </c>
      <c r="H32" s="80">
        <f t="shared" si="1"/>
        <v>1.7639633298999997</v>
      </c>
      <c r="I32" s="13">
        <f>F32*G32</f>
        <v>1763.9633298999997</v>
      </c>
      <c r="J32" s="25"/>
      <c r="K32" s="8"/>
      <c r="L32" s="8"/>
      <c r="M32" s="8"/>
    </row>
    <row r="33" spans="1:14" ht="15.75" customHeight="1">
      <c r="A33" s="32">
        <v>16</v>
      </c>
      <c r="B33" s="76" t="s">
        <v>124</v>
      </c>
      <c r="C33" s="77" t="s">
        <v>39</v>
      </c>
      <c r="D33" s="76" t="s">
        <v>63</v>
      </c>
      <c r="E33" s="79">
        <v>6</v>
      </c>
      <c r="F33" s="79">
        <f>E33*155/100</f>
        <v>9.3000000000000007</v>
      </c>
      <c r="G33" s="79">
        <v>1302.02</v>
      </c>
      <c r="H33" s="80">
        <f>G33*F33/1000</f>
        <v>12.108786</v>
      </c>
      <c r="I33" s="13">
        <f t="shared" si="2"/>
        <v>2018.1310000000001</v>
      </c>
      <c r="J33" s="25"/>
      <c r="K33" s="8"/>
      <c r="L33" s="8"/>
      <c r="M33" s="8"/>
    </row>
    <row r="34" spans="1:14" ht="15.75" customHeight="1">
      <c r="A34" s="32">
        <v>17</v>
      </c>
      <c r="B34" s="76" t="s">
        <v>108</v>
      </c>
      <c r="C34" s="77" t="s">
        <v>31</v>
      </c>
      <c r="D34" s="76" t="s">
        <v>63</v>
      </c>
      <c r="E34" s="83">
        <v>0.33333333333333331</v>
      </c>
      <c r="F34" s="79">
        <f>155/3</f>
        <v>51.666666666666664</v>
      </c>
      <c r="G34" s="79">
        <v>56.69</v>
      </c>
      <c r="H34" s="80">
        <f>SUM(G34*155/3/1000)</f>
        <v>2.9289833333333331</v>
      </c>
      <c r="I34" s="13">
        <f t="shared" si="2"/>
        <v>488.16388888888883</v>
      </c>
      <c r="J34" s="25"/>
      <c r="K34" s="8"/>
    </row>
    <row r="35" spans="1:14" ht="15.75" hidden="1" customHeight="1">
      <c r="A35" s="32"/>
      <c r="B35" s="76" t="s">
        <v>65</v>
      </c>
      <c r="C35" s="77" t="s">
        <v>33</v>
      </c>
      <c r="D35" s="76" t="s">
        <v>67</v>
      </c>
      <c r="E35" s="78"/>
      <c r="F35" s="79">
        <v>4</v>
      </c>
      <c r="G35" s="79">
        <v>180.15</v>
      </c>
      <c r="H35" s="80">
        <f t="shared" si="1"/>
        <v>0.72060000000000002</v>
      </c>
      <c r="I35" s="13">
        <v>0</v>
      </c>
      <c r="J35" s="26"/>
    </row>
    <row r="36" spans="1:14" ht="15.75" hidden="1" customHeight="1">
      <c r="A36" s="32"/>
      <c r="B36" s="76" t="s">
        <v>66</v>
      </c>
      <c r="C36" s="77" t="s">
        <v>32</v>
      </c>
      <c r="D36" s="76" t="s">
        <v>67</v>
      </c>
      <c r="E36" s="78"/>
      <c r="F36" s="79">
        <v>3</v>
      </c>
      <c r="G36" s="79">
        <v>1136.33</v>
      </c>
      <c r="H36" s="80">
        <f t="shared" si="1"/>
        <v>3.4089899999999997</v>
      </c>
      <c r="I36" s="13">
        <v>0</v>
      </c>
      <c r="J36" s="26"/>
    </row>
    <row r="37" spans="1:14" ht="15.75" hidden="1" customHeight="1">
      <c r="A37" s="32"/>
      <c r="B37" s="100" t="s">
        <v>5</v>
      </c>
      <c r="C37" s="77"/>
      <c r="D37" s="76"/>
      <c r="E37" s="78"/>
      <c r="F37" s="79"/>
      <c r="G37" s="79"/>
      <c r="H37" s="80" t="s">
        <v>152</v>
      </c>
      <c r="I37" s="13"/>
      <c r="J37" s="26"/>
    </row>
    <row r="38" spans="1:14" ht="15.75" hidden="1" customHeight="1">
      <c r="A38" s="32">
        <v>10</v>
      </c>
      <c r="B38" s="76" t="s">
        <v>26</v>
      </c>
      <c r="C38" s="77" t="s">
        <v>32</v>
      </c>
      <c r="D38" s="76"/>
      <c r="E38" s="78"/>
      <c r="F38" s="79">
        <v>10</v>
      </c>
      <c r="G38" s="79">
        <v>1527.22</v>
      </c>
      <c r="H38" s="80">
        <f t="shared" ref="H38:H45" si="3">SUM(F38*G38/1000)</f>
        <v>15.272200000000002</v>
      </c>
      <c r="I38" s="13">
        <f>F38/6*G38</f>
        <v>2545.3666666666668</v>
      </c>
      <c r="J38" s="26"/>
    </row>
    <row r="39" spans="1:14" ht="15.75" hidden="1" customHeight="1">
      <c r="A39" s="32">
        <v>11</v>
      </c>
      <c r="B39" s="76" t="s">
        <v>126</v>
      </c>
      <c r="C39" s="77" t="s">
        <v>33</v>
      </c>
      <c r="D39" s="76"/>
      <c r="E39" s="78"/>
      <c r="F39" s="79">
        <v>10</v>
      </c>
      <c r="G39" s="79">
        <v>77.94</v>
      </c>
      <c r="H39" s="80">
        <f>G39*F39/1000</f>
        <v>0.77939999999999998</v>
      </c>
      <c r="I39" s="13">
        <f>F39/6*G39</f>
        <v>129.9</v>
      </c>
      <c r="J39" s="26"/>
      <c r="L39" s="19"/>
      <c r="M39" s="20"/>
      <c r="N39" s="21"/>
    </row>
    <row r="40" spans="1:14" ht="15.75" hidden="1" customHeight="1">
      <c r="A40" s="32">
        <v>12</v>
      </c>
      <c r="B40" s="76" t="s">
        <v>110</v>
      </c>
      <c r="C40" s="77" t="s">
        <v>29</v>
      </c>
      <c r="D40" s="76" t="s">
        <v>127</v>
      </c>
      <c r="E40" s="78">
        <v>1039.2</v>
      </c>
      <c r="F40" s="79">
        <f>E40*25/1000</f>
        <v>25.98</v>
      </c>
      <c r="G40" s="79">
        <v>2102.71</v>
      </c>
      <c r="H40" s="80">
        <f>G40*F40/1000</f>
        <v>54.628405800000003</v>
      </c>
      <c r="I40" s="13">
        <f>F40/6*G40</f>
        <v>9104.7343000000001</v>
      </c>
      <c r="J40" s="26"/>
      <c r="L40" s="19"/>
      <c r="M40" s="20"/>
      <c r="N40" s="21"/>
    </row>
    <row r="41" spans="1:14" ht="15.75" hidden="1" customHeight="1">
      <c r="A41" s="32"/>
      <c r="B41" s="76" t="s">
        <v>128</v>
      </c>
      <c r="C41" s="77" t="s">
        <v>129</v>
      </c>
      <c r="D41" s="76" t="s">
        <v>67</v>
      </c>
      <c r="E41" s="78"/>
      <c r="F41" s="79">
        <v>50</v>
      </c>
      <c r="G41" s="79">
        <v>213.2</v>
      </c>
      <c r="H41" s="80">
        <f>G41*F41/1000</f>
        <v>10.66</v>
      </c>
      <c r="I41" s="13">
        <v>0</v>
      </c>
      <c r="J41" s="26"/>
      <c r="L41" s="19"/>
      <c r="M41" s="20"/>
      <c r="N41" s="21"/>
    </row>
    <row r="42" spans="1:14" ht="15.75" hidden="1" customHeight="1">
      <c r="A42" s="32">
        <v>13</v>
      </c>
      <c r="B42" s="76" t="s">
        <v>68</v>
      </c>
      <c r="C42" s="77" t="s">
        <v>29</v>
      </c>
      <c r="D42" s="76" t="s">
        <v>91</v>
      </c>
      <c r="E42" s="79">
        <v>153</v>
      </c>
      <c r="F42" s="79">
        <f>SUM(E42*155/1000)</f>
        <v>23.715</v>
      </c>
      <c r="G42" s="79">
        <v>350.75</v>
      </c>
      <c r="H42" s="80">
        <f t="shared" si="3"/>
        <v>8.3180362499999987</v>
      </c>
      <c r="I42" s="13">
        <f>F42/6*G42</f>
        <v>1386.339375</v>
      </c>
      <c r="J42" s="26"/>
      <c r="L42" s="19"/>
      <c r="M42" s="20"/>
      <c r="N42" s="21"/>
    </row>
    <row r="43" spans="1:14" ht="47.25" hidden="1" customHeight="1">
      <c r="A43" s="32">
        <v>14</v>
      </c>
      <c r="B43" s="76" t="s">
        <v>84</v>
      </c>
      <c r="C43" s="77" t="s">
        <v>92</v>
      </c>
      <c r="D43" s="76" t="s">
        <v>130</v>
      </c>
      <c r="E43" s="79">
        <v>24</v>
      </c>
      <c r="F43" s="79">
        <f>SUM(E43*50/1000)</f>
        <v>1.2</v>
      </c>
      <c r="G43" s="79">
        <v>5803.28</v>
      </c>
      <c r="H43" s="80">
        <f t="shared" si="3"/>
        <v>6.9639359999999995</v>
      </c>
      <c r="I43" s="13">
        <f>F43/6*G43</f>
        <v>1160.6559999999999</v>
      </c>
      <c r="J43" s="26"/>
      <c r="L43" s="19"/>
      <c r="M43" s="20"/>
      <c r="N43" s="21"/>
    </row>
    <row r="44" spans="1:14" ht="15.75" hidden="1" customHeight="1">
      <c r="A44" s="32">
        <v>15</v>
      </c>
      <c r="B44" s="76" t="s">
        <v>93</v>
      </c>
      <c r="C44" s="77" t="s">
        <v>92</v>
      </c>
      <c r="D44" s="76" t="s">
        <v>69</v>
      </c>
      <c r="E44" s="79">
        <v>153</v>
      </c>
      <c r="F44" s="79">
        <f>SUM(E44*45/1000)</f>
        <v>6.8849999999999998</v>
      </c>
      <c r="G44" s="79">
        <v>428.7</v>
      </c>
      <c r="H44" s="80">
        <f t="shared" si="3"/>
        <v>2.9515994999999999</v>
      </c>
      <c r="I44" s="13">
        <f>F44/6*G44</f>
        <v>491.93324999999999</v>
      </c>
      <c r="J44" s="26"/>
      <c r="L44" s="19"/>
      <c r="M44" s="20"/>
      <c r="N44" s="21"/>
    </row>
    <row r="45" spans="1:14" ht="15.75" hidden="1" customHeight="1">
      <c r="A45" s="32">
        <v>16</v>
      </c>
      <c r="B45" s="76" t="s">
        <v>70</v>
      </c>
      <c r="C45" s="77" t="s">
        <v>33</v>
      </c>
      <c r="D45" s="76"/>
      <c r="E45" s="78"/>
      <c r="F45" s="79">
        <v>0.9</v>
      </c>
      <c r="G45" s="79">
        <v>798</v>
      </c>
      <c r="H45" s="80">
        <f t="shared" si="3"/>
        <v>0.71820000000000006</v>
      </c>
      <c r="I45" s="13">
        <f>F45/6*G45</f>
        <v>119.69999999999999</v>
      </c>
      <c r="J45" s="26"/>
      <c r="L45" s="19"/>
      <c r="M45" s="20"/>
      <c r="N45" s="21"/>
    </row>
    <row r="46" spans="1:14" ht="15" customHeight="1">
      <c r="A46" s="139" t="s">
        <v>148</v>
      </c>
      <c r="B46" s="140"/>
      <c r="C46" s="140"/>
      <c r="D46" s="140"/>
      <c r="E46" s="140"/>
      <c r="F46" s="140"/>
      <c r="G46" s="140"/>
      <c r="H46" s="140"/>
      <c r="I46" s="141"/>
      <c r="J46" s="26"/>
      <c r="L46" s="19"/>
      <c r="M46" s="20"/>
      <c r="N46" s="21"/>
    </row>
    <row r="47" spans="1:14" ht="15.75" customHeight="1">
      <c r="A47" s="32">
        <v>18</v>
      </c>
      <c r="B47" s="76" t="s">
        <v>131</v>
      </c>
      <c r="C47" s="77" t="s">
        <v>92</v>
      </c>
      <c r="D47" s="76" t="s">
        <v>42</v>
      </c>
      <c r="E47" s="78">
        <v>1895</v>
      </c>
      <c r="F47" s="79">
        <f>SUM(E47*2/1000)</f>
        <v>3.79</v>
      </c>
      <c r="G47" s="13">
        <v>849.49</v>
      </c>
      <c r="H47" s="80">
        <f t="shared" ref="H47:H55" si="4">SUM(F47*G47/1000)</f>
        <v>3.2195671000000003</v>
      </c>
      <c r="I47" s="13">
        <f>F47/2*G47</f>
        <v>1609.7835500000001</v>
      </c>
      <c r="J47" s="26"/>
      <c r="L47" s="19"/>
      <c r="M47" s="20"/>
      <c r="N47" s="21"/>
    </row>
    <row r="48" spans="1:14" ht="15.75" customHeight="1">
      <c r="A48" s="32">
        <v>19</v>
      </c>
      <c r="B48" s="76" t="s">
        <v>34</v>
      </c>
      <c r="C48" s="77" t="s">
        <v>92</v>
      </c>
      <c r="D48" s="76" t="s">
        <v>42</v>
      </c>
      <c r="E48" s="78">
        <v>118.2</v>
      </c>
      <c r="F48" s="79">
        <f>E48*2/1000</f>
        <v>0.2364</v>
      </c>
      <c r="G48" s="13">
        <v>579.48</v>
      </c>
      <c r="H48" s="80">
        <f t="shared" si="4"/>
        <v>0.13698907199999999</v>
      </c>
      <c r="I48" s="13">
        <f t="shared" ref="I48:I50" si="5">F48/2*G48</f>
        <v>68.494535999999997</v>
      </c>
      <c r="J48" s="26"/>
      <c r="L48" s="19"/>
      <c r="M48" s="20"/>
      <c r="N48" s="21"/>
    </row>
    <row r="49" spans="1:22" ht="15.75" customHeight="1">
      <c r="A49" s="32">
        <v>20</v>
      </c>
      <c r="B49" s="76" t="s">
        <v>35</v>
      </c>
      <c r="C49" s="77" t="s">
        <v>92</v>
      </c>
      <c r="D49" s="76" t="s">
        <v>42</v>
      </c>
      <c r="E49" s="78">
        <v>4675</v>
      </c>
      <c r="F49" s="79">
        <f>SUM(E49*2/1000)</f>
        <v>9.35</v>
      </c>
      <c r="G49" s="13">
        <v>579.48</v>
      </c>
      <c r="H49" s="80">
        <f t="shared" si="4"/>
        <v>5.4181379999999999</v>
      </c>
      <c r="I49" s="13">
        <f t="shared" si="5"/>
        <v>2709.069</v>
      </c>
      <c r="J49" s="26"/>
      <c r="L49" s="19"/>
      <c r="M49" s="20"/>
      <c r="N49" s="21"/>
    </row>
    <row r="50" spans="1:22" ht="15.75" customHeight="1">
      <c r="A50" s="32">
        <v>21</v>
      </c>
      <c r="B50" s="76" t="s">
        <v>36</v>
      </c>
      <c r="C50" s="77" t="s">
        <v>92</v>
      </c>
      <c r="D50" s="76" t="s">
        <v>42</v>
      </c>
      <c r="E50" s="78">
        <v>4675</v>
      </c>
      <c r="F50" s="79">
        <f>SUM(E50*2/1000)</f>
        <v>9.35</v>
      </c>
      <c r="G50" s="13">
        <v>606.77</v>
      </c>
      <c r="H50" s="80">
        <f t="shared" si="4"/>
        <v>5.6732994999999988</v>
      </c>
      <c r="I50" s="13">
        <f t="shared" si="5"/>
        <v>2836.6497499999996</v>
      </c>
      <c r="J50" s="26"/>
      <c r="L50" s="19"/>
      <c r="M50" s="20"/>
      <c r="N50" s="21"/>
    </row>
    <row r="51" spans="1:22" ht="15.75" customHeight="1">
      <c r="A51" s="32">
        <v>22</v>
      </c>
      <c r="B51" s="76" t="s">
        <v>56</v>
      </c>
      <c r="C51" s="77" t="s">
        <v>92</v>
      </c>
      <c r="D51" s="76" t="s">
        <v>169</v>
      </c>
      <c r="E51" s="78">
        <v>3988</v>
      </c>
      <c r="F51" s="79">
        <f>SUM(E51*5/1000)</f>
        <v>19.940000000000001</v>
      </c>
      <c r="G51" s="13">
        <v>1142.7</v>
      </c>
      <c r="H51" s="80">
        <f t="shared" si="4"/>
        <v>22.785438000000003</v>
      </c>
      <c r="I51" s="13">
        <f>F51/5*G51</f>
        <v>4557.0876000000007</v>
      </c>
      <c r="J51" s="26"/>
      <c r="L51" s="19"/>
      <c r="M51" s="20"/>
      <c r="N51" s="21"/>
    </row>
    <row r="52" spans="1:22" ht="31.5" hidden="1" customHeight="1">
      <c r="A52" s="32"/>
      <c r="B52" s="76" t="s">
        <v>94</v>
      </c>
      <c r="C52" s="77" t="s">
        <v>92</v>
      </c>
      <c r="D52" s="76" t="s">
        <v>42</v>
      </c>
      <c r="E52" s="78">
        <v>3988</v>
      </c>
      <c r="F52" s="79">
        <f>SUM(E52*2/1000)</f>
        <v>7.976</v>
      </c>
      <c r="G52" s="13">
        <v>1213.55</v>
      </c>
      <c r="H52" s="80">
        <f t="shared" si="4"/>
        <v>9.6792748</v>
      </c>
      <c r="I52" s="13">
        <v>0</v>
      </c>
      <c r="J52" s="26"/>
      <c r="L52" s="19"/>
      <c r="M52" s="20"/>
      <c r="N52" s="21"/>
    </row>
    <row r="53" spans="1:22" ht="31.5" hidden="1" customHeight="1">
      <c r="A53" s="32"/>
      <c r="B53" s="76" t="s">
        <v>95</v>
      </c>
      <c r="C53" s="77" t="s">
        <v>37</v>
      </c>
      <c r="D53" s="76" t="s">
        <v>42</v>
      </c>
      <c r="E53" s="78">
        <v>30</v>
      </c>
      <c r="F53" s="79">
        <f>SUM(E53*2/100)</f>
        <v>0.6</v>
      </c>
      <c r="G53" s="13">
        <v>2730.49</v>
      </c>
      <c r="H53" s="80">
        <f>SUM(F53*G53/1000)</f>
        <v>1.6382939999999999</v>
      </c>
      <c r="I53" s="13">
        <v>0</v>
      </c>
      <c r="J53" s="26"/>
      <c r="L53" s="19"/>
      <c r="M53" s="20"/>
      <c r="N53" s="21"/>
    </row>
    <row r="54" spans="1:22" ht="15.75" hidden="1" customHeight="1">
      <c r="A54" s="32"/>
      <c r="B54" s="76" t="s">
        <v>38</v>
      </c>
      <c r="C54" s="77" t="s">
        <v>39</v>
      </c>
      <c r="D54" s="76" t="s">
        <v>42</v>
      </c>
      <c r="E54" s="78">
        <v>1</v>
      </c>
      <c r="F54" s="79">
        <v>0.02</v>
      </c>
      <c r="G54" s="13">
        <v>5652.13</v>
      </c>
      <c r="H54" s="80">
        <f t="shared" si="4"/>
        <v>0.11304260000000001</v>
      </c>
      <c r="I54" s="13">
        <v>0</v>
      </c>
      <c r="J54" s="26"/>
      <c r="L54" s="19"/>
      <c r="M54" s="20"/>
      <c r="N54" s="21"/>
    </row>
    <row r="55" spans="1:22" ht="15.75" hidden="1" customHeight="1">
      <c r="A55" s="32">
        <v>18</v>
      </c>
      <c r="B55" s="76" t="s">
        <v>41</v>
      </c>
      <c r="C55" s="77" t="s">
        <v>111</v>
      </c>
      <c r="D55" s="76" t="s">
        <v>71</v>
      </c>
      <c r="E55" s="78">
        <v>236</v>
      </c>
      <c r="F55" s="79">
        <f>SUM(E55)*3</f>
        <v>708</v>
      </c>
      <c r="G55" s="13">
        <v>65.67</v>
      </c>
      <c r="H55" s="80">
        <f t="shared" si="4"/>
        <v>46.49436</v>
      </c>
      <c r="I55" s="13">
        <f>E55*G55</f>
        <v>15498.12</v>
      </c>
      <c r="J55" s="26"/>
      <c r="L55" s="19"/>
      <c r="M55" s="20"/>
      <c r="N55" s="21"/>
    </row>
    <row r="56" spans="1:22" ht="15.75" customHeight="1">
      <c r="A56" s="139" t="s">
        <v>149</v>
      </c>
      <c r="B56" s="140"/>
      <c r="C56" s="140"/>
      <c r="D56" s="140"/>
      <c r="E56" s="140"/>
      <c r="F56" s="140"/>
      <c r="G56" s="140"/>
      <c r="H56" s="140"/>
      <c r="I56" s="141"/>
      <c r="J56" s="26"/>
      <c r="L56" s="19"/>
      <c r="M56" s="20"/>
      <c r="N56" s="21"/>
    </row>
    <row r="57" spans="1:22" ht="15.75" hidden="1" customHeight="1">
      <c r="A57" s="32"/>
      <c r="B57" s="100" t="s">
        <v>43</v>
      </c>
      <c r="C57" s="77"/>
      <c r="D57" s="76"/>
      <c r="E57" s="78"/>
      <c r="F57" s="79"/>
      <c r="G57" s="79"/>
      <c r="H57" s="80"/>
      <c r="I57" s="13"/>
      <c r="J57" s="26"/>
      <c r="L57" s="19"/>
      <c r="M57" s="20"/>
      <c r="N57" s="21"/>
    </row>
    <row r="58" spans="1:22" ht="31.5" hidden="1" customHeight="1">
      <c r="A58" s="32">
        <v>19</v>
      </c>
      <c r="B58" s="76" t="s">
        <v>132</v>
      </c>
      <c r="C58" s="77" t="s">
        <v>90</v>
      </c>
      <c r="D58" s="76" t="s">
        <v>112</v>
      </c>
      <c r="E58" s="78">
        <v>30</v>
      </c>
      <c r="F58" s="79">
        <f>SUM(E58*6/100)</f>
        <v>1.8</v>
      </c>
      <c r="G58" s="13">
        <v>1547.28</v>
      </c>
      <c r="H58" s="80">
        <f>SUM(F58*G58/1000)</f>
        <v>2.785104</v>
      </c>
      <c r="I58" s="13">
        <f>F58/6*G58</f>
        <v>464.18399999999997</v>
      </c>
      <c r="J58" s="26"/>
      <c r="L58" s="19"/>
    </row>
    <row r="59" spans="1:22" ht="15.75" hidden="1" customHeight="1">
      <c r="A59" s="32">
        <v>20</v>
      </c>
      <c r="B59" s="85" t="s">
        <v>133</v>
      </c>
      <c r="C59" s="86" t="s">
        <v>134</v>
      </c>
      <c r="D59" s="85" t="s">
        <v>42</v>
      </c>
      <c r="E59" s="87">
        <v>6</v>
      </c>
      <c r="F59" s="88">
        <v>12</v>
      </c>
      <c r="G59" s="13">
        <v>180.78</v>
      </c>
      <c r="H59" s="89">
        <f>G59*F59/1000</f>
        <v>2.1693600000000002</v>
      </c>
      <c r="I59" s="13">
        <f>F59/2*G59</f>
        <v>1084.68</v>
      </c>
    </row>
    <row r="60" spans="1:22" ht="15.75" hidden="1" customHeight="1">
      <c r="A60" s="32">
        <v>21</v>
      </c>
      <c r="B60" s="85" t="s">
        <v>135</v>
      </c>
      <c r="C60" s="86" t="s">
        <v>52</v>
      </c>
      <c r="D60" s="85" t="s">
        <v>40</v>
      </c>
      <c r="E60" s="87">
        <v>6</v>
      </c>
      <c r="F60" s="88">
        <f>E60*4/100</f>
        <v>0.24</v>
      </c>
      <c r="G60" s="13">
        <v>1547.28</v>
      </c>
      <c r="H60" s="89">
        <f>G60*F60/1000</f>
        <v>0.37134719999999999</v>
      </c>
      <c r="I60" s="13">
        <f>F60/4*G60</f>
        <v>92.836799999999997</v>
      </c>
    </row>
    <row r="61" spans="1:22" ht="15.75" customHeight="1">
      <c r="A61" s="32"/>
      <c r="B61" s="101" t="s">
        <v>44</v>
      </c>
      <c r="C61" s="86"/>
      <c r="D61" s="85"/>
      <c r="E61" s="87"/>
      <c r="F61" s="88"/>
      <c r="G61" s="13"/>
      <c r="H61" s="89"/>
      <c r="I61" s="13"/>
    </row>
    <row r="62" spans="1:22" ht="15.75" hidden="1" customHeight="1">
      <c r="A62" s="32">
        <v>22</v>
      </c>
      <c r="B62" s="85" t="s">
        <v>136</v>
      </c>
      <c r="C62" s="86" t="s">
        <v>52</v>
      </c>
      <c r="D62" s="85" t="s">
        <v>53</v>
      </c>
      <c r="E62" s="87">
        <v>997</v>
      </c>
      <c r="F62" s="88">
        <v>9.9700000000000006</v>
      </c>
      <c r="G62" s="13">
        <v>793.61</v>
      </c>
      <c r="H62" s="89">
        <f>F62*G62/1000</f>
        <v>7.9122917000000008</v>
      </c>
      <c r="I62" s="13">
        <f>G62*F62</f>
        <v>7912.2917000000007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customHeight="1">
      <c r="A63" s="32">
        <v>23</v>
      </c>
      <c r="B63" s="85" t="s">
        <v>137</v>
      </c>
      <c r="C63" s="86" t="s">
        <v>25</v>
      </c>
      <c r="D63" s="85" t="s">
        <v>30</v>
      </c>
      <c r="E63" s="87">
        <v>394</v>
      </c>
      <c r="F63" s="90">
        <f>E63*12</f>
        <v>4728</v>
      </c>
      <c r="G63" s="71">
        <v>2.6</v>
      </c>
      <c r="H63" s="88">
        <f>F63*G63/1000</f>
        <v>12.292800000000002</v>
      </c>
      <c r="I63" s="13">
        <f>F63/12*G63</f>
        <v>1024.4000000000001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2"/>
      <c r="B64" s="101" t="s">
        <v>45</v>
      </c>
      <c r="C64" s="86"/>
      <c r="D64" s="85"/>
      <c r="E64" s="87"/>
      <c r="F64" s="90"/>
      <c r="G64" s="90"/>
      <c r="H64" s="88" t="s">
        <v>152</v>
      </c>
      <c r="I64" s="13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32">
        <v>24</v>
      </c>
      <c r="B65" s="14" t="s">
        <v>46</v>
      </c>
      <c r="C65" s="16" t="s">
        <v>111</v>
      </c>
      <c r="D65" s="76" t="s">
        <v>67</v>
      </c>
      <c r="E65" s="18">
        <v>15</v>
      </c>
      <c r="F65" s="79">
        <v>15</v>
      </c>
      <c r="G65" s="13">
        <v>222.4</v>
      </c>
      <c r="H65" s="91">
        <f t="shared" ref="H65:H78" si="6">SUM(F65*G65/1000)</f>
        <v>3.3359999999999999</v>
      </c>
      <c r="I65" s="13">
        <f>G65*3</f>
        <v>667.2</v>
      </c>
      <c r="J65" s="5"/>
      <c r="K65" s="5"/>
      <c r="L65" s="5"/>
      <c r="M65" s="5"/>
      <c r="N65" s="5"/>
      <c r="O65" s="5"/>
      <c r="P65" s="5"/>
      <c r="Q65" s="5"/>
      <c r="R65" s="123"/>
      <c r="S65" s="123"/>
      <c r="T65" s="123"/>
      <c r="U65" s="123"/>
    </row>
    <row r="66" spans="1:21" ht="15.75" hidden="1" customHeight="1">
      <c r="A66" s="32">
        <v>25</v>
      </c>
      <c r="B66" s="14" t="s">
        <v>47</v>
      </c>
      <c r="C66" s="16" t="s">
        <v>111</v>
      </c>
      <c r="D66" s="76" t="s">
        <v>67</v>
      </c>
      <c r="E66" s="18">
        <v>10</v>
      </c>
      <c r="F66" s="79">
        <v>10</v>
      </c>
      <c r="G66" s="13">
        <v>76.25</v>
      </c>
      <c r="H66" s="91">
        <f t="shared" si="6"/>
        <v>0.76249999999999996</v>
      </c>
      <c r="I66" s="13">
        <f>G66</f>
        <v>76.25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customHeight="1">
      <c r="A67" s="32">
        <v>25</v>
      </c>
      <c r="B67" s="14" t="s">
        <v>48</v>
      </c>
      <c r="C67" s="16" t="s">
        <v>113</v>
      </c>
      <c r="D67" s="14" t="s">
        <v>53</v>
      </c>
      <c r="E67" s="78">
        <v>28608</v>
      </c>
      <c r="F67" s="13">
        <f>SUM(E67/100)</f>
        <v>286.08</v>
      </c>
      <c r="G67" s="13">
        <v>199.77</v>
      </c>
      <c r="H67" s="91">
        <f t="shared" si="6"/>
        <v>57.150201600000003</v>
      </c>
      <c r="I67" s="13">
        <f>F67*G67</f>
        <v>57150.2016</v>
      </c>
    </row>
    <row r="68" spans="1:21" ht="15.75" customHeight="1">
      <c r="A68" s="32">
        <v>26</v>
      </c>
      <c r="B68" s="14" t="s">
        <v>49</v>
      </c>
      <c r="C68" s="16" t="s">
        <v>114</v>
      </c>
      <c r="D68" s="14"/>
      <c r="E68" s="78">
        <v>28608</v>
      </c>
      <c r="F68" s="13">
        <f>SUM(E68/1000)</f>
        <v>28.608000000000001</v>
      </c>
      <c r="G68" s="13">
        <v>155.57</v>
      </c>
      <c r="H68" s="91">
        <f t="shared" si="6"/>
        <v>4.4505465599999994</v>
      </c>
      <c r="I68" s="13">
        <f t="shared" ref="I68:I72" si="7">F68*G68</f>
        <v>4450.5465599999998</v>
      </c>
    </row>
    <row r="69" spans="1:21" ht="15.75" customHeight="1">
      <c r="A69" s="32">
        <v>27</v>
      </c>
      <c r="B69" s="14" t="s">
        <v>50</v>
      </c>
      <c r="C69" s="16" t="s">
        <v>77</v>
      </c>
      <c r="D69" s="14" t="s">
        <v>53</v>
      </c>
      <c r="E69" s="78">
        <v>4550</v>
      </c>
      <c r="F69" s="13">
        <f>SUM(E69/100)</f>
        <v>45.5</v>
      </c>
      <c r="G69" s="13">
        <v>2074.63</v>
      </c>
      <c r="H69" s="91">
        <f t="shared" si="6"/>
        <v>94.395665000000008</v>
      </c>
      <c r="I69" s="13">
        <f t="shared" si="7"/>
        <v>94395.665000000008</v>
      </c>
    </row>
    <row r="70" spans="1:21" ht="15.75" customHeight="1">
      <c r="A70" s="32">
        <v>28</v>
      </c>
      <c r="B70" s="92" t="s">
        <v>115</v>
      </c>
      <c r="C70" s="16" t="s">
        <v>33</v>
      </c>
      <c r="D70" s="14"/>
      <c r="E70" s="78">
        <v>58.5</v>
      </c>
      <c r="F70" s="13">
        <f>SUM(E70)</f>
        <v>58.5</v>
      </c>
      <c r="G70" s="13">
        <v>45.32</v>
      </c>
      <c r="H70" s="91">
        <f t="shared" si="6"/>
        <v>2.6512199999999999</v>
      </c>
      <c r="I70" s="13">
        <f t="shared" si="7"/>
        <v>2651.22</v>
      </c>
    </row>
    <row r="71" spans="1:21" ht="15.75" customHeight="1">
      <c r="A71" s="32">
        <v>29</v>
      </c>
      <c r="B71" s="92" t="s">
        <v>116</v>
      </c>
      <c r="C71" s="16" t="s">
        <v>33</v>
      </c>
      <c r="D71" s="14"/>
      <c r="E71" s="78">
        <v>58.5</v>
      </c>
      <c r="F71" s="13">
        <f>SUM(E71)</f>
        <v>58.5</v>
      </c>
      <c r="G71" s="13">
        <v>42.28</v>
      </c>
      <c r="H71" s="91">
        <f t="shared" si="6"/>
        <v>2.4733800000000001</v>
      </c>
      <c r="I71" s="13">
        <f t="shared" si="7"/>
        <v>2473.38</v>
      </c>
    </row>
    <row r="72" spans="1:21" ht="15.75" hidden="1" customHeight="1">
      <c r="A72" s="32"/>
      <c r="B72" s="14" t="s">
        <v>57</v>
      </c>
      <c r="C72" s="16" t="s">
        <v>58</v>
      </c>
      <c r="D72" s="14" t="s">
        <v>53</v>
      </c>
      <c r="E72" s="18">
        <v>5</v>
      </c>
      <c r="F72" s="79">
        <v>5</v>
      </c>
      <c r="G72" s="13">
        <v>49.88</v>
      </c>
      <c r="H72" s="91">
        <f t="shared" si="6"/>
        <v>0.24940000000000001</v>
      </c>
      <c r="I72" s="13">
        <f t="shared" si="7"/>
        <v>249.4</v>
      </c>
    </row>
    <row r="73" spans="1:21" ht="15.75" hidden="1" customHeight="1">
      <c r="A73" s="32"/>
      <c r="B73" s="64" t="s">
        <v>72</v>
      </c>
      <c r="C73" s="16"/>
      <c r="D73" s="14"/>
      <c r="E73" s="18"/>
      <c r="F73" s="13"/>
      <c r="G73" s="13"/>
      <c r="H73" s="91" t="s">
        <v>152</v>
      </c>
      <c r="I73" s="13"/>
    </row>
    <row r="74" spans="1:21" ht="15.75" hidden="1" customHeight="1">
      <c r="A74" s="32"/>
      <c r="B74" s="14" t="s">
        <v>73</v>
      </c>
      <c r="C74" s="16" t="s">
        <v>75</v>
      </c>
      <c r="D74" s="14"/>
      <c r="E74" s="18">
        <v>10</v>
      </c>
      <c r="F74" s="13">
        <v>1</v>
      </c>
      <c r="G74" s="13">
        <v>501.62</v>
      </c>
      <c r="H74" s="91">
        <f t="shared" si="6"/>
        <v>0.50161999999999995</v>
      </c>
      <c r="I74" s="13">
        <v>0</v>
      </c>
    </row>
    <row r="75" spans="1:21" ht="15.75" hidden="1" customHeight="1">
      <c r="A75" s="32"/>
      <c r="B75" s="14" t="s">
        <v>74</v>
      </c>
      <c r="C75" s="16" t="s">
        <v>31</v>
      </c>
      <c r="D75" s="14"/>
      <c r="E75" s="18">
        <v>3</v>
      </c>
      <c r="F75" s="71">
        <v>3</v>
      </c>
      <c r="G75" s="13">
        <v>852.99</v>
      </c>
      <c r="H75" s="91">
        <f>F75*G75/1000</f>
        <v>2.5589700000000004</v>
      </c>
      <c r="I75" s="13">
        <v>0</v>
      </c>
    </row>
    <row r="76" spans="1:21" ht="15.75" hidden="1" customHeight="1">
      <c r="A76" s="32"/>
      <c r="B76" s="14" t="s">
        <v>118</v>
      </c>
      <c r="C76" s="16" t="s">
        <v>31</v>
      </c>
      <c r="D76" s="14"/>
      <c r="E76" s="18">
        <v>1</v>
      </c>
      <c r="F76" s="13">
        <v>1</v>
      </c>
      <c r="G76" s="13">
        <v>358.51</v>
      </c>
      <c r="H76" s="91">
        <f>G76*F76/1000</f>
        <v>0.35851</v>
      </c>
      <c r="I76" s="13">
        <v>0</v>
      </c>
    </row>
    <row r="77" spans="1:21" ht="15.75" hidden="1" customHeight="1">
      <c r="A77" s="32"/>
      <c r="B77" s="94" t="s">
        <v>76</v>
      </c>
      <c r="C77" s="16"/>
      <c r="D77" s="14"/>
      <c r="E77" s="18"/>
      <c r="F77" s="13"/>
      <c r="G77" s="13" t="s">
        <v>152</v>
      </c>
      <c r="H77" s="91" t="s">
        <v>152</v>
      </c>
      <c r="I77" s="13"/>
    </row>
    <row r="78" spans="1:21" ht="15.75" hidden="1" customHeight="1">
      <c r="A78" s="32"/>
      <c r="B78" s="47" t="s">
        <v>170</v>
      </c>
      <c r="C78" s="16" t="s">
        <v>77</v>
      </c>
      <c r="D78" s="14"/>
      <c r="E78" s="18"/>
      <c r="F78" s="13">
        <v>1.2</v>
      </c>
      <c r="G78" s="13">
        <v>2759.44</v>
      </c>
      <c r="H78" s="91">
        <f t="shared" si="6"/>
        <v>3.311328</v>
      </c>
      <c r="I78" s="13">
        <v>0</v>
      </c>
    </row>
    <row r="79" spans="1:21" ht="15.75" hidden="1" customHeight="1">
      <c r="A79" s="32"/>
      <c r="B79" s="70" t="s">
        <v>96</v>
      </c>
      <c r="C79" s="70"/>
      <c r="D79" s="70"/>
      <c r="E79" s="70"/>
      <c r="F79" s="70"/>
      <c r="G79" s="82"/>
      <c r="H79" s="95">
        <f>SUM(H58:H78)</f>
        <v>197.73024405999999</v>
      </c>
      <c r="I79" s="82"/>
    </row>
    <row r="80" spans="1:21" ht="15.75" hidden="1" customHeight="1">
      <c r="A80" s="32"/>
      <c r="B80" s="102" t="s">
        <v>117</v>
      </c>
      <c r="C80" s="23"/>
      <c r="D80" s="22"/>
      <c r="E80" s="72"/>
      <c r="F80" s="103">
        <v>1</v>
      </c>
      <c r="G80" s="13">
        <v>23072.1</v>
      </c>
      <c r="H80" s="91">
        <f>G80*F80/1000</f>
        <v>23.072099999999999</v>
      </c>
      <c r="I80" s="13">
        <v>0</v>
      </c>
    </row>
    <row r="81" spans="1:9" ht="15.75" customHeight="1">
      <c r="A81" s="124" t="s">
        <v>150</v>
      </c>
      <c r="B81" s="125"/>
      <c r="C81" s="125"/>
      <c r="D81" s="125"/>
      <c r="E81" s="125"/>
      <c r="F81" s="125"/>
      <c r="G81" s="125"/>
      <c r="H81" s="125"/>
      <c r="I81" s="126"/>
    </row>
    <row r="82" spans="1:9" ht="15.75" customHeight="1">
      <c r="A82" s="32">
        <v>30</v>
      </c>
      <c r="B82" s="76" t="s">
        <v>119</v>
      </c>
      <c r="C82" s="16" t="s">
        <v>54</v>
      </c>
      <c r="D82" s="51" t="s">
        <v>55</v>
      </c>
      <c r="E82" s="13">
        <v>6980.3</v>
      </c>
      <c r="F82" s="13">
        <f>SUM(E82*12)</f>
        <v>83763.600000000006</v>
      </c>
      <c r="G82" s="13">
        <v>2.1</v>
      </c>
      <c r="H82" s="91">
        <f>SUM(F82*G82/1000)</f>
        <v>175.90356000000003</v>
      </c>
      <c r="I82" s="13">
        <f>F82/12*G82</f>
        <v>14658.630000000001</v>
      </c>
    </row>
    <row r="83" spans="1:9" ht="31.5" customHeight="1">
      <c r="A83" s="32">
        <v>31</v>
      </c>
      <c r="B83" s="14" t="s">
        <v>78</v>
      </c>
      <c r="C83" s="16"/>
      <c r="D83" s="51" t="s">
        <v>55</v>
      </c>
      <c r="E83" s="78">
        <f>E82</f>
        <v>6980.3</v>
      </c>
      <c r="F83" s="13">
        <f>E83*12</f>
        <v>83763.600000000006</v>
      </c>
      <c r="G83" s="13">
        <v>1.63</v>
      </c>
      <c r="H83" s="91">
        <f>F83*G83/1000</f>
        <v>136.53466800000001</v>
      </c>
      <c r="I83" s="13">
        <f>F83/12*G83</f>
        <v>11377.888999999999</v>
      </c>
    </row>
    <row r="84" spans="1:9" ht="15.75" customHeight="1">
      <c r="A84" s="32"/>
      <c r="B84" s="40" t="s">
        <v>81</v>
      </c>
      <c r="C84" s="94"/>
      <c r="D84" s="93"/>
      <c r="E84" s="82"/>
      <c r="F84" s="82"/>
      <c r="G84" s="82"/>
      <c r="H84" s="95">
        <f>H83</f>
        <v>136.53466800000001</v>
      </c>
      <c r="I84" s="82">
        <f>I16+I17+I18+I19+I20+I21+I22+I23+I24+I25+I26+I27+I30+I31+I32+I33+I34+I47+I48+I49+I50+I51+I63+I65+I67+I68+I69+I70+I71+I82+I83</f>
        <v>271763.90813978889</v>
      </c>
    </row>
    <row r="85" spans="1:9" ht="15.75" customHeight="1">
      <c r="A85" s="135" t="s">
        <v>60</v>
      </c>
      <c r="B85" s="136"/>
      <c r="C85" s="136"/>
      <c r="D85" s="136"/>
      <c r="E85" s="136"/>
      <c r="F85" s="136"/>
      <c r="G85" s="136"/>
      <c r="H85" s="136"/>
      <c r="I85" s="137"/>
    </row>
    <row r="86" spans="1:9" ht="15.75" customHeight="1">
      <c r="A86" s="32">
        <v>32</v>
      </c>
      <c r="B86" s="50" t="s">
        <v>138</v>
      </c>
      <c r="C86" s="62" t="s">
        <v>111</v>
      </c>
      <c r="D86" s="14"/>
      <c r="E86" s="18"/>
      <c r="F86" s="13">
        <v>1440</v>
      </c>
      <c r="G86" s="13">
        <v>53.42</v>
      </c>
      <c r="H86" s="91">
        <f t="shared" ref="H86" si="8">G86*F86/1000</f>
        <v>76.924800000000005</v>
      </c>
      <c r="I86" s="13">
        <f>G86*120</f>
        <v>6410.4000000000005</v>
      </c>
    </row>
    <row r="87" spans="1:9" ht="15.75" customHeight="1">
      <c r="A87" s="32">
        <v>33</v>
      </c>
      <c r="B87" s="98" t="s">
        <v>192</v>
      </c>
      <c r="C87" s="99" t="s">
        <v>142</v>
      </c>
      <c r="D87" s="111"/>
      <c r="E87" s="36"/>
      <c r="F87" s="36">
        <f>(3+4+15+15+15+5+20+20+15+10+15+15+7+6+15+3)/3</f>
        <v>61</v>
      </c>
      <c r="G87" s="36">
        <v>1120.8900000000001</v>
      </c>
      <c r="H87" s="110">
        <f>G87*F87/1000</f>
        <v>68.374290000000002</v>
      </c>
      <c r="I87" s="13">
        <f>G87*(15/3)</f>
        <v>5604.4500000000007</v>
      </c>
    </row>
    <row r="88" spans="1:9" ht="15.75" customHeight="1">
      <c r="A88" s="32">
        <v>34</v>
      </c>
      <c r="B88" s="50" t="s">
        <v>215</v>
      </c>
      <c r="C88" s="62" t="s">
        <v>156</v>
      </c>
      <c r="D88" s="47"/>
      <c r="E88" s="13"/>
      <c r="F88" s="13">
        <v>1</v>
      </c>
      <c r="G88" s="13">
        <v>6139.64</v>
      </c>
      <c r="H88" s="91">
        <f t="shared" ref="H88:H89" si="9">G88*F88/1000</f>
        <v>6.13964</v>
      </c>
      <c r="I88" s="13">
        <f>G88</f>
        <v>6139.64</v>
      </c>
    </row>
    <row r="89" spans="1:9" ht="15.75" customHeight="1">
      <c r="A89" s="32">
        <v>35</v>
      </c>
      <c r="B89" s="98" t="s">
        <v>216</v>
      </c>
      <c r="C89" s="99" t="s">
        <v>142</v>
      </c>
      <c r="D89" s="47"/>
      <c r="E89" s="13"/>
      <c r="F89" s="13">
        <v>3</v>
      </c>
      <c r="G89" s="13">
        <v>1120.8900000000001</v>
      </c>
      <c r="H89" s="91">
        <f t="shared" si="9"/>
        <v>3.36267</v>
      </c>
      <c r="I89" s="13">
        <f>G89*2</f>
        <v>2241.7800000000002</v>
      </c>
    </row>
    <row r="90" spans="1:9" ht="15.75" customHeight="1">
      <c r="A90" s="32"/>
      <c r="B90" s="45" t="s">
        <v>51</v>
      </c>
      <c r="C90" s="41"/>
      <c r="D90" s="48"/>
      <c r="E90" s="41">
        <v>1</v>
      </c>
      <c r="F90" s="41"/>
      <c r="G90" s="41"/>
      <c r="H90" s="41"/>
      <c r="I90" s="34">
        <f>SUM(I86:I89)</f>
        <v>20396.27</v>
      </c>
    </row>
    <row r="91" spans="1:9">
      <c r="A91" s="32"/>
      <c r="B91" s="47" t="s">
        <v>79</v>
      </c>
      <c r="C91" s="15"/>
      <c r="D91" s="15"/>
      <c r="E91" s="42"/>
      <c r="F91" s="42"/>
      <c r="G91" s="43"/>
      <c r="H91" s="43"/>
      <c r="I91" s="17">
        <v>0</v>
      </c>
    </row>
    <row r="92" spans="1:9">
      <c r="A92" s="49"/>
      <c r="B92" s="46" t="s">
        <v>189</v>
      </c>
      <c r="C92" s="35"/>
      <c r="D92" s="35"/>
      <c r="E92" s="35"/>
      <c r="F92" s="35"/>
      <c r="G92" s="35"/>
      <c r="H92" s="35"/>
      <c r="I92" s="44">
        <f>I84+I90</f>
        <v>292160.17813978891</v>
      </c>
    </row>
    <row r="93" spans="1:9" ht="15.75">
      <c r="A93" s="127" t="s">
        <v>217</v>
      </c>
      <c r="B93" s="127"/>
      <c r="C93" s="127"/>
      <c r="D93" s="127"/>
      <c r="E93" s="127"/>
      <c r="F93" s="127"/>
      <c r="G93" s="127"/>
      <c r="H93" s="127"/>
      <c r="I93" s="127"/>
    </row>
    <row r="94" spans="1:9" ht="15.75" customHeight="1">
      <c r="A94" s="60"/>
      <c r="B94" s="128" t="s">
        <v>218</v>
      </c>
      <c r="C94" s="128"/>
      <c r="D94" s="128"/>
      <c r="E94" s="128"/>
      <c r="F94" s="128"/>
      <c r="G94" s="128"/>
      <c r="H94" s="75"/>
      <c r="I94" s="3"/>
    </row>
    <row r="95" spans="1:9">
      <c r="A95" s="69"/>
      <c r="B95" s="129" t="s">
        <v>6</v>
      </c>
      <c r="C95" s="129"/>
      <c r="D95" s="129"/>
      <c r="E95" s="129"/>
      <c r="F95" s="129"/>
      <c r="G95" s="129"/>
      <c r="H95" s="27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30" t="s">
        <v>7</v>
      </c>
      <c r="B97" s="130"/>
      <c r="C97" s="130"/>
      <c r="D97" s="130"/>
      <c r="E97" s="130"/>
      <c r="F97" s="130"/>
      <c r="G97" s="130"/>
      <c r="H97" s="130"/>
      <c r="I97" s="130"/>
    </row>
    <row r="98" spans="1:9" ht="15.75">
      <c r="A98" s="130" t="s">
        <v>8</v>
      </c>
      <c r="B98" s="130"/>
      <c r="C98" s="130"/>
      <c r="D98" s="130"/>
      <c r="E98" s="130"/>
      <c r="F98" s="130"/>
      <c r="G98" s="130"/>
      <c r="H98" s="130"/>
      <c r="I98" s="130"/>
    </row>
    <row r="99" spans="1:9" ht="15.75">
      <c r="A99" s="131" t="s">
        <v>61</v>
      </c>
      <c r="B99" s="131"/>
      <c r="C99" s="131"/>
      <c r="D99" s="131"/>
      <c r="E99" s="131"/>
      <c r="F99" s="131"/>
      <c r="G99" s="131"/>
      <c r="H99" s="131"/>
      <c r="I99" s="131"/>
    </row>
    <row r="100" spans="1:9" ht="15.75">
      <c r="A100" s="11"/>
    </row>
    <row r="101" spans="1:9" ht="15.75">
      <c r="A101" s="132" t="s">
        <v>9</v>
      </c>
      <c r="B101" s="132"/>
      <c r="C101" s="132"/>
      <c r="D101" s="132"/>
      <c r="E101" s="132"/>
      <c r="F101" s="132"/>
      <c r="G101" s="132"/>
      <c r="H101" s="132"/>
      <c r="I101" s="132"/>
    </row>
    <row r="102" spans="1:9" ht="15.75" customHeight="1">
      <c r="A102" s="4"/>
    </row>
    <row r="103" spans="1:9" ht="15.75" customHeight="1">
      <c r="B103" s="66" t="s">
        <v>10</v>
      </c>
      <c r="C103" s="133" t="s">
        <v>144</v>
      </c>
      <c r="D103" s="133"/>
      <c r="E103" s="133"/>
      <c r="F103" s="73"/>
      <c r="I103" s="68"/>
    </row>
    <row r="104" spans="1:9" ht="15.75" customHeight="1">
      <c r="A104" s="69"/>
      <c r="C104" s="129" t="s">
        <v>11</v>
      </c>
      <c r="D104" s="129"/>
      <c r="E104" s="129"/>
      <c r="F104" s="27"/>
      <c r="I104" s="67" t="s">
        <v>12</v>
      </c>
    </row>
    <row r="105" spans="1:9" ht="15.75" customHeight="1">
      <c r="A105" s="28"/>
      <c r="C105" s="12"/>
      <c r="D105" s="12"/>
      <c r="G105" s="12"/>
      <c r="H105" s="12"/>
    </row>
    <row r="106" spans="1:9" ht="15.75">
      <c r="B106" s="66" t="s">
        <v>13</v>
      </c>
      <c r="C106" s="134"/>
      <c r="D106" s="134"/>
      <c r="E106" s="134"/>
      <c r="F106" s="74"/>
      <c r="I106" s="68"/>
    </row>
    <row r="107" spans="1:9">
      <c r="A107" s="69"/>
      <c r="C107" s="123" t="s">
        <v>11</v>
      </c>
      <c r="D107" s="123"/>
      <c r="E107" s="123"/>
      <c r="F107" s="69"/>
      <c r="I107" s="67" t="s">
        <v>12</v>
      </c>
    </row>
    <row r="108" spans="1:9" ht="15.75">
      <c r="A108" s="4" t="s">
        <v>14</v>
      </c>
    </row>
    <row r="109" spans="1:9">
      <c r="A109" s="121" t="s">
        <v>15</v>
      </c>
      <c r="B109" s="121"/>
      <c r="C109" s="121"/>
      <c r="D109" s="121"/>
      <c r="E109" s="121"/>
      <c r="F109" s="121"/>
      <c r="G109" s="121"/>
      <c r="H109" s="121"/>
      <c r="I109" s="121"/>
    </row>
    <row r="110" spans="1:9" ht="45" customHeight="1">
      <c r="A110" s="122" t="s">
        <v>16</v>
      </c>
      <c r="B110" s="122"/>
      <c r="C110" s="122"/>
      <c r="D110" s="122"/>
      <c r="E110" s="122"/>
      <c r="F110" s="122"/>
      <c r="G110" s="122"/>
      <c r="H110" s="122"/>
      <c r="I110" s="122"/>
    </row>
    <row r="111" spans="1:9" ht="30" customHeight="1">
      <c r="A111" s="122" t="s">
        <v>17</v>
      </c>
      <c r="B111" s="122"/>
      <c r="C111" s="122"/>
      <c r="D111" s="122"/>
      <c r="E111" s="122"/>
      <c r="F111" s="122"/>
      <c r="G111" s="122"/>
      <c r="H111" s="122"/>
      <c r="I111" s="122"/>
    </row>
    <row r="112" spans="1:9" ht="30" customHeight="1">
      <c r="A112" s="122" t="s">
        <v>21</v>
      </c>
      <c r="B112" s="122"/>
      <c r="C112" s="122"/>
      <c r="D112" s="122"/>
      <c r="E112" s="122"/>
      <c r="F112" s="122"/>
      <c r="G112" s="122"/>
      <c r="H112" s="122"/>
      <c r="I112" s="122"/>
    </row>
    <row r="113" spans="1:9" ht="15" customHeight="1">
      <c r="A113" s="122" t="s">
        <v>20</v>
      </c>
      <c r="B113" s="122"/>
      <c r="C113" s="122"/>
      <c r="D113" s="122"/>
      <c r="E113" s="122"/>
      <c r="F113" s="122"/>
      <c r="G113" s="122"/>
      <c r="H113" s="122"/>
      <c r="I113" s="122"/>
    </row>
  </sheetData>
  <autoFilter ref="I12:I60"/>
  <mergeCells count="29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8:I28"/>
    <mergeCell ref="A46:I46"/>
    <mergeCell ref="A56:I56"/>
    <mergeCell ref="A85:I85"/>
    <mergeCell ref="A93:I93"/>
    <mergeCell ref="B94:G94"/>
    <mergeCell ref="B95:G95"/>
    <mergeCell ref="A97:I97"/>
    <mergeCell ref="A98:I98"/>
    <mergeCell ref="R65:U65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21"/>
  <sheetViews>
    <sheetView topLeftCell="A84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88</v>
      </c>
      <c r="I1" s="29"/>
      <c r="J1" s="1"/>
      <c r="K1" s="1"/>
      <c r="L1" s="1"/>
      <c r="M1" s="1"/>
    </row>
    <row r="2" spans="1:13" ht="15.75">
      <c r="A2" s="31" t="s">
        <v>62</v>
      </c>
      <c r="J2" s="2"/>
      <c r="K2" s="2"/>
      <c r="L2" s="2"/>
      <c r="M2" s="2"/>
    </row>
    <row r="3" spans="1:13" ht="15.75" customHeight="1">
      <c r="A3" s="143" t="s">
        <v>175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141</v>
      </c>
      <c r="B4" s="144"/>
      <c r="C4" s="144"/>
      <c r="D4" s="144"/>
      <c r="E4" s="144"/>
      <c r="F4" s="144"/>
      <c r="G4" s="144"/>
      <c r="H4" s="144"/>
      <c r="I4" s="144"/>
    </row>
    <row r="5" spans="1:13" ht="15.75">
      <c r="A5" s="143" t="s">
        <v>219</v>
      </c>
      <c r="B5" s="145"/>
      <c r="C5" s="145"/>
      <c r="D5" s="145"/>
      <c r="E5" s="145"/>
      <c r="F5" s="145"/>
      <c r="G5" s="145"/>
      <c r="H5" s="145"/>
      <c r="I5" s="145"/>
      <c r="J5" s="2"/>
      <c r="K5" s="2"/>
      <c r="L5" s="2"/>
      <c r="M5" s="2"/>
    </row>
    <row r="6" spans="1:13" ht="15.75">
      <c r="A6" s="2"/>
      <c r="B6" s="65"/>
      <c r="C6" s="65"/>
      <c r="D6" s="65"/>
      <c r="E6" s="65"/>
      <c r="F6" s="65"/>
      <c r="G6" s="65"/>
      <c r="H6" s="65"/>
      <c r="I6" s="33">
        <v>42916</v>
      </c>
      <c r="J6" s="2"/>
      <c r="K6" s="2"/>
      <c r="L6" s="2"/>
      <c r="M6" s="2"/>
    </row>
    <row r="7" spans="1:13" ht="15.75">
      <c r="B7" s="66"/>
      <c r="C7" s="66"/>
      <c r="D7" s="6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6" t="s">
        <v>147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7" t="s">
        <v>182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2" t="s">
        <v>59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32">
        <v>1</v>
      </c>
      <c r="B16" s="76" t="s">
        <v>89</v>
      </c>
      <c r="C16" s="77" t="s">
        <v>90</v>
      </c>
      <c r="D16" s="76" t="s">
        <v>186</v>
      </c>
      <c r="E16" s="78">
        <v>208.08</v>
      </c>
      <c r="F16" s="79">
        <f>SUM(E16*156/100)</f>
        <v>324.60480000000001</v>
      </c>
      <c r="G16" s="79">
        <v>175.38</v>
      </c>
      <c r="H16" s="80">
        <f t="shared" ref="H16:H25" si="0">SUM(F16*G16/1000)</f>
        <v>56.929189823999998</v>
      </c>
      <c r="I16" s="13">
        <f>F16/12*G16</f>
        <v>4744.0991519999998</v>
      </c>
      <c r="J16" s="24"/>
      <c r="K16" s="8"/>
      <c r="L16" s="8"/>
      <c r="M16" s="8"/>
    </row>
    <row r="17" spans="1:13" ht="15.75" customHeight="1">
      <c r="A17" s="32">
        <v>2</v>
      </c>
      <c r="B17" s="76" t="s">
        <v>120</v>
      </c>
      <c r="C17" s="77" t="s">
        <v>90</v>
      </c>
      <c r="D17" s="76" t="s">
        <v>185</v>
      </c>
      <c r="E17" s="78">
        <v>832.32</v>
      </c>
      <c r="F17" s="79">
        <f>SUM(E17*104/100)</f>
        <v>865.61279999999999</v>
      </c>
      <c r="G17" s="79">
        <v>175.38</v>
      </c>
      <c r="H17" s="80">
        <f t="shared" si="0"/>
        <v>151.81117286399999</v>
      </c>
      <c r="I17" s="13">
        <f>F17/12*G17</f>
        <v>12650.931071999999</v>
      </c>
      <c r="J17" s="25"/>
      <c r="K17" s="8"/>
      <c r="L17" s="8"/>
      <c r="M17" s="8"/>
    </row>
    <row r="18" spans="1:13" ht="15.75" customHeight="1">
      <c r="A18" s="32">
        <v>3</v>
      </c>
      <c r="B18" s="76" t="s">
        <v>121</v>
      </c>
      <c r="C18" s="77" t="s">
        <v>90</v>
      </c>
      <c r="D18" s="76" t="s">
        <v>184</v>
      </c>
      <c r="E18" s="78">
        <v>1040.4000000000001</v>
      </c>
      <c r="F18" s="79">
        <f>SUM(E18*24/100)</f>
        <v>249.69600000000003</v>
      </c>
      <c r="G18" s="79">
        <v>504.5</v>
      </c>
      <c r="H18" s="80">
        <f t="shared" si="0"/>
        <v>125.97163200000001</v>
      </c>
      <c r="I18" s="13">
        <f>F18/12*G18</f>
        <v>10497.636000000002</v>
      </c>
      <c r="J18" s="25"/>
      <c r="K18" s="8"/>
      <c r="L18" s="8"/>
      <c r="M18" s="8"/>
    </row>
    <row r="19" spans="1:13" ht="15.75" hidden="1" customHeight="1">
      <c r="A19" s="32"/>
      <c r="B19" s="76" t="s">
        <v>97</v>
      </c>
      <c r="C19" s="77" t="s">
        <v>98</v>
      </c>
      <c r="D19" s="76" t="s">
        <v>99</v>
      </c>
      <c r="E19" s="78">
        <v>48</v>
      </c>
      <c r="F19" s="79">
        <f>SUM(E19/10)</f>
        <v>4.8</v>
      </c>
      <c r="G19" s="79">
        <v>170.16</v>
      </c>
      <c r="H19" s="80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76" t="s">
        <v>100</v>
      </c>
      <c r="C20" s="77" t="s">
        <v>90</v>
      </c>
      <c r="D20" s="76" t="s">
        <v>122</v>
      </c>
      <c r="E20" s="78">
        <v>30.6</v>
      </c>
      <c r="F20" s="79">
        <f>SUM(E20*12/100)</f>
        <v>3.6720000000000006</v>
      </c>
      <c r="G20" s="79">
        <v>217.88</v>
      </c>
      <c r="H20" s="80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customHeight="1">
      <c r="A21" s="32">
        <v>5</v>
      </c>
      <c r="B21" s="76" t="s">
        <v>101</v>
      </c>
      <c r="C21" s="77" t="s">
        <v>90</v>
      </c>
      <c r="D21" s="76" t="s">
        <v>30</v>
      </c>
      <c r="E21" s="78">
        <v>10.06</v>
      </c>
      <c r="F21" s="79">
        <f>SUM(E21*12/100)</f>
        <v>1.2072000000000001</v>
      </c>
      <c r="G21" s="79">
        <v>216.12</v>
      </c>
      <c r="H21" s="80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6" t="s">
        <v>102</v>
      </c>
      <c r="C22" s="77" t="s">
        <v>52</v>
      </c>
      <c r="D22" s="76" t="s">
        <v>99</v>
      </c>
      <c r="E22" s="78">
        <v>769.2</v>
      </c>
      <c r="F22" s="79">
        <f>SUM(E22/100)</f>
        <v>7.6920000000000002</v>
      </c>
      <c r="G22" s="79">
        <v>269.26</v>
      </c>
      <c r="H22" s="80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6" t="s">
        <v>103</v>
      </c>
      <c r="C23" s="77" t="s">
        <v>52</v>
      </c>
      <c r="D23" s="76" t="s">
        <v>99</v>
      </c>
      <c r="E23" s="81">
        <v>35.28</v>
      </c>
      <c r="F23" s="79">
        <f>SUM(E23/100)</f>
        <v>0.3528</v>
      </c>
      <c r="G23" s="79">
        <v>44.29</v>
      </c>
      <c r="H23" s="80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customHeight="1">
      <c r="A24" s="32">
        <v>6</v>
      </c>
      <c r="B24" s="76" t="s">
        <v>104</v>
      </c>
      <c r="C24" s="77" t="s">
        <v>52</v>
      </c>
      <c r="D24" s="76" t="s">
        <v>30</v>
      </c>
      <c r="E24" s="78">
        <v>10.8</v>
      </c>
      <c r="F24" s="79">
        <f>E24*12/100</f>
        <v>1.2960000000000003</v>
      </c>
      <c r="G24" s="79">
        <v>389.72</v>
      </c>
      <c r="H24" s="80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customHeight="1">
      <c r="A25" s="32">
        <v>7</v>
      </c>
      <c r="B25" s="76" t="s">
        <v>105</v>
      </c>
      <c r="C25" s="77" t="s">
        <v>52</v>
      </c>
      <c r="D25" s="76" t="s">
        <v>123</v>
      </c>
      <c r="E25" s="78">
        <v>21.6</v>
      </c>
      <c r="F25" s="79">
        <f>SUM(E25*12/100)</f>
        <v>2.5920000000000005</v>
      </c>
      <c r="G25" s="79">
        <v>520.79999999999995</v>
      </c>
      <c r="H25" s="80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8</v>
      </c>
      <c r="B26" s="76" t="s">
        <v>64</v>
      </c>
      <c r="C26" s="77" t="s">
        <v>33</v>
      </c>
      <c r="D26" s="76" t="s">
        <v>183</v>
      </c>
      <c r="E26" s="78">
        <v>0.1</v>
      </c>
      <c r="F26" s="79">
        <f>SUM(E26*365)</f>
        <v>36.5</v>
      </c>
      <c r="G26" s="79">
        <v>147.03</v>
      </c>
      <c r="H26" s="80">
        <f>SUM(F26*G26/1000)</f>
        <v>5.3665950000000002</v>
      </c>
      <c r="I26" s="13">
        <f>F26/12*G26</f>
        <v>447.21625</v>
      </c>
      <c r="J26" s="26"/>
    </row>
    <row r="27" spans="1:13" ht="15.75" customHeight="1">
      <c r="A27" s="32">
        <v>9</v>
      </c>
      <c r="B27" s="84" t="s">
        <v>23</v>
      </c>
      <c r="C27" s="77" t="s">
        <v>24</v>
      </c>
      <c r="D27" s="76" t="s">
        <v>183</v>
      </c>
      <c r="E27" s="78">
        <v>6980.3</v>
      </c>
      <c r="F27" s="79">
        <f>SUM(E27*12)</f>
        <v>83763.600000000006</v>
      </c>
      <c r="G27" s="79">
        <v>4.4000000000000004</v>
      </c>
      <c r="H27" s="80">
        <f>SUM(F27*G27/1000)</f>
        <v>368.55984000000007</v>
      </c>
      <c r="I27" s="13">
        <f>F27/12*G27</f>
        <v>30713.320000000003</v>
      </c>
      <c r="J27" s="26"/>
    </row>
    <row r="28" spans="1:13" ht="15" customHeight="1">
      <c r="A28" s="138" t="s">
        <v>87</v>
      </c>
      <c r="B28" s="138"/>
      <c r="C28" s="138"/>
      <c r="D28" s="138"/>
      <c r="E28" s="138"/>
      <c r="F28" s="138"/>
      <c r="G28" s="138"/>
      <c r="H28" s="138"/>
      <c r="I28" s="138"/>
      <c r="J28" s="25"/>
      <c r="K28" s="8"/>
      <c r="L28" s="8"/>
      <c r="M28" s="8"/>
    </row>
    <row r="29" spans="1:13" ht="15.75" customHeight="1">
      <c r="A29" s="32"/>
      <c r="B29" s="100" t="s">
        <v>28</v>
      </c>
      <c r="C29" s="77"/>
      <c r="D29" s="76"/>
      <c r="E29" s="78"/>
      <c r="F29" s="79"/>
      <c r="G29" s="79"/>
      <c r="H29" s="80"/>
      <c r="I29" s="13"/>
      <c r="J29" s="25"/>
      <c r="K29" s="8"/>
      <c r="L29" s="8"/>
      <c r="M29" s="8"/>
    </row>
    <row r="30" spans="1:13" ht="15.75" customHeight="1">
      <c r="A30" s="32">
        <v>10</v>
      </c>
      <c r="B30" s="76" t="s">
        <v>109</v>
      </c>
      <c r="C30" s="77" t="s">
        <v>92</v>
      </c>
      <c r="D30" s="76" t="s">
        <v>213</v>
      </c>
      <c r="E30" s="79">
        <v>1168.05</v>
      </c>
      <c r="F30" s="79">
        <f>SUM(E30*52/1000)</f>
        <v>60.738599999999998</v>
      </c>
      <c r="G30" s="79">
        <v>155.88999999999999</v>
      </c>
      <c r="H30" s="80">
        <f t="shared" ref="H30:H36" si="1">SUM(F30*G30/1000)</f>
        <v>9.4685403539999982</v>
      </c>
      <c r="I30" s="13">
        <f>F30/6*G30</f>
        <v>1578.0900589999997</v>
      </c>
      <c r="J30" s="25"/>
      <c r="K30" s="8"/>
      <c r="L30" s="8"/>
      <c r="M30" s="8"/>
    </row>
    <row r="31" spans="1:13" ht="31.5" customHeight="1">
      <c r="A31" s="32">
        <v>11</v>
      </c>
      <c r="B31" s="76" t="s">
        <v>125</v>
      </c>
      <c r="C31" s="77" t="s">
        <v>92</v>
      </c>
      <c r="D31" s="76" t="s">
        <v>214</v>
      </c>
      <c r="E31" s="79">
        <v>1039.2</v>
      </c>
      <c r="F31" s="79">
        <f>SUM(E31*78/1000)</f>
        <v>81.057600000000008</v>
      </c>
      <c r="G31" s="79">
        <v>258.63</v>
      </c>
      <c r="H31" s="80">
        <f t="shared" si="1"/>
        <v>20.963927088000002</v>
      </c>
      <c r="I31" s="13">
        <f t="shared" ref="I31:I34" si="2">F31/6*G31</f>
        <v>3493.9878480000002</v>
      </c>
      <c r="J31" s="25"/>
      <c r="K31" s="8"/>
      <c r="L31" s="8"/>
      <c r="M31" s="8"/>
    </row>
    <row r="32" spans="1:13" ht="15.75" hidden="1" customHeight="1">
      <c r="A32" s="32">
        <v>16</v>
      </c>
      <c r="B32" s="76" t="s">
        <v>27</v>
      </c>
      <c r="C32" s="77" t="s">
        <v>92</v>
      </c>
      <c r="D32" s="76" t="s">
        <v>53</v>
      </c>
      <c r="E32" s="79">
        <v>584.03</v>
      </c>
      <c r="F32" s="79">
        <f>SUM(E32/1000)</f>
        <v>0.58402999999999994</v>
      </c>
      <c r="G32" s="79">
        <v>3020.33</v>
      </c>
      <c r="H32" s="80">
        <f t="shared" si="1"/>
        <v>1.7639633298999997</v>
      </c>
      <c r="I32" s="13">
        <f>F32*G32</f>
        <v>1763.9633298999997</v>
      </c>
      <c r="J32" s="25"/>
      <c r="K32" s="8"/>
      <c r="L32" s="8"/>
      <c r="M32" s="8"/>
    </row>
    <row r="33" spans="1:14" ht="15.75" customHeight="1">
      <c r="A33" s="32">
        <v>12</v>
      </c>
      <c r="B33" s="76" t="s">
        <v>124</v>
      </c>
      <c r="C33" s="77" t="s">
        <v>39</v>
      </c>
      <c r="D33" s="76" t="s">
        <v>63</v>
      </c>
      <c r="E33" s="79">
        <v>6</v>
      </c>
      <c r="F33" s="79">
        <f>E33*155/100</f>
        <v>9.3000000000000007</v>
      </c>
      <c r="G33" s="79">
        <v>1302.02</v>
      </c>
      <c r="H33" s="80">
        <f>G33*F33/1000</f>
        <v>12.108786</v>
      </c>
      <c r="I33" s="13">
        <f t="shared" si="2"/>
        <v>2018.1310000000001</v>
      </c>
      <c r="J33" s="25"/>
      <c r="K33" s="8"/>
      <c r="L33" s="8"/>
      <c r="M33" s="8"/>
    </row>
    <row r="34" spans="1:14" ht="15.75" customHeight="1">
      <c r="A34" s="32">
        <v>13</v>
      </c>
      <c r="B34" s="76" t="s">
        <v>108</v>
      </c>
      <c r="C34" s="77" t="s">
        <v>31</v>
      </c>
      <c r="D34" s="76" t="s">
        <v>63</v>
      </c>
      <c r="E34" s="83">
        <v>0.33333333333333331</v>
      </c>
      <c r="F34" s="79">
        <f>155/3</f>
        <v>51.666666666666664</v>
      </c>
      <c r="G34" s="79">
        <v>56.69</v>
      </c>
      <c r="H34" s="80">
        <f>SUM(G34*155/3/1000)</f>
        <v>2.9289833333333331</v>
      </c>
      <c r="I34" s="13">
        <f t="shared" si="2"/>
        <v>488.16388888888883</v>
      </c>
      <c r="J34" s="25"/>
      <c r="K34" s="8"/>
    </row>
    <row r="35" spans="1:14" ht="15.75" hidden="1" customHeight="1">
      <c r="A35" s="32"/>
      <c r="B35" s="76" t="s">
        <v>65</v>
      </c>
      <c r="C35" s="77" t="s">
        <v>33</v>
      </c>
      <c r="D35" s="76" t="s">
        <v>67</v>
      </c>
      <c r="E35" s="78"/>
      <c r="F35" s="79">
        <v>4</v>
      </c>
      <c r="G35" s="79">
        <v>180.15</v>
      </c>
      <c r="H35" s="80">
        <f t="shared" si="1"/>
        <v>0.72060000000000002</v>
      </c>
      <c r="I35" s="13">
        <v>0</v>
      </c>
      <c r="J35" s="26"/>
    </row>
    <row r="36" spans="1:14" ht="15.75" hidden="1" customHeight="1">
      <c r="A36" s="32"/>
      <c r="B36" s="76" t="s">
        <v>66</v>
      </c>
      <c r="C36" s="77" t="s">
        <v>32</v>
      </c>
      <c r="D36" s="76" t="s">
        <v>67</v>
      </c>
      <c r="E36" s="78"/>
      <c r="F36" s="79">
        <v>3</v>
      </c>
      <c r="G36" s="79">
        <v>1136.33</v>
      </c>
      <c r="H36" s="80">
        <f t="shared" si="1"/>
        <v>3.4089899999999997</v>
      </c>
      <c r="I36" s="13">
        <v>0</v>
      </c>
      <c r="J36" s="26"/>
    </row>
    <row r="37" spans="1:14" ht="15.75" hidden="1" customHeight="1">
      <c r="A37" s="32"/>
      <c r="B37" s="100" t="s">
        <v>5</v>
      </c>
      <c r="C37" s="77"/>
      <c r="D37" s="76"/>
      <c r="E37" s="78"/>
      <c r="F37" s="79"/>
      <c r="G37" s="79"/>
      <c r="H37" s="80" t="s">
        <v>152</v>
      </c>
      <c r="I37" s="13"/>
      <c r="J37" s="26"/>
    </row>
    <row r="38" spans="1:14" ht="15.75" hidden="1" customHeight="1">
      <c r="A38" s="32">
        <v>10</v>
      </c>
      <c r="B38" s="76" t="s">
        <v>26</v>
      </c>
      <c r="C38" s="77" t="s">
        <v>32</v>
      </c>
      <c r="D38" s="76"/>
      <c r="E38" s="78"/>
      <c r="F38" s="79">
        <v>10</v>
      </c>
      <c r="G38" s="79">
        <v>1527.22</v>
      </c>
      <c r="H38" s="80">
        <f t="shared" ref="H38:H45" si="3">SUM(F38*G38/1000)</f>
        <v>15.272200000000002</v>
      </c>
      <c r="I38" s="13">
        <f>F38/6*G38</f>
        <v>2545.3666666666668</v>
      </c>
      <c r="J38" s="26"/>
    </row>
    <row r="39" spans="1:14" ht="15.75" hidden="1" customHeight="1">
      <c r="A39" s="32">
        <v>11</v>
      </c>
      <c r="B39" s="76" t="s">
        <v>126</v>
      </c>
      <c r="C39" s="77" t="s">
        <v>33</v>
      </c>
      <c r="D39" s="76"/>
      <c r="E39" s="78"/>
      <c r="F39" s="79">
        <v>10</v>
      </c>
      <c r="G39" s="79">
        <v>77.94</v>
      </c>
      <c r="H39" s="80">
        <f>G39*F39/1000</f>
        <v>0.77939999999999998</v>
      </c>
      <c r="I39" s="13">
        <f>F39/6*G39</f>
        <v>129.9</v>
      </c>
      <c r="J39" s="26"/>
      <c r="L39" s="19"/>
      <c r="M39" s="20"/>
      <c r="N39" s="21"/>
    </row>
    <row r="40" spans="1:14" ht="15.75" hidden="1" customHeight="1">
      <c r="A40" s="32">
        <v>12</v>
      </c>
      <c r="B40" s="76" t="s">
        <v>110</v>
      </c>
      <c r="C40" s="77" t="s">
        <v>29</v>
      </c>
      <c r="D40" s="76" t="s">
        <v>127</v>
      </c>
      <c r="E40" s="78">
        <v>1039.2</v>
      </c>
      <c r="F40" s="79">
        <f>E40*25/1000</f>
        <v>25.98</v>
      </c>
      <c r="G40" s="79">
        <v>2102.71</v>
      </c>
      <c r="H40" s="80">
        <f>G40*F40/1000</f>
        <v>54.628405800000003</v>
      </c>
      <c r="I40" s="13">
        <f>F40/6*G40</f>
        <v>9104.7343000000001</v>
      </c>
      <c r="J40" s="26"/>
      <c r="L40" s="19"/>
      <c r="M40" s="20"/>
      <c r="N40" s="21"/>
    </row>
    <row r="41" spans="1:14" ht="15.75" hidden="1" customHeight="1">
      <c r="A41" s="32"/>
      <c r="B41" s="76" t="s">
        <v>128</v>
      </c>
      <c r="C41" s="77" t="s">
        <v>129</v>
      </c>
      <c r="D41" s="76" t="s">
        <v>67</v>
      </c>
      <c r="E41" s="78"/>
      <c r="F41" s="79">
        <v>50</v>
      </c>
      <c r="G41" s="79">
        <v>213.2</v>
      </c>
      <c r="H41" s="80">
        <f>G41*F41/1000</f>
        <v>10.66</v>
      </c>
      <c r="I41" s="13">
        <v>0</v>
      </c>
      <c r="J41" s="26"/>
      <c r="L41" s="19"/>
      <c r="M41" s="20"/>
      <c r="N41" s="21"/>
    </row>
    <row r="42" spans="1:14" ht="15.75" hidden="1" customHeight="1">
      <c r="A42" s="32">
        <v>13</v>
      </c>
      <c r="B42" s="76" t="s">
        <v>68</v>
      </c>
      <c r="C42" s="77" t="s">
        <v>29</v>
      </c>
      <c r="D42" s="76" t="s">
        <v>91</v>
      </c>
      <c r="E42" s="79">
        <v>153</v>
      </c>
      <c r="F42" s="79">
        <f>SUM(E42*155/1000)</f>
        <v>23.715</v>
      </c>
      <c r="G42" s="79">
        <v>350.75</v>
      </c>
      <c r="H42" s="80">
        <f t="shared" si="3"/>
        <v>8.3180362499999987</v>
      </c>
      <c r="I42" s="13">
        <f>F42/6*G42</f>
        <v>1386.339375</v>
      </c>
      <c r="J42" s="26"/>
      <c r="L42" s="19"/>
      <c r="M42" s="20"/>
      <c r="N42" s="21"/>
    </row>
    <row r="43" spans="1:14" ht="47.25" hidden="1" customHeight="1">
      <c r="A43" s="32">
        <v>14</v>
      </c>
      <c r="B43" s="76" t="s">
        <v>84</v>
      </c>
      <c r="C43" s="77" t="s">
        <v>92</v>
      </c>
      <c r="D43" s="76" t="s">
        <v>130</v>
      </c>
      <c r="E43" s="79">
        <v>24</v>
      </c>
      <c r="F43" s="79">
        <f>SUM(E43*50/1000)</f>
        <v>1.2</v>
      </c>
      <c r="G43" s="79">
        <v>5803.28</v>
      </c>
      <c r="H43" s="80">
        <f t="shared" si="3"/>
        <v>6.9639359999999995</v>
      </c>
      <c r="I43" s="13">
        <f>F43/6*G43</f>
        <v>1160.6559999999999</v>
      </c>
      <c r="J43" s="26"/>
      <c r="L43" s="19"/>
      <c r="M43" s="20"/>
      <c r="N43" s="21"/>
    </row>
    <row r="44" spans="1:14" ht="15.75" hidden="1" customHeight="1">
      <c r="A44" s="32">
        <v>15</v>
      </c>
      <c r="B44" s="76" t="s">
        <v>93</v>
      </c>
      <c r="C44" s="77" t="s">
        <v>92</v>
      </c>
      <c r="D44" s="76" t="s">
        <v>69</v>
      </c>
      <c r="E44" s="79">
        <v>153</v>
      </c>
      <c r="F44" s="79">
        <f>SUM(E44*45/1000)</f>
        <v>6.8849999999999998</v>
      </c>
      <c r="G44" s="79">
        <v>428.7</v>
      </c>
      <c r="H44" s="80">
        <f t="shared" si="3"/>
        <v>2.9515994999999999</v>
      </c>
      <c r="I44" s="13">
        <f>F44/6*G44</f>
        <v>491.93324999999999</v>
      </c>
      <c r="J44" s="26"/>
      <c r="L44" s="19"/>
      <c r="M44" s="20"/>
      <c r="N44" s="21"/>
    </row>
    <row r="45" spans="1:14" ht="15.75" hidden="1" customHeight="1">
      <c r="A45" s="32">
        <v>16</v>
      </c>
      <c r="B45" s="76" t="s">
        <v>70</v>
      </c>
      <c r="C45" s="77" t="s">
        <v>33</v>
      </c>
      <c r="D45" s="76"/>
      <c r="E45" s="78"/>
      <c r="F45" s="79">
        <v>0.9</v>
      </c>
      <c r="G45" s="79">
        <v>798</v>
      </c>
      <c r="H45" s="80">
        <f t="shared" si="3"/>
        <v>0.71820000000000006</v>
      </c>
      <c r="I45" s="13">
        <f>F45/6*G45</f>
        <v>119.69999999999999</v>
      </c>
      <c r="J45" s="26"/>
      <c r="L45" s="19"/>
      <c r="M45" s="20"/>
      <c r="N45" s="21"/>
    </row>
    <row r="46" spans="1:14" ht="15" hidden="1" customHeight="1">
      <c r="A46" s="139" t="s">
        <v>148</v>
      </c>
      <c r="B46" s="140"/>
      <c r="C46" s="140"/>
      <c r="D46" s="140"/>
      <c r="E46" s="140"/>
      <c r="F46" s="140"/>
      <c r="G46" s="140"/>
      <c r="H46" s="140"/>
      <c r="I46" s="141"/>
      <c r="J46" s="26"/>
      <c r="L46" s="19"/>
      <c r="M46" s="20"/>
      <c r="N46" s="21"/>
    </row>
    <row r="47" spans="1:14" ht="15.75" hidden="1" customHeight="1">
      <c r="A47" s="32"/>
      <c r="B47" s="76" t="s">
        <v>131</v>
      </c>
      <c r="C47" s="77" t="s">
        <v>92</v>
      </c>
      <c r="D47" s="76" t="s">
        <v>42</v>
      </c>
      <c r="E47" s="78">
        <v>1895</v>
      </c>
      <c r="F47" s="79">
        <f>SUM(E47*2/1000)</f>
        <v>3.79</v>
      </c>
      <c r="G47" s="13">
        <v>849.49</v>
      </c>
      <c r="H47" s="80">
        <f t="shared" ref="H47:H55" si="4">SUM(F47*G47/1000)</f>
        <v>3.2195671000000003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76" t="s">
        <v>34</v>
      </c>
      <c r="C48" s="77" t="s">
        <v>92</v>
      </c>
      <c r="D48" s="76" t="s">
        <v>42</v>
      </c>
      <c r="E48" s="78">
        <v>118.2</v>
      </c>
      <c r="F48" s="79">
        <f>E48*2/1000</f>
        <v>0.2364</v>
      </c>
      <c r="G48" s="13">
        <v>579.48</v>
      </c>
      <c r="H48" s="80">
        <f t="shared" si="4"/>
        <v>0.13698907199999999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76" t="s">
        <v>35</v>
      </c>
      <c r="C49" s="77" t="s">
        <v>92</v>
      </c>
      <c r="D49" s="76" t="s">
        <v>42</v>
      </c>
      <c r="E49" s="78">
        <v>4675</v>
      </c>
      <c r="F49" s="79">
        <f>SUM(E49*2/1000)</f>
        <v>9.35</v>
      </c>
      <c r="G49" s="13">
        <v>579.48</v>
      </c>
      <c r="H49" s="80">
        <f t="shared" si="4"/>
        <v>5.4181379999999999</v>
      </c>
      <c r="I49" s="13">
        <v>0</v>
      </c>
      <c r="J49" s="26"/>
      <c r="L49" s="19"/>
      <c r="M49" s="20"/>
      <c r="N49" s="21"/>
    </row>
    <row r="50" spans="1:22" ht="15.75" hidden="1" customHeight="1">
      <c r="A50" s="32"/>
      <c r="B50" s="76" t="s">
        <v>36</v>
      </c>
      <c r="C50" s="77" t="s">
        <v>92</v>
      </c>
      <c r="D50" s="76" t="s">
        <v>42</v>
      </c>
      <c r="E50" s="78">
        <v>4675</v>
      </c>
      <c r="F50" s="79">
        <f>SUM(E50*2/1000)</f>
        <v>9.35</v>
      </c>
      <c r="G50" s="13">
        <v>606.77</v>
      </c>
      <c r="H50" s="80">
        <f t="shared" si="4"/>
        <v>5.6732994999999988</v>
      </c>
      <c r="I50" s="13">
        <v>0</v>
      </c>
      <c r="J50" s="26"/>
      <c r="L50" s="19"/>
      <c r="M50" s="20"/>
      <c r="N50" s="21"/>
    </row>
    <row r="51" spans="1:22" ht="15.75" hidden="1" customHeight="1">
      <c r="A51" s="32">
        <v>17</v>
      </c>
      <c r="B51" s="76" t="s">
        <v>56</v>
      </c>
      <c r="C51" s="77" t="s">
        <v>92</v>
      </c>
      <c r="D51" s="76" t="s">
        <v>169</v>
      </c>
      <c r="E51" s="78">
        <v>3988</v>
      </c>
      <c r="F51" s="79">
        <f>SUM(E51*5/1000)</f>
        <v>19.940000000000001</v>
      </c>
      <c r="G51" s="13">
        <v>1142.7</v>
      </c>
      <c r="H51" s="80">
        <f t="shared" si="4"/>
        <v>22.785438000000003</v>
      </c>
      <c r="I51" s="13">
        <f>F51/5*G51</f>
        <v>4557.0876000000007</v>
      </c>
      <c r="J51" s="26"/>
      <c r="L51" s="19"/>
      <c r="M51" s="20"/>
      <c r="N51" s="21"/>
    </row>
    <row r="52" spans="1:22" ht="31.5" hidden="1" customHeight="1">
      <c r="A52" s="32"/>
      <c r="B52" s="76" t="s">
        <v>94</v>
      </c>
      <c r="C52" s="77" t="s">
        <v>92</v>
      </c>
      <c r="D52" s="76" t="s">
        <v>42</v>
      </c>
      <c r="E52" s="78">
        <v>3988</v>
      </c>
      <c r="F52" s="79">
        <f>SUM(E52*2/1000)</f>
        <v>7.976</v>
      </c>
      <c r="G52" s="13">
        <v>1213.55</v>
      </c>
      <c r="H52" s="80">
        <f t="shared" si="4"/>
        <v>9.6792748</v>
      </c>
      <c r="I52" s="13">
        <v>0</v>
      </c>
      <c r="J52" s="26"/>
      <c r="L52" s="19"/>
      <c r="M52" s="20"/>
      <c r="N52" s="21"/>
    </row>
    <row r="53" spans="1:22" ht="31.5" hidden="1" customHeight="1">
      <c r="A53" s="32"/>
      <c r="B53" s="76" t="s">
        <v>95</v>
      </c>
      <c r="C53" s="77" t="s">
        <v>37</v>
      </c>
      <c r="D53" s="76" t="s">
        <v>42</v>
      </c>
      <c r="E53" s="78">
        <v>30</v>
      </c>
      <c r="F53" s="79">
        <f>SUM(E53*2/100)</f>
        <v>0.6</v>
      </c>
      <c r="G53" s="13">
        <v>2730.49</v>
      </c>
      <c r="H53" s="80">
        <f>SUM(F53*G53/1000)</f>
        <v>1.6382939999999999</v>
      </c>
      <c r="I53" s="13">
        <v>0</v>
      </c>
      <c r="J53" s="26"/>
      <c r="L53" s="19"/>
      <c r="M53" s="20"/>
      <c r="N53" s="21"/>
    </row>
    <row r="54" spans="1:22" ht="15.75" hidden="1" customHeight="1">
      <c r="A54" s="32"/>
      <c r="B54" s="76" t="s">
        <v>38</v>
      </c>
      <c r="C54" s="77" t="s">
        <v>39</v>
      </c>
      <c r="D54" s="76" t="s">
        <v>42</v>
      </c>
      <c r="E54" s="78">
        <v>1</v>
      </c>
      <c r="F54" s="79">
        <v>0.02</v>
      </c>
      <c r="G54" s="13">
        <v>5652.13</v>
      </c>
      <c r="H54" s="80">
        <f t="shared" si="4"/>
        <v>0.11304260000000001</v>
      </c>
      <c r="I54" s="13">
        <v>0</v>
      </c>
      <c r="J54" s="26"/>
      <c r="L54" s="19"/>
      <c r="M54" s="20"/>
      <c r="N54" s="21"/>
    </row>
    <row r="55" spans="1:22" ht="15.75" hidden="1" customHeight="1">
      <c r="A55" s="32">
        <v>18</v>
      </c>
      <c r="B55" s="76" t="s">
        <v>41</v>
      </c>
      <c r="C55" s="77" t="s">
        <v>111</v>
      </c>
      <c r="D55" s="76" t="s">
        <v>71</v>
      </c>
      <c r="E55" s="78">
        <v>236</v>
      </c>
      <c r="F55" s="79">
        <f>SUM(E55)*3</f>
        <v>708</v>
      </c>
      <c r="G55" s="13">
        <v>65.67</v>
      </c>
      <c r="H55" s="80">
        <f t="shared" si="4"/>
        <v>46.49436</v>
      </c>
      <c r="I55" s="13">
        <f>E55*G55</f>
        <v>15498.12</v>
      </c>
      <c r="J55" s="26"/>
      <c r="L55" s="19"/>
      <c r="M55" s="20"/>
      <c r="N55" s="21"/>
    </row>
    <row r="56" spans="1:22" ht="15.75" customHeight="1">
      <c r="A56" s="139" t="s">
        <v>146</v>
      </c>
      <c r="B56" s="140"/>
      <c r="C56" s="140"/>
      <c r="D56" s="140"/>
      <c r="E56" s="140"/>
      <c r="F56" s="140"/>
      <c r="G56" s="140"/>
      <c r="H56" s="140"/>
      <c r="I56" s="141"/>
      <c r="J56" s="26"/>
      <c r="L56" s="19"/>
      <c r="M56" s="20"/>
      <c r="N56" s="21"/>
    </row>
    <row r="57" spans="1:22" ht="15.75" hidden="1" customHeight="1">
      <c r="A57" s="32"/>
      <c r="B57" s="100" t="s">
        <v>43</v>
      </c>
      <c r="C57" s="77"/>
      <c r="D57" s="76"/>
      <c r="E57" s="78"/>
      <c r="F57" s="79"/>
      <c r="G57" s="79"/>
      <c r="H57" s="80"/>
      <c r="I57" s="13"/>
      <c r="J57" s="26"/>
      <c r="L57" s="19"/>
      <c r="M57" s="20"/>
      <c r="N57" s="21"/>
    </row>
    <row r="58" spans="1:22" ht="31.5" hidden="1" customHeight="1">
      <c r="A58" s="32">
        <v>19</v>
      </c>
      <c r="B58" s="76" t="s">
        <v>132</v>
      </c>
      <c r="C58" s="77" t="s">
        <v>90</v>
      </c>
      <c r="D58" s="76" t="s">
        <v>112</v>
      </c>
      <c r="E58" s="78">
        <v>30</v>
      </c>
      <c r="F58" s="79">
        <f>SUM(E58*6/100)</f>
        <v>1.8</v>
      </c>
      <c r="G58" s="13">
        <v>1547.28</v>
      </c>
      <c r="H58" s="80">
        <f>SUM(F58*G58/1000)</f>
        <v>2.785104</v>
      </c>
      <c r="I58" s="13">
        <f>F58/6*G58</f>
        <v>464.18399999999997</v>
      </c>
      <c r="J58" s="26"/>
      <c r="L58" s="19"/>
    </row>
    <row r="59" spans="1:22" ht="15.75" hidden="1" customHeight="1">
      <c r="A59" s="32">
        <v>20</v>
      </c>
      <c r="B59" s="85" t="s">
        <v>133</v>
      </c>
      <c r="C59" s="86" t="s">
        <v>134</v>
      </c>
      <c r="D59" s="85" t="s">
        <v>42</v>
      </c>
      <c r="E59" s="87">
        <v>6</v>
      </c>
      <c r="F59" s="88">
        <v>12</v>
      </c>
      <c r="G59" s="13">
        <v>180.78</v>
      </c>
      <c r="H59" s="89">
        <f>G59*F59/1000</f>
        <v>2.1693600000000002</v>
      </c>
      <c r="I59" s="13">
        <f>F59/2*G59</f>
        <v>1084.68</v>
      </c>
    </row>
    <row r="60" spans="1:22" ht="15.75" hidden="1" customHeight="1">
      <c r="A60" s="32">
        <v>21</v>
      </c>
      <c r="B60" s="85" t="s">
        <v>135</v>
      </c>
      <c r="C60" s="86" t="s">
        <v>52</v>
      </c>
      <c r="D60" s="85" t="s">
        <v>40</v>
      </c>
      <c r="E60" s="87">
        <v>6</v>
      </c>
      <c r="F60" s="88">
        <f>E60*4/100</f>
        <v>0.24</v>
      </c>
      <c r="G60" s="13">
        <v>1547.28</v>
      </c>
      <c r="H60" s="89">
        <f>G60*F60/1000</f>
        <v>0.37134719999999999</v>
      </c>
      <c r="I60" s="13">
        <f>F60/4*G60</f>
        <v>92.836799999999997</v>
      </c>
    </row>
    <row r="61" spans="1:22" ht="15.75" customHeight="1">
      <c r="A61" s="32"/>
      <c r="B61" s="101" t="s">
        <v>44</v>
      </c>
      <c r="C61" s="86"/>
      <c r="D61" s="85"/>
      <c r="E61" s="87"/>
      <c r="F61" s="88"/>
      <c r="G61" s="13"/>
      <c r="H61" s="89"/>
      <c r="I61" s="13"/>
    </row>
    <row r="62" spans="1:22" ht="15.75" hidden="1" customHeight="1">
      <c r="A62" s="32">
        <v>22</v>
      </c>
      <c r="B62" s="85" t="s">
        <v>136</v>
      </c>
      <c r="C62" s="86" t="s">
        <v>52</v>
      </c>
      <c r="D62" s="85" t="s">
        <v>53</v>
      </c>
      <c r="E62" s="87">
        <v>997</v>
      </c>
      <c r="F62" s="88">
        <v>9.9700000000000006</v>
      </c>
      <c r="G62" s="13">
        <v>793.61</v>
      </c>
      <c r="H62" s="89">
        <f>F62*G62/1000</f>
        <v>7.9122917000000008</v>
      </c>
      <c r="I62" s="13">
        <f>G62*F62</f>
        <v>7912.2917000000007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customHeight="1">
      <c r="A63" s="32">
        <v>14</v>
      </c>
      <c r="B63" s="85" t="s">
        <v>137</v>
      </c>
      <c r="C63" s="86" t="s">
        <v>25</v>
      </c>
      <c r="D63" s="85" t="s">
        <v>30</v>
      </c>
      <c r="E63" s="87">
        <v>394</v>
      </c>
      <c r="F63" s="90">
        <f>E63*12</f>
        <v>4728</v>
      </c>
      <c r="G63" s="71">
        <v>2.6</v>
      </c>
      <c r="H63" s="88">
        <f>F63*G63/1000</f>
        <v>12.292800000000002</v>
      </c>
      <c r="I63" s="13">
        <f>F63/12*G63</f>
        <v>1024.4000000000001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2"/>
      <c r="B64" s="101" t="s">
        <v>45</v>
      </c>
      <c r="C64" s="86"/>
      <c r="D64" s="85"/>
      <c r="E64" s="87"/>
      <c r="F64" s="90"/>
      <c r="G64" s="90"/>
      <c r="H64" s="88" t="s">
        <v>152</v>
      </c>
      <c r="I64" s="13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32">
        <v>15</v>
      </c>
      <c r="B65" s="14" t="s">
        <v>46</v>
      </c>
      <c r="C65" s="16" t="s">
        <v>111</v>
      </c>
      <c r="D65" s="76" t="s">
        <v>67</v>
      </c>
      <c r="E65" s="18">
        <v>15</v>
      </c>
      <c r="F65" s="79">
        <v>15</v>
      </c>
      <c r="G65" s="13">
        <v>222.4</v>
      </c>
      <c r="H65" s="91">
        <f t="shared" ref="H65:H78" si="5">SUM(F65*G65/1000)</f>
        <v>3.3359999999999999</v>
      </c>
      <c r="I65" s="13">
        <f>G65*3</f>
        <v>667.2</v>
      </c>
      <c r="J65" s="5"/>
      <c r="K65" s="5"/>
      <c r="L65" s="5"/>
      <c r="M65" s="5"/>
      <c r="N65" s="5"/>
      <c r="O65" s="5"/>
      <c r="P65" s="5"/>
      <c r="Q65" s="5"/>
      <c r="R65" s="123"/>
      <c r="S65" s="123"/>
      <c r="T65" s="123"/>
      <c r="U65" s="123"/>
    </row>
    <row r="66" spans="1:21" ht="15.75" hidden="1" customHeight="1">
      <c r="A66" s="32">
        <v>25</v>
      </c>
      <c r="B66" s="14" t="s">
        <v>47</v>
      </c>
      <c r="C66" s="16" t="s">
        <v>111</v>
      </c>
      <c r="D66" s="76" t="s">
        <v>67</v>
      </c>
      <c r="E66" s="18">
        <v>10</v>
      </c>
      <c r="F66" s="79">
        <v>10</v>
      </c>
      <c r="G66" s="13">
        <v>76.25</v>
      </c>
      <c r="H66" s="91">
        <f t="shared" si="5"/>
        <v>0.76249999999999996</v>
      </c>
      <c r="I66" s="13">
        <f>G66</f>
        <v>76.25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48</v>
      </c>
      <c r="C67" s="16" t="s">
        <v>113</v>
      </c>
      <c r="D67" s="14" t="s">
        <v>53</v>
      </c>
      <c r="E67" s="78">
        <v>28608</v>
      </c>
      <c r="F67" s="13">
        <f>SUM(E67/100)</f>
        <v>286.08</v>
      </c>
      <c r="G67" s="13">
        <v>199.77</v>
      </c>
      <c r="H67" s="91">
        <f t="shared" si="5"/>
        <v>57.150201600000003</v>
      </c>
      <c r="I67" s="13">
        <f>F67*G67</f>
        <v>57150.2016</v>
      </c>
    </row>
    <row r="68" spans="1:21" ht="15.75" hidden="1" customHeight="1">
      <c r="A68" s="32"/>
      <c r="B68" s="14" t="s">
        <v>49</v>
      </c>
      <c r="C68" s="16" t="s">
        <v>114</v>
      </c>
      <c r="D68" s="14"/>
      <c r="E68" s="78">
        <v>28608</v>
      </c>
      <c r="F68" s="13">
        <f>SUM(E68/1000)</f>
        <v>28.608000000000001</v>
      </c>
      <c r="G68" s="13">
        <v>155.57</v>
      </c>
      <c r="H68" s="91">
        <f t="shared" si="5"/>
        <v>4.4505465599999994</v>
      </c>
      <c r="I68" s="13">
        <f t="shared" ref="I68:I72" si="6">F68*G68</f>
        <v>4450.5465599999998</v>
      </c>
    </row>
    <row r="69" spans="1:21" ht="15.75" hidden="1" customHeight="1">
      <c r="A69" s="32"/>
      <c r="B69" s="14" t="s">
        <v>50</v>
      </c>
      <c r="C69" s="16" t="s">
        <v>77</v>
      </c>
      <c r="D69" s="14" t="s">
        <v>53</v>
      </c>
      <c r="E69" s="78">
        <v>4550</v>
      </c>
      <c r="F69" s="13">
        <f>SUM(E69/100)</f>
        <v>45.5</v>
      </c>
      <c r="G69" s="13">
        <v>2074.63</v>
      </c>
      <c r="H69" s="91">
        <f t="shared" si="5"/>
        <v>94.395665000000008</v>
      </c>
      <c r="I69" s="13">
        <f t="shared" si="6"/>
        <v>94395.665000000008</v>
      </c>
    </row>
    <row r="70" spans="1:21" ht="15.75" hidden="1" customHeight="1">
      <c r="A70" s="32"/>
      <c r="B70" s="92" t="s">
        <v>115</v>
      </c>
      <c r="C70" s="16" t="s">
        <v>33</v>
      </c>
      <c r="D70" s="14"/>
      <c r="E70" s="78">
        <v>58.5</v>
      </c>
      <c r="F70" s="13">
        <f>SUM(E70)</f>
        <v>58.5</v>
      </c>
      <c r="G70" s="13">
        <v>45.32</v>
      </c>
      <c r="H70" s="91">
        <f t="shared" si="5"/>
        <v>2.6512199999999999</v>
      </c>
      <c r="I70" s="13">
        <f t="shared" si="6"/>
        <v>2651.22</v>
      </c>
    </row>
    <row r="71" spans="1:21" ht="15.75" hidden="1" customHeight="1">
      <c r="A71" s="32"/>
      <c r="B71" s="92" t="s">
        <v>116</v>
      </c>
      <c r="C71" s="16" t="s">
        <v>33</v>
      </c>
      <c r="D71" s="14"/>
      <c r="E71" s="78">
        <v>58.5</v>
      </c>
      <c r="F71" s="13">
        <f>SUM(E71)</f>
        <v>58.5</v>
      </c>
      <c r="G71" s="13">
        <v>42.28</v>
      </c>
      <c r="H71" s="91">
        <f t="shared" si="5"/>
        <v>2.4733800000000001</v>
      </c>
      <c r="I71" s="13">
        <f t="shared" si="6"/>
        <v>2473.38</v>
      </c>
    </row>
    <row r="72" spans="1:21" ht="15.75" hidden="1" customHeight="1">
      <c r="A72" s="32"/>
      <c r="B72" s="14" t="s">
        <v>57</v>
      </c>
      <c r="C72" s="16" t="s">
        <v>58</v>
      </c>
      <c r="D72" s="14" t="s">
        <v>53</v>
      </c>
      <c r="E72" s="18">
        <v>5</v>
      </c>
      <c r="F72" s="79">
        <v>5</v>
      </c>
      <c r="G72" s="13">
        <v>49.88</v>
      </c>
      <c r="H72" s="91">
        <f t="shared" si="5"/>
        <v>0.24940000000000001</v>
      </c>
      <c r="I72" s="13">
        <f t="shared" si="6"/>
        <v>249.4</v>
      </c>
    </row>
    <row r="73" spans="1:21" ht="15.75" hidden="1" customHeight="1">
      <c r="A73" s="32"/>
      <c r="B73" s="64" t="s">
        <v>72</v>
      </c>
      <c r="C73" s="16"/>
      <c r="D73" s="14"/>
      <c r="E73" s="18"/>
      <c r="F73" s="13"/>
      <c r="G73" s="13"/>
      <c r="H73" s="91" t="s">
        <v>152</v>
      </c>
      <c r="I73" s="13"/>
    </row>
    <row r="74" spans="1:21" ht="15.75" hidden="1" customHeight="1">
      <c r="A74" s="32"/>
      <c r="B74" s="14" t="s">
        <v>73</v>
      </c>
      <c r="C74" s="16" t="s">
        <v>75</v>
      </c>
      <c r="D74" s="14"/>
      <c r="E74" s="18">
        <v>10</v>
      </c>
      <c r="F74" s="13">
        <v>1</v>
      </c>
      <c r="G74" s="13">
        <v>501.62</v>
      </c>
      <c r="H74" s="91">
        <f t="shared" si="5"/>
        <v>0.50161999999999995</v>
      </c>
      <c r="I74" s="13">
        <v>0</v>
      </c>
    </row>
    <row r="75" spans="1:21" ht="15.75" hidden="1" customHeight="1">
      <c r="A75" s="32"/>
      <c r="B75" s="14" t="s">
        <v>74</v>
      </c>
      <c r="C75" s="16" t="s">
        <v>31</v>
      </c>
      <c r="D75" s="14"/>
      <c r="E75" s="18">
        <v>3</v>
      </c>
      <c r="F75" s="71">
        <v>3</v>
      </c>
      <c r="G75" s="13">
        <v>852.99</v>
      </c>
      <c r="H75" s="91">
        <f>F75*G75/1000</f>
        <v>2.5589700000000004</v>
      </c>
      <c r="I75" s="13">
        <v>0</v>
      </c>
    </row>
    <row r="76" spans="1:21" ht="15.75" hidden="1" customHeight="1">
      <c r="A76" s="32"/>
      <c r="B76" s="14" t="s">
        <v>118</v>
      </c>
      <c r="C76" s="16" t="s">
        <v>31</v>
      </c>
      <c r="D76" s="14"/>
      <c r="E76" s="18">
        <v>1</v>
      </c>
      <c r="F76" s="13">
        <v>1</v>
      </c>
      <c r="G76" s="13">
        <v>358.51</v>
      </c>
      <c r="H76" s="91">
        <f>G76*F76/1000</f>
        <v>0.35851</v>
      </c>
      <c r="I76" s="13">
        <v>0</v>
      </c>
    </row>
    <row r="77" spans="1:21" ht="15.75" hidden="1" customHeight="1">
      <c r="A77" s="32"/>
      <c r="B77" s="94" t="s">
        <v>76</v>
      </c>
      <c r="C77" s="16"/>
      <c r="D77" s="14"/>
      <c r="E77" s="18"/>
      <c r="F77" s="13"/>
      <c r="G77" s="13" t="s">
        <v>152</v>
      </c>
      <c r="H77" s="91" t="s">
        <v>152</v>
      </c>
      <c r="I77" s="13"/>
    </row>
    <row r="78" spans="1:21" ht="15.75" hidden="1" customHeight="1">
      <c r="A78" s="32"/>
      <c r="B78" s="47" t="s">
        <v>170</v>
      </c>
      <c r="C78" s="16" t="s">
        <v>77</v>
      </c>
      <c r="D78" s="14"/>
      <c r="E78" s="18"/>
      <c r="F78" s="13">
        <v>1.2</v>
      </c>
      <c r="G78" s="13">
        <v>2759.44</v>
      </c>
      <c r="H78" s="91">
        <f t="shared" si="5"/>
        <v>3.311328</v>
      </c>
      <c r="I78" s="13">
        <v>0</v>
      </c>
    </row>
    <row r="79" spans="1:21" ht="15.75" hidden="1" customHeight="1">
      <c r="A79" s="32"/>
      <c r="B79" s="70" t="s">
        <v>96</v>
      </c>
      <c r="C79" s="70"/>
      <c r="D79" s="70"/>
      <c r="E79" s="70"/>
      <c r="F79" s="70"/>
      <c r="G79" s="82"/>
      <c r="H79" s="95">
        <f>SUM(H58:H78)</f>
        <v>197.73024405999999</v>
      </c>
      <c r="I79" s="82"/>
    </row>
    <row r="80" spans="1:21" ht="15.75" hidden="1" customHeight="1">
      <c r="A80" s="32"/>
      <c r="B80" s="102" t="s">
        <v>117</v>
      </c>
      <c r="C80" s="23"/>
      <c r="D80" s="22"/>
      <c r="E80" s="72"/>
      <c r="F80" s="103">
        <v>1</v>
      </c>
      <c r="G80" s="13">
        <v>23072.1</v>
      </c>
      <c r="H80" s="91">
        <f>G80*F80/1000</f>
        <v>23.072099999999999</v>
      </c>
      <c r="I80" s="13">
        <v>0</v>
      </c>
    </row>
    <row r="81" spans="1:9" ht="15.75" customHeight="1">
      <c r="A81" s="124" t="s">
        <v>145</v>
      </c>
      <c r="B81" s="125"/>
      <c r="C81" s="125"/>
      <c r="D81" s="125"/>
      <c r="E81" s="125"/>
      <c r="F81" s="125"/>
      <c r="G81" s="125"/>
      <c r="H81" s="125"/>
      <c r="I81" s="126"/>
    </row>
    <row r="82" spans="1:9" ht="15.75" customHeight="1">
      <c r="A82" s="32">
        <v>16</v>
      </c>
      <c r="B82" s="76" t="s">
        <v>119</v>
      </c>
      <c r="C82" s="16" t="s">
        <v>54</v>
      </c>
      <c r="D82" s="51" t="s">
        <v>55</v>
      </c>
      <c r="E82" s="13">
        <v>6980.3</v>
      </c>
      <c r="F82" s="13">
        <f>SUM(E82*12)</f>
        <v>83763.600000000006</v>
      </c>
      <c r="G82" s="13">
        <v>2.1</v>
      </c>
      <c r="H82" s="91">
        <f>SUM(F82*G82/1000)</f>
        <v>175.90356000000003</v>
      </c>
      <c r="I82" s="13">
        <f>F82/12*G82</f>
        <v>14658.630000000001</v>
      </c>
    </row>
    <row r="83" spans="1:9" ht="31.5" customHeight="1">
      <c r="A83" s="32">
        <v>17</v>
      </c>
      <c r="B83" s="14" t="s">
        <v>78</v>
      </c>
      <c r="C83" s="16"/>
      <c r="D83" s="51" t="s">
        <v>55</v>
      </c>
      <c r="E83" s="78">
        <f>E82</f>
        <v>6980.3</v>
      </c>
      <c r="F83" s="13">
        <f>E83*12</f>
        <v>83763.600000000006</v>
      </c>
      <c r="G83" s="13">
        <v>1.63</v>
      </c>
      <c r="H83" s="91">
        <f>F83*G83/1000</f>
        <v>136.53466800000001</v>
      </c>
      <c r="I83" s="13">
        <f>F83/12*G83</f>
        <v>11377.888999999999</v>
      </c>
    </row>
    <row r="84" spans="1:9" ht="15.75" customHeight="1">
      <c r="A84" s="32"/>
      <c r="B84" s="40" t="s">
        <v>81</v>
      </c>
      <c r="C84" s="94"/>
      <c r="D84" s="93"/>
      <c r="E84" s="82"/>
      <c r="F84" s="82"/>
      <c r="G84" s="82"/>
      <c r="H84" s="95">
        <f>H83</f>
        <v>136.53466800000001</v>
      </c>
      <c r="I84" s="82">
        <f>I16+I17+I18+I20+I21+I24+I25+I26+I27+I30+I31+I33+I34+I63+I65+I82+I83</f>
        <v>94602.689781888868</v>
      </c>
    </row>
    <row r="85" spans="1:9" ht="15.75" customHeight="1">
      <c r="A85" s="135" t="s">
        <v>60</v>
      </c>
      <c r="B85" s="136"/>
      <c r="C85" s="136"/>
      <c r="D85" s="136"/>
      <c r="E85" s="136"/>
      <c r="F85" s="136"/>
      <c r="G85" s="136"/>
      <c r="H85" s="136"/>
      <c r="I85" s="137"/>
    </row>
    <row r="86" spans="1:9" ht="15.75" customHeight="1">
      <c r="A86" s="32">
        <v>18</v>
      </c>
      <c r="B86" s="50" t="s">
        <v>143</v>
      </c>
      <c r="C86" s="62" t="s">
        <v>85</v>
      </c>
      <c r="D86" s="14"/>
      <c r="E86" s="18"/>
      <c r="F86" s="13">
        <v>8</v>
      </c>
      <c r="G86" s="13">
        <v>195.85</v>
      </c>
      <c r="H86" s="91">
        <f>G86*F86/1000</f>
        <v>1.5668</v>
      </c>
      <c r="I86" s="13">
        <f>G86</f>
        <v>195.85</v>
      </c>
    </row>
    <row r="87" spans="1:9" ht="31.5" customHeight="1">
      <c r="A87" s="32">
        <v>19</v>
      </c>
      <c r="B87" s="61" t="s">
        <v>165</v>
      </c>
      <c r="C87" s="32" t="s">
        <v>82</v>
      </c>
      <c r="D87" s="14"/>
      <c r="E87" s="18"/>
      <c r="F87" s="13">
        <v>47.5</v>
      </c>
      <c r="G87" s="13">
        <v>1187</v>
      </c>
      <c r="H87" s="91">
        <f t="shared" ref="H87:H89" si="7">G87*F87/1000</f>
        <v>56.3825</v>
      </c>
      <c r="I87" s="13">
        <f>G87*(8+1.5)</f>
        <v>11276.5</v>
      </c>
    </row>
    <row r="88" spans="1:9" ht="31.5" customHeight="1">
      <c r="A88" s="32">
        <v>20</v>
      </c>
      <c r="B88" s="50" t="s">
        <v>155</v>
      </c>
      <c r="C88" s="62" t="s">
        <v>156</v>
      </c>
      <c r="D88" s="39"/>
      <c r="E88" s="17"/>
      <c r="F88" s="36">
        <v>13</v>
      </c>
      <c r="G88" s="36">
        <v>589.54</v>
      </c>
      <c r="H88" s="110">
        <f t="shared" si="7"/>
        <v>7.6640199999999998</v>
      </c>
      <c r="I88" s="13">
        <f>G88</f>
        <v>589.54</v>
      </c>
    </row>
    <row r="89" spans="1:9" ht="15.75" customHeight="1">
      <c r="A89" s="32">
        <v>21</v>
      </c>
      <c r="B89" s="50" t="s">
        <v>138</v>
      </c>
      <c r="C89" s="62" t="s">
        <v>111</v>
      </c>
      <c r="D89" s="14"/>
      <c r="E89" s="18"/>
      <c r="F89" s="13">
        <v>1080</v>
      </c>
      <c r="G89" s="13">
        <v>53.42</v>
      </c>
      <c r="H89" s="91">
        <f t="shared" si="7"/>
        <v>57.693599999999996</v>
      </c>
      <c r="I89" s="13">
        <f>G89*120</f>
        <v>6410.4000000000005</v>
      </c>
    </row>
    <row r="90" spans="1:9" ht="15.75" customHeight="1">
      <c r="A90" s="32">
        <v>22</v>
      </c>
      <c r="B90" s="98" t="s">
        <v>192</v>
      </c>
      <c r="C90" s="99" t="s">
        <v>142</v>
      </c>
      <c r="D90" s="47"/>
      <c r="E90" s="13"/>
      <c r="F90" s="13">
        <f>(3+4+15+15+15+5+20+20+15+10+15+15+7+6+15+3)/3</f>
        <v>61</v>
      </c>
      <c r="G90" s="13">
        <v>1120.8900000000001</v>
      </c>
      <c r="H90" s="91">
        <f>G90*F90/1000</f>
        <v>68.374290000000002</v>
      </c>
      <c r="I90" s="13">
        <f>G90*(10/3)</f>
        <v>3736.3000000000006</v>
      </c>
    </row>
    <row r="91" spans="1:9" ht="31.5" customHeight="1">
      <c r="A91" s="32">
        <v>23</v>
      </c>
      <c r="B91" s="50" t="s">
        <v>195</v>
      </c>
      <c r="C91" s="62" t="s">
        <v>156</v>
      </c>
      <c r="D91" s="47"/>
      <c r="E91" s="13"/>
      <c r="F91" s="13">
        <v>26</v>
      </c>
      <c r="G91" s="13">
        <v>1046.06</v>
      </c>
      <c r="H91" s="91">
        <f t="shared" ref="H91" si="8">G91*F91/1000</f>
        <v>27.197559999999999</v>
      </c>
      <c r="I91" s="13">
        <f>G91*6</f>
        <v>6276.36</v>
      </c>
    </row>
    <row r="92" spans="1:9" ht="30.75" customHeight="1">
      <c r="A92" s="32">
        <v>24</v>
      </c>
      <c r="B92" s="61" t="s">
        <v>166</v>
      </c>
      <c r="C92" s="32" t="s">
        <v>82</v>
      </c>
      <c r="D92" s="14"/>
      <c r="E92" s="18"/>
      <c r="F92" s="13">
        <v>41.5</v>
      </c>
      <c r="G92" s="13">
        <v>1272</v>
      </c>
      <c r="H92" s="91">
        <f>G92*F92/1000</f>
        <v>52.787999999999997</v>
      </c>
      <c r="I92" s="13">
        <f>G92*7</f>
        <v>8904</v>
      </c>
    </row>
    <row r="93" spans="1:9" ht="31.5" customHeight="1">
      <c r="A93" s="32">
        <v>25</v>
      </c>
      <c r="B93" s="50" t="s">
        <v>220</v>
      </c>
      <c r="C93" s="62" t="s">
        <v>82</v>
      </c>
      <c r="D93" s="111"/>
      <c r="E93" s="36"/>
      <c r="F93" s="36">
        <v>2</v>
      </c>
      <c r="G93" s="36">
        <v>1903.98</v>
      </c>
      <c r="H93" s="110">
        <f t="shared" ref="H93:H97" si="9">G93*F93/1000</f>
        <v>3.80796</v>
      </c>
      <c r="I93" s="13">
        <f>G93*2</f>
        <v>3807.96</v>
      </c>
    </row>
    <row r="94" spans="1:9" ht="31.5" customHeight="1">
      <c r="A94" s="32">
        <v>26</v>
      </c>
      <c r="B94" s="50" t="s">
        <v>221</v>
      </c>
      <c r="C94" s="62" t="s">
        <v>82</v>
      </c>
      <c r="D94" s="111"/>
      <c r="E94" s="36"/>
      <c r="F94" s="36">
        <v>4</v>
      </c>
      <c r="G94" s="36">
        <v>897.94</v>
      </c>
      <c r="H94" s="110">
        <f t="shared" si="9"/>
        <v>3.5917600000000003</v>
      </c>
      <c r="I94" s="13">
        <f>G94*4</f>
        <v>3591.76</v>
      </c>
    </row>
    <row r="95" spans="1:9" ht="31.5" customHeight="1">
      <c r="A95" s="32">
        <v>27</v>
      </c>
      <c r="B95" s="50" t="s">
        <v>222</v>
      </c>
      <c r="C95" s="62" t="s">
        <v>156</v>
      </c>
      <c r="D95" s="111"/>
      <c r="E95" s="36"/>
      <c r="F95" s="36">
        <v>1</v>
      </c>
      <c r="G95" s="36">
        <v>1020.84</v>
      </c>
      <c r="H95" s="110">
        <f t="shared" si="9"/>
        <v>1.02084</v>
      </c>
      <c r="I95" s="13">
        <f>G95</f>
        <v>1020.84</v>
      </c>
    </row>
    <row r="96" spans="1:9" ht="31.5" customHeight="1">
      <c r="A96" s="32">
        <v>28</v>
      </c>
      <c r="B96" s="52" t="s">
        <v>223</v>
      </c>
      <c r="C96" s="53" t="s">
        <v>29</v>
      </c>
      <c r="D96" s="39"/>
      <c r="E96" s="17"/>
      <c r="F96" s="112">
        <f>0.001</f>
        <v>1E-3</v>
      </c>
      <c r="G96" s="36">
        <v>1591.6</v>
      </c>
      <c r="H96" s="113">
        <f t="shared" si="9"/>
        <v>1.5915999999999999E-3</v>
      </c>
      <c r="I96" s="13">
        <f>G96*0.001</f>
        <v>1.5915999999999999</v>
      </c>
    </row>
    <row r="97" spans="1:9" ht="15.75" customHeight="1">
      <c r="A97" s="32">
        <v>29</v>
      </c>
      <c r="B97" s="52" t="s">
        <v>224</v>
      </c>
      <c r="C97" s="53" t="s">
        <v>111</v>
      </c>
      <c r="D97" s="39"/>
      <c r="E97" s="17"/>
      <c r="F97" s="36">
        <v>1</v>
      </c>
      <c r="G97" s="36">
        <v>193.62</v>
      </c>
      <c r="H97" s="110">
        <f t="shared" si="9"/>
        <v>0.19362000000000001</v>
      </c>
      <c r="I97" s="13">
        <f t="shared" ref="I97" si="10">G97</f>
        <v>193.62</v>
      </c>
    </row>
    <row r="98" spans="1:9" ht="15.75" customHeight="1">
      <c r="A98" s="32"/>
      <c r="B98" s="45" t="s">
        <v>51</v>
      </c>
      <c r="C98" s="41"/>
      <c r="D98" s="48"/>
      <c r="E98" s="41">
        <v>1</v>
      </c>
      <c r="F98" s="41"/>
      <c r="G98" s="41"/>
      <c r="H98" s="41"/>
      <c r="I98" s="34">
        <f>SUM(I86:I97)</f>
        <v>46004.721599999997</v>
      </c>
    </row>
    <row r="99" spans="1:9">
      <c r="A99" s="32"/>
      <c r="B99" s="47" t="s">
        <v>79</v>
      </c>
      <c r="C99" s="15"/>
      <c r="D99" s="15"/>
      <c r="E99" s="42"/>
      <c r="F99" s="42"/>
      <c r="G99" s="43"/>
      <c r="H99" s="43"/>
      <c r="I99" s="17">
        <v>0</v>
      </c>
    </row>
    <row r="100" spans="1:9">
      <c r="A100" s="49"/>
      <c r="B100" s="46" t="s">
        <v>189</v>
      </c>
      <c r="C100" s="35"/>
      <c r="D100" s="35"/>
      <c r="E100" s="35"/>
      <c r="F100" s="35"/>
      <c r="G100" s="35"/>
      <c r="H100" s="35"/>
      <c r="I100" s="44">
        <f>I84+I98</f>
        <v>140607.41138188887</v>
      </c>
    </row>
    <row r="101" spans="1:9" ht="15.75">
      <c r="A101" s="127" t="s">
        <v>225</v>
      </c>
      <c r="B101" s="127"/>
      <c r="C101" s="127"/>
      <c r="D101" s="127"/>
      <c r="E101" s="127"/>
      <c r="F101" s="127"/>
      <c r="G101" s="127"/>
      <c r="H101" s="127"/>
      <c r="I101" s="127"/>
    </row>
    <row r="102" spans="1:9" ht="15.75" customHeight="1">
      <c r="A102" s="60"/>
      <c r="B102" s="128" t="s">
        <v>226</v>
      </c>
      <c r="C102" s="128"/>
      <c r="D102" s="128"/>
      <c r="E102" s="128"/>
      <c r="F102" s="128"/>
      <c r="G102" s="128"/>
      <c r="H102" s="75"/>
      <c r="I102" s="3"/>
    </row>
    <row r="103" spans="1:9">
      <c r="A103" s="69"/>
      <c r="B103" s="129" t="s">
        <v>6</v>
      </c>
      <c r="C103" s="129"/>
      <c r="D103" s="129"/>
      <c r="E103" s="129"/>
      <c r="F103" s="129"/>
      <c r="G103" s="129"/>
      <c r="H103" s="27"/>
      <c r="I103" s="5"/>
    </row>
    <row r="104" spans="1:9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>
      <c r="A105" s="130" t="s">
        <v>7</v>
      </c>
      <c r="B105" s="130"/>
      <c r="C105" s="130"/>
      <c r="D105" s="130"/>
      <c r="E105" s="130"/>
      <c r="F105" s="130"/>
      <c r="G105" s="130"/>
      <c r="H105" s="130"/>
      <c r="I105" s="130"/>
    </row>
    <row r="106" spans="1:9" ht="15.75">
      <c r="A106" s="130" t="s">
        <v>8</v>
      </c>
      <c r="B106" s="130"/>
      <c r="C106" s="130"/>
      <c r="D106" s="130"/>
      <c r="E106" s="130"/>
      <c r="F106" s="130"/>
      <c r="G106" s="130"/>
      <c r="H106" s="130"/>
      <c r="I106" s="130"/>
    </row>
    <row r="107" spans="1:9" ht="15.75">
      <c r="A107" s="131" t="s">
        <v>61</v>
      </c>
      <c r="B107" s="131"/>
      <c r="C107" s="131"/>
      <c r="D107" s="131"/>
      <c r="E107" s="131"/>
      <c r="F107" s="131"/>
      <c r="G107" s="131"/>
      <c r="H107" s="131"/>
      <c r="I107" s="131"/>
    </row>
    <row r="108" spans="1:9" ht="15.75">
      <c r="A108" s="11"/>
    </row>
    <row r="109" spans="1:9" ht="15.75">
      <c r="A109" s="132" t="s">
        <v>9</v>
      </c>
      <c r="B109" s="132"/>
      <c r="C109" s="132"/>
      <c r="D109" s="132"/>
      <c r="E109" s="132"/>
      <c r="F109" s="132"/>
      <c r="G109" s="132"/>
      <c r="H109" s="132"/>
      <c r="I109" s="132"/>
    </row>
    <row r="110" spans="1:9" ht="15.75" customHeight="1">
      <c r="A110" s="4"/>
    </row>
    <row r="111" spans="1:9" ht="15.75" customHeight="1">
      <c r="B111" s="66" t="s">
        <v>10</v>
      </c>
      <c r="C111" s="133" t="s">
        <v>144</v>
      </c>
      <c r="D111" s="133"/>
      <c r="E111" s="133"/>
      <c r="F111" s="73"/>
      <c r="I111" s="68"/>
    </row>
    <row r="112" spans="1:9" ht="15.75" customHeight="1">
      <c r="A112" s="69"/>
      <c r="C112" s="129" t="s">
        <v>11</v>
      </c>
      <c r="D112" s="129"/>
      <c r="E112" s="129"/>
      <c r="F112" s="27"/>
      <c r="I112" s="67" t="s">
        <v>12</v>
      </c>
    </row>
    <row r="113" spans="1:9" ht="15.75" customHeight="1">
      <c r="A113" s="28"/>
      <c r="C113" s="12"/>
      <c r="D113" s="12"/>
      <c r="G113" s="12"/>
      <c r="H113" s="12"/>
    </row>
    <row r="114" spans="1:9" ht="15.75">
      <c r="B114" s="66" t="s">
        <v>13</v>
      </c>
      <c r="C114" s="134"/>
      <c r="D114" s="134"/>
      <c r="E114" s="134"/>
      <c r="F114" s="74"/>
      <c r="I114" s="68"/>
    </row>
    <row r="115" spans="1:9">
      <c r="A115" s="69"/>
      <c r="C115" s="123" t="s">
        <v>11</v>
      </c>
      <c r="D115" s="123"/>
      <c r="E115" s="123"/>
      <c r="F115" s="69"/>
      <c r="I115" s="67" t="s">
        <v>12</v>
      </c>
    </row>
    <row r="116" spans="1:9" ht="15.75">
      <c r="A116" s="4" t="s">
        <v>14</v>
      </c>
    </row>
    <row r="117" spans="1:9">
      <c r="A117" s="121" t="s">
        <v>15</v>
      </c>
      <c r="B117" s="121"/>
      <c r="C117" s="121"/>
      <c r="D117" s="121"/>
      <c r="E117" s="121"/>
      <c r="F117" s="121"/>
      <c r="G117" s="121"/>
      <c r="H117" s="121"/>
      <c r="I117" s="121"/>
    </row>
    <row r="118" spans="1:9" ht="45" customHeight="1">
      <c r="A118" s="122" t="s">
        <v>16</v>
      </c>
      <c r="B118" s="122"/>
      <c r="C118" s="122"/>
      <c r="D118" s="122"/>
      <c r="E118" s="122"/>
      <c r="F118" s="122"/>
      <c r="G118" s="122"/>
      <c r="H118" s="122"/>
      <c r="I118" s="122"/>
    </row>
    <row r="119" spans="1:9" ht="30" customHeight="1">
      <c r="A119" s="122" t="s">
        <v>17</v>
      </c>
      <c r="B119" s="122"/>
      <c r="C119" s="122"/>
      <c r="D119" s="122"/>
      <c r="E119" s="122"/>
      <c r="F119" s="122"/>
      <c r="G119" s="122"/>
      <c r="H119" s="122"/>
      <c r="I119" s="122"/>
    </row>
    <row r="120" spans="1:9" ht="30" customHeight="1">
      <c r="A120" s="122" t="s">
        <v>21</v>
      </c>
      <c r="B120" s="122"/>
      <c r="C120" s="122"/>
      <c r="D120" s="122"/>
      <c r="E120" s="122"/>
      <c r="F120" s="122"/>
      <c r="G120" s="122"/>
      <c r="H120" s="122"/>
      <c r="I120" s="122"/>
    </row>
    <row r="121" spans="1:9" ht="15" customHeight="1">
      <c r="A121" s="122" t="s">
        <v>20</v>
      </c>
      <c r="B121" s="122"/>
      <c r="C121" s="122"/>
      <c r="D121" s="122"/>
      <c r="E121" s="122"/>
      <c r="F121" s="122"/>
      <c r="G121" s="122"/>
      <c r="H121" s="122"/>
      <c r="I121" s="122"/>
    </row>
  </sheetData>
  <autoFilter ref="I12:I60"/>
  <mergeCells count="29"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  <mergeCell ref="A107:I107"/>
    <mergeCell ref="A15:I15"/>
    <mergeCell ref="A28:I28"/>
    <mergeCell ref="A46:I46"/>
    <mergeCell ref="A56:I56"/>
    <mergeCell ref="A85:I85"/>
    <mergeCell ref="A101:I101"/>
    <mergeCell ref="B102:G102"/>
    <mergeCell ref="B103:G103"/>
    <mergeCell ref="A105:I105"/>
    <mergeCell ref="A106:I106"/>
    <mergeCell ref="R65:U65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33"/>
  <sheetViews>
    <sheetView topLeftCell="A93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88</v>
      </c>
      <c r="I1" s="29"/>
      <c r="J1" s="1"/>
      <c r="K1" s="1"/>
      <c r="L1" s="1"/>
      <c r="M1" s="1"/>
    </row>
    <row r="2" spans="1:13" ht="15.75">
      <c r="A2" s="31" t="s">
        <v>62</v>
      </c>
      <c r="J2" s="2"/>
      <c r="K2" s="2"/>
      <c r="L2" s="2"/>
      <c r="M2" s="2"/>
    </row>
    <row r="3" spans="1:13" ht="15.75" customHeight="1">
      <c r="A3" s="143" t="s">
        <v>176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141</v>
      </c>
      <c r="B4" s="144"/>
      <c r="C4" s="144"/>
      <c r="D4" s="144"/>
      <c r="E4" s="144"/>
      <c r="F4" s="144"/>
      <c r="G4" s="144"/>
      <c r="H4" s="144"/>
      <c r="I4" s="144"/>
    </row>
    <row r="5" spans="1:13" ht="15.75">
      <c r="A5" s="143" t="s">
        <v>227</v>
      </c>
      <c r="B5" s="145"/>
      <c r="C5" s="145"/>
      <c r="D5" s="145"/>
      <c r="E5" s="145"/>
      <c r="F5" s="145"/>
      <c r="G5" s="145"/>
      <c r="H5" s="145"/>
      <c r="I5" s="145"/>
      <c r="J5" s="2"/>
      <c r="K5" s="2"/>
      <c r="L5" s="2"/>
      <c r="M5" s="2"/>
    </row>
    <row r="6" spans="1:13" ht="15.75">
      <c r="A6" s="2"/>
      <c r="B6" s="65"/>
      <c r="C6" s="65"/>
      <c r="D6" s="65"/>
      <c r="E6" s="65"/>
      <c r="F6" s="65"/>
      <c r="G6" s="65"/>
      <c r="H6" s="65"/>
      <c r="I6" s="33">
        <v>42947</v>
      </c>
      <c r="J6" s="2"/>
      <c r="K6" s="2"/>
      <c r="L6" s="2"/>
      <c r="M6" s="2"/>
    </row>
    <row r="7" spans="1:13" ht="15.75">
      <c r="B7" s="66"/>
      <c r="C7" s="66"/>
      <c r="D7" s="6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6" t="s">
        <v>147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7" t="s">
        <v>182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2" t="s">
        <v>59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32">
        <v>1</v>
      </c>
      <c r="B16" s="76" t="s">
        <v>89</v>
      </c>
      <c r="C16" s="77" t="s">
        <v>90</v>
      </c>
      <c r="D16" s="76" t="s">
        <v>186</v>
      </c>
      <c r="E16" s="78">
        <v>208.08</v>
      </c>
      <c r="F16" s="79">
        <f>SUM(E16*156/100)</f>
        <v>324.60480000000001</v>
      </c>
      <c r="G16" s="79">
        <v>175.38</v>
      </c>
      <c r="H16" s="80">
        <f t="shared" ref="H16:H25" si="0">SUM(F16*G16/1000)</f>
        <v>56.929189823999998</v>
      </c>
      <c r="I16" s="13">
        <f>F16/12*G16</f>
        <v>4744.0991519999998</v>
      </c>
      <c r="J16" s="24"/>
      <c r="K16" s="8"/>
      <c r="L16" s="8"/>
      <c r="M16" s="8"/>
    </row>
    <row r="17" spans="1:13" ht="15.75" customHeight="1">
      <c r="A17" s="32">
        <v>2</v>
      </c>
      <c r="B17" s="76" t="s">
        <v>120</v>
      </c>
      <c r="C17" s="77" t="s">
        <v>90</v>
      </c>
      <c r="D17" s="76" t="s">
        <v>185</v>
      </c>
      <c r="E17" s="78">
        <v>832.32</v>
      </c>
      <c r="F17" s="79">
        <f>SUM(E17*104/100)</f>
        <v>865.61279999999999</v>
      </c>
      <c r="G17" s="79">
        <v>175.38</v>
      </c>
      <c r="H17" s="80">
        <f t="shared" si="0"/>
        <v>151.81117286399999</v>
      </c>
      <c r="I17" s="13">
        <f>F17/12*G17</f>
        <v>12650.931071999999</v>
      </c>
      <c r="J17" s="25"/>
      <c r="K17" s="8"/>
      <c r="L17" s="8"/>
      <c r="M17" s="8"/>
    </row>
    <row r="18" spans="1:13" ht="15.75" customHeight="1">
      <c r="A18" s="32">
        <v>3</v>
      </c>
      <c r="B18" s="76" t="s">
        <v>121</v>
      </c>
      <c r="C18" s="77" t="s">
        <v>90</v>
      </c>
      <c r="D18" s="76" t="s">
        <v>184</v>
      </c>
      <c r="E18" s="78">
        <v>1040.4000000000001</v>
      </c>
      <c r="F18" s="79">
        <f>SUM(E18*24/100)</f>
        <v>249.69600000000003</v>
      </c>
      <c r="G18" s="79">
        <v>504.5</v>
      </c>
      <c r="H18" s="80">
        <f t="shared" si="0"/>
        <v>125.97163200000001</v>
      </c>
      <c r="I18" s="13">
        <f>F18/12*G18</f>
        <v>10497.636000000002</v>
      </c>
      <c r="J18" s="25"/>
      <c r="K18" s="8"/>
      <c r="L18" s="8"/>
      <c r="M18" s="8"/>
    </row>
    <row r="19" spans="1:13" ht="15.75" hidden="1" customHeight="1">
      <c r="A19" s="32"/>
      <c r="B19" s="76" t="s">
        <v>97</v>
      </c>
      <c r="C19" s="77" t="s">
        <v>98</v>
      </c>
      <c r="D19" s="76" t="s">
        <v>99</v>
      </c>
      <c r="E19" s="78">
        <v>48</v>
      </c>
      <c r="F19" s="79">
        <f>SUM(E19/10)</f>
        <v>4.8</v>
      </c>
      <c r="G19" s="79">
        <v>170.16</v>
      </c>
      <c r="H19" s="80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76" t="s">
        <v>100</v>
      </c>
      <c r="C20" s="77" t="s">
        <v>90</v>
      </c>
      <c r="D20" s="76" t="s">
        <v>122</v>
      </c>
      <c r="E20" s="78">
        <v>30.6</v>
      </c>
      <c r="F20" s="79">
        <f>SUM(E20*12/100)</f>
        <v>3.6720000000000006</v>
      </c>
      <c r="G20" s="79">
        <v>217.88</v>
      </c>
      <c r="H20" s="80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customHeight="1">
      <c r="A21" s="32">
        <v>5</v>
      </c>
      <c r="B21" s="76" t="s">
        <v>101</v>
      </c>
      <c r="C21" s="77" t="s">
        <v>90</v>
      </c>
      <c r="D21" s="76" t="s">
        <v>30</v>
      </c>
      <c r="E21" s="78">
        <v>10.06</v>
      </c>
      <c r="F21" s="79">
        <f>SUM(E21*12/100)</f>
        <v>1.2072000000000001</v>
      </c>
      <c r="G21" s="79">
        <v>216.12</v>
      </c>
      <c r="H21" s="80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6" t="s">
        <v>102</v>
      </c>
      <c r="C22" s="77" t="s">
        <v>52</v>
      </c>
      <c r="D22" s="76" t="s">
        <v>99</v>
      </c>
      <c r="E22" s="78">
        <v>769.2</v>
      </c>
      <c r="F22" s="79">
        <f>SUM(E22/100)</f>
        <v>7.6920000000000002</v>
      </c>
      <c r="G22" s="79">
        <v>269.26</v>
      </c>
      <c r="H22" s="80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6" t="s">
        <v>103</v>
      </c>
      <c r="C23" s="77" t="s">
        <v>52</v>
      </c>
      <c r="D23" s="76" t="s">
        <v>99</v>
      </c>
      <c r="E23" s="81">
        <v>35.28</v>
      </c>
      <c r="F23" s="79">
        <f>SUM(E23/100)</f>
        <v>0.3528</v>
      </c>
      <c r="G23" s="79">
        <v>44.29</v>
      </c>
      <c r="H23" s="80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customHeight="1">
      <c r="A24" s="32">
        <v>6</v>
      </c>
      <c r="B24" s="76" t="s">
        <v>104</v>
      </c>
      <c r="C24" s="77" t="s">
        <v>52</v>
      </c>
      <c r="D24" s="76" t="s">
        <v>30</v>
      </c>
      <c r="E24" s="78">
        <v>10.8</v>
      </c>
      <c r="F24" s="79">
        <f>E24*12/100</f>
        <v>1.2960000000000003</v>
      </c>
      <c r="G24" s="79">
        <v>389.72</v>
      </c>
      <c r="H24" s="80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customHeight="1">
      <c r="A25" s="32">
        <v>7</v>
      </c>
      <c r="B25" s="76" t="s">
        <v>105</v>
      </c>
      <c r="C25" s="77" t="s">
        <v>52</v>
      </c>
      <c r="D25" s="76" t="s">
        <v>123</v>
      </c>
      <c r="E25" s="78">
        <v>21.6</v>
      </c>
      <c r="F25" s="79">
        <f>SUM(E25*12/100)</f>
        <v>2.5920000000000005</v>
      </c>
      <c r="G25" s="79">
        <v>520.79999999999995</v>
      </c>
      <c r="H25" s="80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8</v>
      </c>
      <c r="B26" s="76" t="s">
        <v>64</v>
      </c>
      <c r="C26" s="77" t="s">
        <v>33</v>
      </c>
      <c r="D26" s="76" t="s">
        <v>183</v>
      </c>
      <c r="E26" s="78">
        <v>0.1</v>
      </c>
      <c r="F26" s="79">
        <f>SUM(E26*365)</f>
        <v>36.5</v>
      </c>
      <c r="G26" s="79">
        <v>147.03</v>
      </c>
      <c r="H26" s="80">
        <f>SUM(F26*G26/1000)</f>
        <v>5.3665950000000002</v>
      </c>
      <c r="I26" s="13">
        <f>F26/12*G26</f>
        <v>447.21625</v>
      </c>
      <c r="J26" s="26"/>
    </row>
    <row r="27" spans="1:13" ht="15.75" customHeight="1">
      <c r="A27" s="32">
        <v>9</v>
      </c>
      <c r="B27" s="84" t="s">
        <v>23</v>
      </c>
      <c r="C27" s="77" t="s">
        <v>24</v>
      </c>
      <c r="D27" s="76" t="s">
        <v>183</v>
      </c>
      <c r="E27" s="78">
        <v>6980.3</v>
      </c>
      <c r="F27" s="79">
        <f>SUM(E27*12)</f>
        <v>83763.600000000006</v>
      </c>
      <c r="G27" s="79">
        <v>4.4000000000000004</v>
      </c>
      <c r="H27" s="80">
        <f>SUM(F27*G27/1000)</f>
        <v>368.55984000000007</v>
      </c>
      <c r="I27" s="13">
        <f>F27/12*G27</f>
        <v>30713.320000000003</v>
      </c>
      <c r="J27" s="26"/>
    </row>
    <row r="28" spans="1:13" ht="15.75" customHeight="1">
      <c r="A28" s="138" t="s">
        <v>87</v>
      </c>
      <c r="B28" s="138"/>
      <c r="C28" s="138"/>
      <c r="D28" s="138"/>
      <c r="E28" s="138"/>
      <c r="F28" s="138"/>
      <c r="G28" s="138"/>
      <c r="H28" s="138"/>
      <c r="I28" s="138"/>
      <c r="J28" s="25"/>
      <c r="K28" s="8"/>
      <c r="L28" s="8"/>
      <c r="M28" s="8"/>
    </row>
    <row r="29" spans="1:13" ht="15.75" customHeight="1">
      <c r="A29" s="32"/>
      <c r="B29" s="100" t="s">
        <v>28</v>
      </c>
      <c r="C29" s="77"/>
      <c r="D29" s="76"/>
      <c r="E29" s="78"/>
      <c r="F29" s="79"/>
      <c r="G29" s="79"/>
      <c r="H29" s="80"/>
      <c r="I29" s="13"/>
      <c r="J29" s="25"/>
      <c r="K29" s="8"/>
      <c r="L29" s="8"/>
      <c r="M29" s="8"/>
    </row>
    <row r="30" spans="1:13" ht="15.75" customHeight="1">
      <c r="A30" s="32">
        <v>10</v>
      </c>
      <c r="B30" s="76" t="s">
        <v>109</v>
      </c>
      <c r="C30" s="77" t="s">
        <v>92</v>
      </c>
      <c r="D30" s="76" t="s">
        <v>213</v>
      </c>
      <c r="E30" s="79">
        <v>1168.05</v>
      </c>
      <c r="F30" s="79">
        <f>SUM(E30*52/1000)</f>
        <v>60.738599999999998</v>
      </c>
      <c r="G30" s="79">
        <v>155.88999999999999</v>
      </c>
      <c r="H30" s="80">
        <f t="shared" ref="H30:H36" si="1">SUM(F30*G30/1000)</f>
        <v>9.4685403539999982</v>
      </c>
      <c r="I30" s="13">
        <f>F30/6*G30</f>
        <v>1578.0900589999997</v>
      </c>
      <c r="J30" s="25"/>
      <c r="K30" s="8"/>
      <c r="L30" s="8"/>
      <c r="M30" s="8"/>
    </row>
    <row r="31" spans="1:13" ht="31.5" customHeight="1">
      <c r="A31" s="32">
        <v>11</v>
      </c>
      <c r="B31" s="76" t="s">
        <v>125</v>
      </c>
      <c r="C31" s="77" t="s">
        <v>92</v>
      </c>
      <c r="D31" s="76" t="s">
        <v>214</v>
      </c>
      <c r="E31" s="79">
        <v>1039.2</v>
      </c>
      <c r="F31" s="79">
        <f>SUM(E31*78/1000)</f>
        <v>81.057600000000008</v>
      </c>
      <c r="G31" s="79">
        <v>258.63</v>
      </c>
      <c r="H31" s="80">
        <f t="shared" si="1"/>
        <v>20.963927088000002</v>
      </c>
      <c r="I31" s="13">
        <f t="shared" ref="I31:I34" si="2">F31/6*G31</f>
        <v>3493.9878480000002</v>
      </c>
      <c r="J31" s="25"/>
      <c r="K31" s="8"/>
      <c r="L31" s="8"/>
      <c r="M31" s="8"/>
    </row>
    <row r="32" spans="1:13" ht="15.75" hidden="1" customHeight="1">
      <c r="A32" s="32">
        <v>16</v>
      </c>
      <c r="B32" s="76" t="s">
        <v>27</v>
      </c>
      <c r="C32" s="77" t="s">
        <v>92</v>
      </c>
      <c r="D32" s="76" t="s">
        <v>53</v>
      </c>
      <c r="E32" s="79">
        <v>584.03</v>
      </c>
      <c r="F32" s="79">
        <f>SUM(E32/1000)</f>
        <v>0.58402999999999994</v>
      </c>
      <c r="G32" s="79">
        <v>3020.33</v>
      </c>
      <c r="H32" s="80">
        <f t="shared" si="1"/>
        <v>1.7639633298999997</v>
      </c>
      <c r="I32" s="13">
        <f>F32*G32</f>
        <v>1763.9633298999997</v>
      </c>
      <c r="J32" s="25"/>
      <c r="K32" s="8"/>
      <c r="L32" s="8"/>
      <c r="M32" s="8"/>
    </row>
    <row r="33" spans="1:14" ht="15.75" customHeight="1">
      <c r="A33" s="32">
        <v>12</v>
      </c>
      <c r="B33" s="76" t="s">
        <v>124</v>
      </c>
      <c r="C33" s="77" t="s">
        <v>39</v>
      </c>
      <c r="D33" s="76" t="s">
        <v>63</v>
      </c>
      <c r="E33" s="79">
        <v>6</v>
      </c>
      <c r="F33" s="79">
        <f>E33*155/100</f>
        <v>9.3000000000000007</v>
      </c>
      <c r="G33" s="79">
        <v>1302.02</v>
      </c>
      <c r="H33" s="80">
        <f>G33*F33/1000</f>
        <v>12.108786</v>
      </c>
      <c r="I33" s="13">
        <f t="shared" si="2"/>
        <v>2018.1310000000001</v>
      </c>
      <c r="J33" s="25"/>
      <c r="K33" s="8"/>
      <c r="L33" s="8"/>
      <c r="M33" s="8"/>
    </row>
    <row r="34" spans="1:14" ht="15.75" customHeight="1">
      <c r="A34" s="32">
        <v>13</v>
      </c>
      <c r="B34" s="76" t="s">
        <v>108</v>
      </c>
      <c r="C34" s="77" t="s">
        <v>31</v>
      </c>
      <c r="D34" s="76" t="s">
        <v>63</v>
      </c>
      <c r="E34" s="83">
        <v>0.33333333333333331</v>
      </c>
      <c r="F34" s="79">
        <f>155/3</f>
        <v>51.666666666666664</v>
      </c>
      <c r="G34" s="79">
        <v>56.69</v>
      </c>
      <c r="H34" s="80">
        <f>SUM(G34*155/3/1000)</f>
        <v>2.9289833333333331</v>
      </c>
      <c r="I34" s="13">
        <f t="shared" si="2"/>
        <v>488.16388888888883</v>
      </c>
      <c r="J34" s="25"/>
      <c r="K34" s="8"/>
    </row>
    <row r="35" spans="1:14" ht="15.75" hidden="1" customHeight="1">
      <c r="A35" s="32"/>
      <c r="B35" s="76" t="s">
        <v>65</v>
      </c>
      <c r="C35" s="77" t="s">
        <v>33</v>
      </c>
      <c r="D35" s="76" t="s">
        <v>67</v>
      </c>
      <c r="E35" s="78"/>
      <c r="F35" s="79">
        <v>4</v>
      </c>
      <c r="G35" s="79">
        <v>180.15</v>
      </c>
      <c r="H35" s="80">
        <f t="shared" si="1"/>
        <v>0.72060000000000002</v>
      </c>
      <c r="I35" s="13">
        <v>0</v>
      </c>
      <c r="J35" s="26"/>
    </row>
    <row r="36" spans="1:14" ht="15.75" hidden="1" customHeight="1">
      <c r="A36" s="32"/>
      <c r="B36" s="76" t="s">
        <v>66</v>
      </c>
      <c r="C36" s="77" t="s">
        <v>32</v>
      </c>
      <c r="D36" s="76" t="s">
        <v>67</v>
      </c>
      <c r="E36" s="78"/>
      <c r="F36" s="79">
        <v>3</v>
      </c>
      <c r="G36" s="79">
        <v>1136.33</v>
      </c>
      <c r="H36" s="80">
        <f t="shared" si="1"/>
        <v>3.4089899999999997</v>
      </c>
      <c r="I36" s="13">
        <v>0</v>
      </c>
      <c r="J36" s="26"/>
    </row>
    <row r="37" spans="1:14" ht="15.75" hidden="1" customHeight="1">
      <c r="A37" s="32"/>
      <c r="B37" s="100" t="s">
        <v>5</v>
      </c>
      <c r="C37" s="77"/>
      <c r="D37" s="76"/>
      <c r="E37" s="78"/>
      <c r="F37" s="79"/>
      <c r="G37" s="79"/>
      <c r="H37" s="80" t="s">
        <v>152</v>
      </c>
      <c r="I37" s="13"/>
      <c r="J37" s="26"/>
    </row>
    <row r="38" spans="1:14" ht="15.75" hidden="1" customHeight="1">
      <c r="A38" s="32">
        <v>10</v>
      </c>
      <c r="B38" s="76" t="s">
        <v>26</v>
      </c>
      <c r="C38" s="77" t="s">
        <v>32</v>
      </c>
      <c r="D38" s="76"/>
      <c r="E38" s="78"/>
      <c r="F38" s="79">
        <v>10</v>
      </c>
      <c r="G38" s="79">
        <v>1527.22</v>
      </c>
      <c r="H38" s="80">
        <f t="shared" ref="H38:H45" si="3">SUM(F38*G38/1000)</f>
        <v>15.272200000000002</v>
      </c>
      <c r="I38" s="13">
        <f>F38/6*G38</f>
        <v>2545.3666666666668</v>
      </c>
      <c r="J38" s="26"/>
    </row>
    <row r="39" spans="1:14" ht="15.75" hidden="1" customHeight="1">
      <c r="A39" s="32">
        <v>11</v>
      </c>
      <c r="B39" s="76" t="s">
        <v>126</v>
      </c>
      <c r="C39" s="77" t="s">
        <v>33</v>
      </c>
      <c r="D39" s="76"/>
      <c r="E39" s="78"/>
      <c r="F39" s="79">
        <v>10</v>
      </c>
      <c r="G39" s="79">
        <v>77.94</v>
      </c>
      <c r="H39" s="80">
        <f>G39*F39/1000</f>
        <v>0.77939999999999998</v>
      </c>
      <c r="I39" s="13">
        <f>F39/6*G39</f>
        <v>129.9</v>
      </c>
      <c r="J39" s="26"/>
      <c r="L39" s="19"/>
      <c r="M39" s="20"/>
      <c r="N39" s="21"/>
    </row>
    <row r="40" spans="1:14" ht="15.75" hidden="1" customHeight="1">
      <c r="A40" s="32">
        <v>12</v>
      </c>
      <c r="B40" s="76" t="s">
        <v>110</v>
      </c>
      <c r="C40" s="77" t="s">
        <v>29</v>
      </c>
      <c r="D40" s="76" t="s">
        <v>127</v>
      </c>
      <c r="E40" s="78">
        <v>1039.2</v>
      </c>
      <c r="F40" s="79">
        <f>E40*25/1000</f>
        <v>25.98</v>
      </c>
      <c r="G40" s="79">
        <v>2102.71</v>
      </c>
      <c r="H40" s="80">
        <f>G40*F40/1000</f>
        <v>54.628405800000003</v>
      </c>
      <c r="I40" s="13">
        <f>F40/6*G40</f>
        <v>9104.7343000000001</v>
      </c>
      <c r="J40" s="26"/>
      <c r="L40" s="19"/>
      <c r="M40" s="20"/>
      <c r="N40" s="21"/>
    </row>
    <row r="41" spans="1:14" ht="15.75" hidden="1" customHeight="1">
      <c r="A41" s="32"/>
      <c r="B41" s="76" t="s">
        <v>128</v>
      </c>
      <c r="C41" s="77" t="s">
        <v>129</v>
      </c>
      <c r="D41" s="76" t="s">
        <v>67</v>
      </c>
      <c r="E41" s="78"/>
      <c r="F41" s="79">
        <v>50</v>
      </c>
      <c r="G41" s="79">
        <v>213.2</v>
      </c>
      <c r="H41" s="80">
        <f>G41*F41/1000</f>
        <v>10.66</v>
      </c>
      <c r="I41" s="13">
        <v>0</v>
      </c>
      <c r="J41" s="26"/>
      <c r="L41" s="19"/>
      <c r="M41" s="20"/>
      <c r="N41" s="21"/>
    </row>
    <row r="42" spans="1:14" ht="15.75" hidden="1" customHeight="1">
      <c r="A42" s="32">
        <v>13</v>
      </c>
      <c r="B42" s="76" t="s">
        <v>68</v>
      </c>
      <c r="C42" s="77" t="s">
        <v>29</v>
      </c>
      <c r="D42" s="76" t="s">
        <v>91</v>
      </c>
      <c r="E42" s="79">
        <v>153</v>
      </c>
      <c r="F42" s="79">
        <f>SUM(E42*155/1000)</f>
        <v>23.715</v>
      </c>
      <c r="G42" s="79">
        <v>350.75</v>
      </c>
      <c r="H42" s="80">
        <f t="shared" si="3"/>
        <v>8.3180362499999987</v>
      </c>
      <c r="I42" s="13">
        <f>F42/6*G42</f>
        <v>1386.339375</v>
      </c>
      <c r="J42" s="26"/>
      <c r="L42" s="19"/>
      <c r="M42" s="20"/>
      <c r="N42" s="21"/>
    </row>
    <row r="43" spans="1:14" ht="47.25" hidden="1" customHeight="1">
      <c r="A43" s="32">
        <v>14</v>
      </c>
      <c r="B43" s="76" t="s">
        <v>84</v>
      </c>
      <c r="C43" s="77" t="s">
        <v>92</v>
      </c>
      <c r="D43" s="76" t="s">
        <v>130</v>
      </c>
      <c r="E43" s="79">
        <v>24</v>
      </c>
      <c r="F43" s="79">
        <f>SUM(E43*50/1000)</f>
        <v>1.2</v>
      </c>
      <c r="G43" s="79">
        <v>5803.28</v>
      </c>
      <c r="H43" s="80">
        <f t="shared" si="3"/>
        <v>6.9639359999999995</v>
      </c>
      <c r="I43" s="13">
        <f>F43/6*G43</f>
        <v>1160.6559999999999</v>
      </c>
      <c r="J43" s="26"/>
      <c r="L43" s="19"/>
      <c r="M43" s="20"/>
      <c r="N43" s="21"/>
    </row>
    <row r="44" spans="1:14" ht="15.75" hidden="1" customHeight="1">
      <c r="A44" s="32">
        <v>15</v>
      </c>
      <c r="B44" s="76" t="s">
        <v>93</v>
      </c>
      <c r="C44" s="77" t="s">
        <v>92</v>
      </c>
      <c r="D44" s="76" t="s">
        <v>69</v>
      </c>
      <c r="E44" s="79">
        <v>153</v>
      </c>
      <c r="F44" s="79">
        <f>SUM(E44*45/1000)</f>
        <v>6.8849999999999998</v>
      </c>
      <c r="G44" s="79">
        <v>428.7</v>
      </c>
      <c r="H44" s="80">
        <f t="shared" si="3"/>
        <v>2.9515994999999999</v>
      </c>
      <c r="I44" s="13">
        <f>F44/6*G44</f>
        <v>491.93324999999999</v>
      </c>
      <c r="J44" s="26"/>
      <c r="L44" s="19"/>
      <c r="M44" s="20"/>
      <c r="N44" s="21"/>
    </row>
    <row r="45" spans="1:14" ht="15.75" hidden="1" customHeight="1">
      <c r="A45" s="32">
        <v>16</v>
      </c>
      <c r="B45" s="76" t="s">
        <v>70</v>
      </c>
      <c r="C45" s="77" t="s">
        <v>33</v>
      </c>
      <c r="D45" s="76"/>
      <c r="E45" s="78"/>
      <c r="F45" s="79">
        <v>0.9</v>
      </c>
      <c r="G45" s="79">
        <v>798</v>
      </c>
      <c r="H45" s="80">
        <f t="shared" si="3"/>
        <v>0.71820000000000006</v>
      </c>
      <c r="I45" s="13">
        <f>F45/6*G45</f>
        <v>119.69999999999999</v>
      </c>
      <c r="J45" s="26"/>
      <c r="L45" s="19"/>
      <c r="M45" s="20"/>
      <c r="N45" s="21"/>
    </row>
    <row r="46" spans="1:14" ht="15" customHeight="1">
      <c r="A46" s="139" t="s">
        <v>148</v>
      </c>
      <c r="B46" s="140"/>
      <c r="C46" s="140"/>
      <c r="D46" s="140"/>
      <c r="E46" s="140"/>
      <c r="F46" s="140"/>
      <c r="G46" s="140"/>
      <c r="H46" s="140"/>
      <c r="I46" s="141"/>
      <c r="J46" s="26"/>
      <c r="L46" s="19"/>
      <c r="M46" s="20"/>
      <c r="N46" s="21"/>
    </row>
    <row r="47" spans="1:14" ht="15.75" hidden="1" customHeight="1">
      <c r="A47" s="32"/>
      <c r="B47" s="76" t="s">
        <v>131</v>
      </c>
      <c r="C47" s="77" t="s">
        <v>92</v>
      </c>
      <c r="D47" s="76" t="s">
        <v>42</v>
      </c>
      <c r="E47" s="78">
        <v>1895</v>
      </c>
      <c r="F47" s="79">
        <f>SUM(E47*2/1000)</f>
        <v>3.79</v>
      </c>
      <c r="G47" s="13">
        <v>849.49</v>
      </c>
      <c r="H47" s="80">
        <f t="shared" ref="H47:H55" si="4">SUM(F47*G47/1000)</f>
        <v>3.2195671000000003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76" t="s">
        <v>34</v>
      </c>
      <c r="C48" s="77" t="s">
        <v>92</v>
      </c>
      <c r="D48" s="76" t="s">
        <v>42</v>
      </c>
      <c r="E48" s="78">
        <v>118.2</v>
      </c>
      <c r="F48" s="79">
        <f>E48*2/1000</f>
        <v>0.2364</v>
      </c>
      <c r="G48" s="13">
        <v>579.48</v>
      </c>
      <c r="H48" s="80">
        <f t="shared" si="4"/>
        <v>0.13698907199999999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76" t="s">
        <v>35</v>
      </c>
      <c r="C49" s="77" t="s">
        <v>92</v>
      </c>
      <c r="D49" s="76" t="s">
        <v>42</v>
      </c>
      <c r="E49" s="78">
        <v>4675</v>
      </c>
      <c r="F49" s="79">
        <f>SUM(E49*2/1000)</f>
        <v>9.35</v>
      </c>
      <c r="G49" s="13">
        <v>579.48</v>
      </c>
      <c r="H49" s="80">
        <f t="shared" si="4"/>
        <v>5.4181379999999999</v>
      </c>
      <c r="I49" s="13">
        <v>0</v>
      </c>
      <c r="J49" s="26"/>
      <c r="L49" s="19"/>
      <c r="M49" s="20"/>
      <c r="N49" s="21"/>
    </row>
    <row r="50" spans="1:22" ht="15.75" hidden="1" customHeight="1">
      <c r="A50" s="32"/>
      <c r="B50" s="76" t="s">
        <v>36</v>
      </c>
      <c r="C50" s="77" t="s">
        <v>92</v>
      </c>
      <c r="D50" s="76" t="s">
        <v>42</v>
      </c>
      <c r="E50" s="78">
        <v>4675</v>
      </c>
      <c r="F50" s="79">
        <f>SUM(E50*2/1000)</f>
        <v>9.35</v>
      </c>
      <c r="G50" s="13">
        <v>606.77</v>
      </c>
      <c r="H50" s="80">
        <f t="shared" si="4"/>
        <v>5.6732994999999988</v>
      </c>
      <c r="I50" s="13">
        <v>0</v>
      </c>
      <c r="J50" s="26"/>
      <c r="L50" s="19"/>
      <c r="M50" s="20"/>
      <c r="N50" s="21"/>
    </row>
    <row r="51" spans="1:22" ht="15.75" hidden="1" customHeight="1">
      <c r="A51" s="32">
        <v>17</v>
      </c>
      <c r="B51" s="76" t="s">
        <v>56</v>
      </c>
      <c r="C51" s="77" t="s">
        <v>92</v>
      </c>
      <c r="D51" s="76" t="s">
        <v>169</v>
      </c>
      <c r="E51" s="78">
        <v>3988</v>
      </c>
      <c r="F51" s="79">
        <f>SUM(E51*5/1000)</f>
        <v>19.940000000000001</v>
      </c>
      <c r="G51" s="13">
        <v>1142.7</v>
      </c>
      <c r="H51" s="80">
        <f t="shared" si="4"/>
        <v>22.785438000000003</v>
      </c>
      <c r="I51" s="13">
        <f>F51/5*G51</f>
        <v>4557.0876000000007</v>
      </c>
      <c r="J51" s="26"/>
      <c r="L51" s="19"/>
      <c r="M51" s="20"/>
      <c r="N51" s="21"/>
    </row>
    <row r="52" spans="1:22" ht="31.5" customHeight="1">
      <c r="A52" s="32">
        <v>14</v>
      </c>
      <c r="B52" s="76" t="s">
        <v>94</v>
      </c>
      <c r="C52" s="77" t="s">
        <v>92</v>
      </c>
      <c r="D52" s="76" t="s">
        <v>42</v>
      </c>
      <c r="E52" s="78">
        <v>3988</v>
      </c>
      <c r="F52" s="79">
        <f>SUM(E52*2/1000)</f>
        <v>7.976</v>
      </c>
      <c r="G52" s="13">
        <v>1213.55</v>
      </c>
      <c r="H52" s="80">
        <f t="shared" si="4"/>
        <v>9.6792748</v>
      </c>
      <c r="I52" s="13">
        <f>F52/2*G52</f>
        <v>4839.6373999999996</v>
      </c>
      <c r="J52" s="26"/>
      <c r="L52" s="19"/>
      <c r="M52" s="20"/>
      <c r="N52" s="21"/>
    </row>
    <row r="53" spans="1:22" ht="31.5" customHeight="1">
      <c r="A53" s="32">
        <v>15</v>
      </c>
      <c r="B53" s="76" t="s">
        <v>95</v>
      </c>
      <c r="C53" s="77" t="s">
        <v>37</v>
      </c>
      <c r="D53" s="76" t="s">
        <v>42</v>
      </c>
      <c r="E53" s="78">
        <v>30</v>
      </c>
      <c r="F53" s="79">
        <f>SUM(E53*2/100)</f>
        <v>0.6</v>
      </c>
      <c r="G53" s="13">
        <v>2730.49</v>
      </c>
      <c r="H53" s="80">
        <f>SUM(F53*G53/1000)</f>
        <v>1.6382939999999999</v>
      </c>
      <c r="I53" s="13">
        <f>F53/2*G53</f>
        <v>819.14699999999993</v>
      </c>
      <c r="J53" s="26"/>
      <c r="L53" s="19"/>
      <c r="M53" s="20"/>
      <c r="N53" s="21"/>
    </row>
    <row r="54" spans="1:22" ht="15.75" hidden="1" customHeight="1">
      <c r="A54" s="32"/>
      <c r="B54" s="76" t="s">
        <v>38</v>
      </c>
      <c r="C54" s="77" t="s">
        <v>39</v>
      </c>
      <c r="D54" s="76" t="s">
        <v>42</v>
      </c>
      <c r="E54" s="78">
        <v>1</v>
      </c>
      <c r="F54" s="79">
        <v>0.02</v>
      </c>
      <c r="G54" s="13">
        <v>5652.13</v>
      </c>
      <c r="H54" s="80">
        <f t="shared" si="4"/>
        <v>0.11304260000000001</v>
      </c>
      <c r="I54" s="13">
        <v>0</v>
      </c>
      <c r="J54" s="26"/>
      <c r="L54" s="19"/>
      <c r="M54" s="20"/>
      <c r="N54" s="21"/>
    </row>
    <row r="55" spans="1:22" ht="15.75" hidden="1" customHeight="1">
      <c r="A55" s="32">
        <v>18</v>
      </c>
      <c r="B55" s="76" t="s">
        <v>41</v>
      </c>
      <c r="C55" s="77" t="s">
        <v>111</v>
      </c>
      <c r="D55" s="76" t="s">
        <v>71</v>
      </c>
      <c r="E55" s="78">
        <v>236</v>
      </c>
      <c r="F55" s="79">
        <f>SUM(E55)*3</f>
        <v>708</v>
      </c>
      <c r="G55" s="13">
        <v>65.67</v>
      </c>
      <c r="H55" s="80">
        <f t="shared" si="4"/>
        <v>46.49436</v>
      </c>
      <c r="I55" s="13">
        <f>E55*G55</f>
        <v>15498.12</v>
      </c>
      <c r="J55" s="26"/>
      <c r="L55" s="19"/>
      <c r="M55" s="20"/>
      <c r="N55" s="21"/>
    </row>
    <row r="56" spans="1:22" ht="15.75" customHeight="1">
      <c r="A56" s="139" t="s">
        <v>149</v>
      </c>
      <c r="B56" s="140"/>
      <c r="C56" s="140"/>
      <c r="D56" s="140"/>
      <c r="E56" s="140"/>
      <c r="F56" s="140"/>
      <c r="G56" s="140"/>
      <c r="H56" s="140"/>
      <c r="I56" s="141"/>
      <c r="J56" s="26"/>
      <c r="L56" s="19"/>
      <c r="M56" s="20"/>
      <c r="N56" s="21"/>
    </row>
    <row r="57" spans="1:22" ht="15.75" hidden="1" customHeight="1">
      <c r="A57" s="32"/>
      <c r="B57" s="100" t="s">
        <v>43</v>
      </c>
      <c r="C57" s="77"/>
      <c r="D57" s="76"/>
      <c r="E57" s="78"/>
      <c r="F57" s="79"/>
      <c r="G57" s="79"/>
      <c r="H57" s="80"/>
      <c r="I57" s="13"/>
      <c r="J57" s="26"/>
      <c r="L57" s="19"/>
      <c r="M57" s="20"/>
      <c r="N57" s="21"/>
    </row>
    <row r="58" spans="1:22" ht="31.5" hidden="1" customHeight="1">
      <c r="A58" s="32">
        <v>19</v>
      </c>
      <c r="B58" s="76" t="s">
        <v>132</v>
      </c>
      <c r="C58" s="77" t="s">
        <v>90</v>
      </c>
      <c r="D58" s="76" t="s">
        <v>112</v>
      </c>
      <c r="E58" s="78">
        <v>30</v>
      </c>
      <c r="F58" s="79">
        <f>SUM(E58*6/100)</f>
        <v>1.8</v>
      </c>
      <c r="G58" s="13">
        <v>1547.28</v>
      </c>
      <c r="H58" s="80">
        <f>SUM(F58*G58/1000)</f>
        <v>2.785104</v>
      </c>
      <c r="I58" s="13">
        <f>F58/6*G58</f>
        <v>464.18399999999997</v>
      </c>
      <c r="J58" s="26"/>
      <c r="L58" s="19"/>
    </row>
    <row r="59" spans="1:22" ht="15.75" hidden="1" customHeight="1">
      <c r="A59" s="32">
        <v>20</v>
      </c>
      <c r="B59" s="85" t="s">
        <v>133</v>
      </c>
      <c r="C59" s="86" t="s">
        <v>134</v>
      </c>
      <c r="D59" s="85" t="s">
        <v>42</v>
      </c>
      <c r="E59" s="87">
        <v>6</v>
      </c>
      <c r="F59" s="88">
        <v>12</v>
      </c>
      <c r="G59" s="13">
        <v>180.78</v>
      </c>
      <c r="H59" s="89">
        <f>G59*F59/1000</f>
        <v>2.1693600000000002</v>
      </c>
      <c r="I59" s="13">
        <f>F59/2*G59</f>
        <v>1084.68</v>
      </c>
    </row>
    <row r="60" spans="1:22" ht="15.75" hidden="1" customHeight="1">
      <c r="A60" s="32">
        <v>21</v>
      </c>
      <c r="B60" s="85" t="s">
        <v>135</v>
      </c>
      <c r="C60" s="86" t="s">
        <v>52</v>
      </c>
      <c r="D60" s="85" t="s">
        <v>40</v>
      </c>
      <c r="E60" s="87">
        <v>6</v>
      </c>
      <c r="F60" s="88">
        <f>E60*4/100</f>
        <v>0.24</v>
      </c>
      <c r="G60" s="13">
        <v>1547.28</v>
      </c>
      <c r="H60" s="89">
        <f>G60*F60/1000</f>
        <v>0.37134719999999999</v>
      </c>
      <c r="I60" s="13">
        <f>F60/4*G60</f>
        <v>92.836799999999997</v>
      </c>
    </row>
    <row r="61" spans="1:22" ht="15.75" customHeight="1">
      <c r="A61" s="32"/>
      <c r="B61" s="101" t="s">
        <v>44</v>
      </c>
      <c r="C61" s="86"/>
      <c r="D61" s="85"/>
      <c r="E61" s="87"/>
      <c r="F61" s="88"/>
      <c r="G61" s="13"/>
      <c r="H61" s="89"/>
      <c r="I61" s="13"/>
    </row>
    <row r="62" spans="1:22" ht="15.75" hidden="1" customHeight="1">
      <c r="A62" s="32">
        <v>22</v>
      </c>
      <c r="B62" s="85" t="s">
        <v>136</v>
      </c>
      <c r="C62" s="86" t="s">
        <v>52</v>
      </c>
      <c r="D62" s="85" t="s">
        <v>53</v>
      </c>
      <c r="E62" s="87">
        <v>997</v>
      </c>
      <c r="F62" s="88">
        <v>9.9700000000000006</v>
      </c>
      <c r="G62" s="13">
        <v>793.61</v>
      </c>
      <c r="H62" s="89">
        <f>F62*G62/1000</f>
        <v>7.9122917000000008</v>
      </c>
      <c r="I62" s="13">
        <f>G62*F62</f>
        <v>7912.2917000000007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customHeight="1">
      <c r="A63" s="32">
        <v>16</v>
      </c>
      <c r="B63" s="85" t="s">
        <v>137</v>
      </c>
      <c r="C63" s="86" t="s">
        <v>25</v>
      </c>
      <c r="D63" s="85" t="s">
        <v>30</v>
      </c>
      <c r="E63" s="87">
        <v>394</v>
      </c>
      <c r="F63" s="90">
        <f>E63*12</f>
        <v>4728</v>
      </c>
      <c r="G63" s="71">
        <v>2.6</v>
      </c>
      <c r="H63" s="88">
        <f>F63*G63/1000</f>
        <v>12.292800000000002</v>
      </c>
      <c r="I63" s="13">
        <f>F63/12*G63</f>
        <v>1024.4000000000001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2"/>
      <c r="B64" s="101" t="s">
        <v>45</v>
      </c>
      <c r="C64" s="86"/>
      <c r="D64" s="85"/>
      <c r="E64" s="87"/>
      <c r="F64" s="90"/>
      <c r="G64" s="90"/>
      <c r="H64" s="88" t="s">
        <v>152</v>
      </c>
      <c r="I64" s="13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32">
        <v>17</v>
      </c>
      <c r="B65" s="14" t="s">
        <v>46</v>
      </c>
      <c r="C65" s="16" t="s">
        <v>111</v>
      </c>
      <c r="D65" s="76" t="s">
        <v>67</v>
      </c>
      <c r="E65" s="18">
        <v>15</v>
      </c>
      <c r="F65" s="79">
        <v>15</v>
      </c>
      <c r="G65" s="13">
        <v>222.4</v>
      </c>
      <c r="H65" s="91">
        <f t="shared" ref="H65:H78" si="5">SUM(F65*G65/1000)</f>
        <v>3.3359999999999999</v>
      </c>
      <c r="I65" s="13">
        <f>G65*16</f>
        <v>3558.4</v>
      </c>
      <c r="J65" s="5"/>
      <c r="K65" s="5"/>
      <c r="L65" s="5"/>
      <c r="M65" s="5"/>
      <c r="N65" s="5"/>
      <c r="O65" s="5"/>
      <c r="P65" s="5"/>
      <c r="Q65" s="5"/>
      <c r="R65" s="123"/>
      <c r="S65" s="123"/>
      <c r="T65" s="123"/>
      <c r="U65" s="123"/>
    </row>
    <row r="66" spans="1:21" ht="15.75" hidden="1" customHeight="1">
      <c r="A66" s="32">
        <v>25</v>
      </c>
      <c r="B66" s="14" t="s">
        <v>47</v>
      </c>
      <c r="C66" s="16" t="s">
        <v>111</v>
      </c>
      <c r="D66" s="76" t="s">
        <v>67</v>
      </c>
      <c r="E66" s="18">
        <v>10</v>
      </c>
      <c r="F66" s="79">
        <v>10</v>
      </c>
      <c r="G66" s="13">
        <v>76.25</v>
      </c>
      <c r="H66" s="91">
        <f t="shared" si="5"/>
        <v>0.76249999999999996</v>
      </c>
      <c r="I66" s="13">
        <f>G66</f>
        <v>76.25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48</v>
      </c>
      <c r="C67" s="16" t="s">
        <v>113</v>
      </c>
      <c r="D67" s="14" t="s">
        <v>53</v>
      </c>
      <c r="E67" s="78">
        <v>28608</v>
      </c>
      <c r="F67" s="13">
        <f>SUM(E67/100)</f>
        <v>286.08</v>
      </c>
      <c r="G67" s="13">
        <v>199.77</v>
      </c>
      <c r="H67" s="91">
        <f t="shared" si="5"/>
        <v>57.150201600000003</v>
      </c>
      <c r="I67" s="13">
        <f>F67*G67</f>
        <v>57150.2016</v>
      </c>
    </row>
    <row r="68" spans="1:21" ht="15.75" hidden="1" customHeight="1">
      <c r="A68" s="32"/>
      <c r="B68" s="14" t="s">
        <v>49</v>
      </c>
      <c r="C68" s="16" t="s">
        <v>114</v>
      </c>
      <c r="D68" s="14"/>
      <c r="E68" s="78">
        <v>28608</v>
      </c>
      <c r="F68" s="13">
        <f>SUM(E68/1000)</f>
        <v>28.608000000000001</v>
      </c>
      <c r="G68" s="13">
        <v>155.57</v>
      </c>
      <c r="H68" s="91">
        <f t="shared" si="5"/>
        <v>4.4505465599999994</v>
      </c>
      <c r="I68" s="13">
        <f t="shared" ref="I68:I72" si="6">F68*G68</f>
        <v>4450.5465599999998</v>
      </c>
    </row>
    <row r="69" spans="1:21" ht="15.75" hidden="1" customHeight="1">
      <c r="A69" s="32"/>
      <c r="B69" s="14" t="s">
        <v>50</v>
      </c>
      <c r="C69" s="16" t="s">
        <v>77</v>
      </c>
      <c r="D69" s="14" t="s">
        <v>53</v>
      </c>
      <c r="E69" s="78">
        <v>4550</v>
      </c>
      <c r="F69" s="13">
        <f>SUM(E69/100)</f>
        <v>45.5</v>
      </c>
      <c r="G69" s="13">
        <v>2074.63</v>
      </c>
      <c r="H69" s="91">
        <f t="shared" si="5"/>
        <v>94.395665000000008</v>
      </c>
      <c r="I69" s="13">
        <f t="shared" si="6"/>
        <v>94395.665000000008</v>
      </c>
    </row>
    <row r="70" spans="1:21" ht="15.75" hidden="1" customHeight="1">
      <c r="A70" s="32"/>
      <c r="B70" s="92" t="s">
        <v>115</v>
      </c>
      <c r="C70" s="16" t="s">
        <v>33</v>
      </c>
      <c r="D70" s="14"/>
      <c r="E70" s="78">
        <v>58.5</v>
      </c>
      <c r="F70" s="13">
        <f>SUM(E70)</f>
        <v>58.5</v>
      </c>
      <c r="G70" s="13">
        <v>45.32</v>
      </c>
      <c r="H70" s="91">
        <f t="shared" si="5"/>
        <v>2.6512199999999999</v>
      </c>
      <c r="I70" s="13">
        <f t="shared" si="6"/>
        <v>2651.22</v>
      </c>
    </row>
    <row r="71" spans="1:21" ht="15.75" hidden="1" customHeight="1">
      <c r="A71" s="32"/>
      <c r="B71" s="92" t="s">
        <v>116</v>
      </c>
      <c r="C71" s="16" t="s">
        <v>33</v>
      </c>
      <c r="D71" s="14"/>
      <c r="E71" s="78">
        <v>58.5</v>
      </c>
      <c r="F71" s="13">
        <f>SUM(E71)</f>
        <v>58.5</v>
      </c>
      <c r="G71" s="13">
        <v>42.28</v>
      </c>
      <c r="H71" s="91">
        <f t="shared" si="5"/>
        <v>2.4733800000000001</v>
      </c>
      <c r="I71" s="13">
        <f t="shared" si="6"/>
        <v>2473.38</v>
      </c>
    </row>
    <row r="72" spans="1:21" ht="15.75" hidden="1" customHeight="1">
      <c r="A72" s="32"/>
      <c r="B72" s="14" t="s">
        <v>57</v>
      </c>
      <c r="C72" s="16" t="s">
        <v>58</v>
      </c>
      <c r="D72" s="14" t="s">
        <v>53</v>
      </c>
      <c r="E72" s="18">
        <v>5</v>
      </c>
      <c r="F72" s="79">
        <v>5</v>
      </c>
      <c r="G72" s="13">
        <v>49.88</v>
      </c>
      <c r="H72" s="91">
        <f t="shared" si="5"/>
        <v>0.24940000000000001</v>
      </c>
      <c r="I72" s="13">
        <f t="shared" si="6"/>
        <v>249.4</v>
      </c>
    </row>
    <row r="73" spans="1:21" ht="15.75" hidden="1" customHeight="1">
      <c r="A73" s="32"/>
      <c r="B73" s="64" t="s">
        <v>72</v>
      </c>
      <c r="C73" s="16"/>
      <c r="D73" s="14"/>
      <c r="E73" s="18"/>
      <c r="F73" s="13"/>
      <c r="G73" s="13"/>
      <c r="H73" s="91" t="s">
        <v>152</v>
      </c>
      <c r="I73" s="13"/>
    </row>
    <row r="74" spans="1:21" ht="15.75" hidden="1" customHeight="1">
      <c r="A74" s="32"/>
      <c r="B74" s="14" t="s">
        <v>73</v>
      </c>
      <c r="C74" s="16" t="s">
        <v>75</v>
      </c>
      <c r="D74" s="14"/>
      <c r="E74" s="18">
        <v>10</v>
      </c>
      <c r="F74" s="13">
        <v>1</v>
      </c>
      <c r="G74" s="13">
        <v>501.62</v>
      </c>
      <c r="H74" s="91">
        <f t="shared" si="5"/>
        <v>0.50161999999999995</v>
      </c>
      <c r="I74" s="13">
        <v>0</v>
      </c>
    </row>
    <row r="75" spans="1:21" ht="15.75" hidden="1" customHeight="1">
      <c r="A75" s="32"/>
      <c r="B75" s="14" t="s">
        <v>74</v>
      </c>
      <c r="C75" s="16" t="s">
        <v>31</v>
      </c>
      <c r="D75" s="14"/>
      <c r="E75" s="18">
        <v>3</v>
      </c>
      <c r="F75" s="71">
        <v>3</v>
      </c>
      <c r="G75" s="13">
        <v>852.99</v>
      </c>
      <c r="H75" s="91">
        <f>F75*G75/1000</f>
        <v>2.5589700000000004</v>
      </c>
      <c r="I75" s="13">
        <v>0</v>
      </c>
    </row>
    <row r="76" spans="1:21" ht="15.75" hidden="1" customHeight="1">
      <c r="A76" s="32"/>
      <c r="B76" s="14" t="s">
        <v>118</v>
      </c>
      <c r="C76" s="16" t="s">
        <v>31</v>
      </c>
      <c r="D76" s="14"/>
      <c r="E76" s="18">
        <v>1</v>
      </c>
      <c r="F76" s="13">
        <v>1</v>
      </c>
      <c r="G76" s="13">
        <v>358.51</v>
      </c>
      <c r="H76" s="91">
        <f>G76*F76/1000</f>
        <v>0.35851</v>
      </c>
      <c r="I76" s="13">
        <v>0</v>
      </c>
    </row>
    <row r="77" spans="1:21" ht="15.75" hidden="1" customHeight="1">
      <c r="A77" s="32"/>
      <c r="B77" s="94" t="s">
        <v>76</v>
      </c>
      <c r="C77" s="16"/>
      <c r="D77" s="14"/>
      <c r="E77" s="18"/>
      <c r="F77" s="13"/>
      <c r="G77" s="13" t="s">
        <v>152</v>
      </c>
      <c r="H77" s="91" t="s">
        <v>152</v>
      </c>
      <c r="I77" s="13"/>
    </row>
    <row r="78" spans="1:21" ht="15.75" hidden="1" customHeight="1">
      <c r="A78" s="32"/>
      <c r="B78" s="47" t="s">
        <v>170</v>
      </c>
      <c r="C78" s="16" t="s">
        <v>77</v>
      </c>
      <c r="D78" s="14"/>
      <c r="E78" s="18"/>
      <c r="F78" s="13">
        <v>1.2</v>
      </c>
      <c r="G78" s="13">
        <v>2759.44</v>
      </c>
      <c r="H78" s="91">
        <f t="shared" si="5"/>
        <v>3.311328</v>
      </c>
      <c r="I78" s="13">
        <v>0</v>
      </c>
    </row>
    <row r="79" spans="1:21" ht="15.75" hidden="1" customHeight="1">
      <c r="A79" s="32"/>
      <c r="B79" s="70" t="s">
        <v>96</v>
      </c>
      <c r="C79" s="70"/>
      <c r="D79" s="70"/>
      <c r="E79" s="70"/>
      <c r="F79" s="70"/>
      <c r="G79" s="82"/>
      <c r="H79" s="95">
        <f>SUM(H58:H78)</f>
        <v>197.73024405999999</v>
      </c>
      <c r="I79" s="82"/>
    </row>
    <row r="80" spans="1:21" ht="15.75" hidden="1" customHeight="1">
      <c r="A80" s="32"/>
      <c r="B80" s="102" t="s">
        <v>117</v>
      </c>
      <c r="C80" s="23"/>
      <c r="D80" s="22"/>
      <c r="E80" s="72"/>
      <c r="F80" s="103">
        <v>1</v>
      </c>
      <c r="G80" s="13">
        <v>23072.1</v>
      </c>
      <c r="H80" s="91">
        <f>G80*F80/1000</f>
        <v>23.072099999999999</v>
      </c>
      <c r="I80" s="13">
        <v>0</v>
      </c>
    </row>
    <row r="81" spans="1:9" ht="15.75" customHeight="1">
      <c r="A81" s="124" t="s">
        <v>150</v>
      </c>
      <c r="B81" s="125"/>
      <c r="C81" s="125"/>
      <c r="D81" s="125"/>
      <c r="E81" s="125"/>
      <c r="F81" s="125"/>
      <c r="G81" s="125"/>
      <c r="H81" s="125"/>
      <c r="I81" s="126"/>
    </row>
    <row r="82" spans="1:9" ht="15.75" customHeight="1">
      <c r="A82" s="32">
        <v>18</v>
      </c>
      <c r="B82" s="76" t="s">
        <v>119</v>
      </c>
      <c r="C82" s="16" t="s">
        <v>54</v>
      </c>
      <c r="D82" s="51" t="s">
        <v>55</v>
      </c>
      <c r="E82" s="13">
        <v>6980.3</v>
      </c>
      <c r="F82" s="13">
        <f>SUM(E82*12)</f>
        <v>83763.600000000006</v>
      </c>
      <c r="G82" s="13">
        <v>2.1</v>
      </c>
      <c r="H82" s="91">
        <f>SUM(F82*G82/1000)</f>
        <v>175.90356000000003</v>
      </c>
      <c r="I82" s="13">
        <f>F82/12*G82</f>
        <v>14658.630000000001</v>
      </c>
    </row>
    <row r="83" spans="1:9" ht="31.5" customHeight="1">
      <c r="A83" s="32">
        <v>19</v>
      </c>
      <c r="B83" s="14" t="s">
        <v>78</v>
      </c>
      <c r="C83" s="16"/>
      <c r="D83" s="51" t="s">
        <v>55</v>
      </c>
      <c r="E83" s="78">
        <f>E82</f>
        <v>6980.3</v>
      </c>
      <c r="F83" s="13">
        <f>E83*12</f>
        <v>83763.600000000006</v>
      </c>
      <c r="G83" s="13">
        <v>1.63</v>
      </c>
      <c r="H83" s="91">
        <f>F83*G83/1000</f>
        <v>136.53466800000001</v>
      </c>
      <c r="I83" s="13">
        <f>F83/12*G83</f>
        <v>11377.888999999999</v>
      </c>
    </row>
    <row r="84" spans="1:9" ht="15.75" customHeight="1">
      <c r="A84" s="32"/>
      <c r="B84" s="40" t="s">
        <v>81</v>
      </c>
      <c r="C84" s="94"/>
      <c r="D84" s="93"/>
      <c r="E84" s="82"/>
      <c r="F84" s="82"/>
      <c r="G84" s="82"/>
      <c r="H84" s="95">
        <f>H83</f>
        <v>136.53466800000001</v>
      </c>
      <c r="I84" s="82">
        <f>I16+I17+I18+I20+I21+I24+I25+I26+I27+I30+I31+I33+I34+I52+I53+I63+I65+I82+I83</f>
        <v>103152.67418188887</v>
      </c>
    </row>
    <row r="85" spans="1:9" ht="15.75" customHeight="1">
      <c r="A85" s="135" t="s">
        <v>60</v>
      </c>
      <c r="B85" s="136"/>
      <c r="C85" s="136"/>
      <c r="D85" s="136"/>
      <c r="E85" s="136"/>
      <c r="F85" s="136"/>
      <c r="G85" s="136"/>
      <c r="H85" s="136"/>
      <c r="I85" s="137"/>
    </row>
    <row r="86" spans="1:9" ht="15.75" customHeight="1">
      <c r="A86" s="32">
        <v>20</v>
      </c>
      <c r="B86" s="50" t="s">
        <v>143</v>
      </c>
      <c r="C86" s="62" t="s">
        <v>85</v>
      </c>
      <c r="D86" s="14"/>
      <c r="E86" s="18"/>
      <c r="F86" s="13">
        <v>8</v>
      </c>
      <c r="G86" s="13">
        <v>195.85</v>
      </c>
      <c r="H86" s="91">
        <f>G86*F86/1000</f>
        <v>1.5668</v>
      </c>
      <c r="I86" s="13">
        <f>G86</f>
        <v>195.85</v>
      </c>
    </row>
    <row r="87" spans="1:9" ht="31.5" customHeight="1">
      <c r="A87" s="32">
        <v>21</v>
      </c>
      <c r="B87" s="50" t="s">
        <v>155</v>
      </c>
      <c r="C87" s="62" t="s">
        <v>156</v>
      </c>
      <c r="D87" s="39"/>
      <c r="E87" s="17"/>
      <c r="F87" s="36">
        <v>13</v>
      </c>
      <c r="G87" s="36">
        <v>589.54</v>
      </c>
      <c r="H87" s="110">
        <f t="shared" ref="H87:H89" si="7">G87*F87/1000</f>
        <v>7.6640199999999998</v>
      </c>
      <c r="I87" s="13">
        <f>G87*3</f>
        <v>1768.62</v>
      </c>
    </row>
    <row r="88" spans="1:9" ht="15.75" customHeight="1">
      <c r="A88" s="32">
        <v>22</v>
      </c>
      <c r="B88" s="50" t="s">
        <v>138</v>
      </c>
      <c r="C88" s="62" t="s">
        <v>111</v>
      </c>
      <c r="D88" s="14"/>
      <c r="E88" s="18"/>
      <c r="F88" s="13">
        <v>1080</v>
      </c>
      <c r="G88" s="13">
        <v>53.42</v>
      </c>
      <c r="H88" s="91">
        <f t="shared" si="7"/>
        <v>57.693599999999996</v>
      </c>
      <c r="I88" s="13">
        <f>G88*120</f>
        <v>6410.4000000000005</v>
      </c>
    </row>
    <row r="89" spans="1:9" ht="15.75" customHeight="1">
      <c r="A89" s="32">
        <v>23</v>
      </c>
      <c r="B89" s="63" t="s">
        <v>86</v>
      </c>
      <c r="C89" s="62" t="s">
        <v>111</v>
      </c>
      <c r="D89" s="14"/>
      <c r="E89" s="18"/>
      <c r="F89" s="13">
        <v>6</v>
      </c>
      <c r="G89" s="13">
        <v>189.67</v>
      </c>
      <c r="H89" s="91">
        <f t="shared" si="7"/>
        <v>1.13802</v>
      </c>
      <c r="I89" s="13">
        <f>G89*2</f>
        <v>379.34</v>
      </c>
    </row>
    <row r="90" spans="1:9" ht="15.75" customHeight="1">
      <c r="A90" s="32">
        <v>24</v>
      </c>
      <c r="B90" s="98" t="s">
        <v>192</v>
      </c>
      <c r="C90" s="99" t="s">
        <v>142</v>
      </c>
      <c r="D90" s="111"/>
      <c r="E90" s="36"/>
      <c r="F90" s="36">
        <f>(3+4+15+15+15+5+20+20+15+10+15+15+7+6+15+3)/3</f>
        <v>61</v>
      </c>
      <c r="G90" s="36">
        <v>1120.8900000000001</v>
      </c>
      <c r="H90" s="110">
        <f>G90*F90/1000</f>
        <v>68.374290000000002</v>
      </c>
      <c r="I90" s="13">
        <f>G90*(15/3)</f>
        <v>5604.4500000000007</v>
      </c>
    </row>
    <row r="91" spans="1:9" ht="31.5" customHeight="1">
      <c r="A91" s="32">
        <v>25</v>
      </c>
      <c r="B91" s="50" t="s">
        <v>195</v>
      </c>
      <c r="C91" s="62" t="s">
        <v>156</v>
      </c>
      <c r="D91" s="47"/>
      <c r="E91" s="13"/>
      <c r="F91" s="13">
        <v>26</v>
      </c>
      <c r="G91" s="13">
        <v>1046.06</v>
      </c>
      <c r="H91" s="91">
        <f t="shared" ref="H91:H97" si="8">G91*F91/1000</f>
        <v>27.197559999999999</v>
      </c>
      <c r="I91" s="13">
        <f>G91*6</f>
        <v>6276.36</v>
      </c>
    </row>
    <row r="92" spans="1:9" ht="15.75" customHeight="1">
      <c r="A92" s="32">
        <v>26</v>
      </c>
      <c r="B92" s="50" t="s">
        <v>200</v>
      </c>
      <c r="C92" s="62" t="s">
        <v>111</v>
      </c>
      <c r="D92" s="14"/>
      <c r="E92" s="18"/>
      <c r="F92" s="13">
        <v>2</v>
      </c>
      <c r="G92" s="13">
        <v>50</v>
      </c>
      <c r="H92" s="91">
        <f t="shared" si="8"/>
        <v>0.1</v>
      </c>
      <c r="I92" s="13">
        <f>G92</f>
        <v>50</v>
      </c>
    </row>
    <row r="93" spans="1:9" ht="15.75" customHeight="1">
      <c r="A93" s="32">
        <v>27</v>
      </c>
      <c r="B93" s="50" t="s">
        <v>201</v>
      </c>
      <c r="C93" s="62" t="s">
        <v>111</v>
      </c>
      <c r="D93" s="47"/>
      <c r="E93" s="13"/>
      <c r="F93" s="13">
        <v>4</v>
      </c>
      <c r="G93" s="13">
        <v>22</v>
      </c>
      <c r="H93" s="91">
        <f t="shared" si="8"/>
        <v>8.7999999999999995E-2</v>
      </c>
      <c r="I93" s="13">
        <f t="shared" ref="I93:I95" si="9">G93</f>
        <v>22</v>
      </c>
    </row>
    <row r="94" spans="1:9" ht="15.75" customHeight="1">
      <c r="A94" s="32">
        <v>28</v>
      </c>
      <c r="B94" s="50" t="s">
        <v>202</v>
      </c>
      <c r="C94" s="62" t="s">
        <v>111</v>
      </c>
      <c r="D94" s="47"/>
      <c r="E94" s="13"/>
      <c r="F94" s="13">
        <v>5</v>
      </c>
      <c r="G94" s="13">
        <v>22</v>
      </c>
      <c r="H94" s="91">
        <f t="shared" si="8"/>
        <v>0.11</v>
      </c>
      <c r="I94" s="13">
        <f>G94*2</f>
        <v>44</v>
      </c>
    </row>
    <row r="95" spans="1:9" ht="31.5" customHeight="1">
      <c r="A95" s="32">
        <v>29</v>
      </c>
      <c r="B95" s="50" t="s">
        <v>203</v>
      </c>
      <c r="C95" s="62" t="s">
        <v>156</v>
      </c>
      <c r="D95" s="47"/>
      <c r="E95" s="13"/>
      <c r="F95" s="13">
        <v>3</v>
      </c>
      <c r="G95" s="13">
        <v>727.73</v>
      </c>
      <c r="H95" s="91">
        <f t="shared" si="8"/>
        <v>2.1831900000000002</v>
      </c>
      <c r="I95" s="13">
        <f t="shared" si="9"/>
        <v>727.73</v>
      </c>
    </row>
    <row r="96" spans="1:9" ht="15.75" customHeight="1">
      <c r="A96" s="32">
        <v>30</v>
      </c>
      <c r="B96" s="50" t="s">
        <v>197</v>
      </c>
      <c r="C96" s="62" t="s">
        <v>111</v>
      </c>
      <c r="D96" s="14"/>
      <c r="E96" s="18"/>
      <c r="F96" s="13">
        <v>10</v>
      </c>
      <c r="G96" s="13">
        <v>140</v>
      </c>
      <c r="H96" s="91">
        <f t="shared" si="8"/>
        <v>1.4</v>
      </c>
      <c r="I96" s="13">
        <f>G96*(1+1)</f>
        <v>280</v>
      </c>
    </row>
    <row r="97" spans="1:9" ht="15.75" customHeight="1">
      <c r="A97" s="32">
        <v>31</v>
      </c>
      <c r="B97" s="50" t="s">
        <v>164</v>
      </c>
      <c r="C97" s="62" t="s">
        <v>111</v>
      </c>
      <c r="D97" s="111"/>
      <c r="E97" s="36"/>
      <c r="F97" s="36">
        <v>3</v>
      </c>
      <c r="G97" s="36">
        <v>40</v>
      </c>
      <c r="H97" s="110">
        <f t="shared" si="8"/>
        <v>0.12</v>
      </c>
      <c r="I97" s="13">
        <f>G97</f>
        <v>40</v>
      </c>
    </row>
    <row r="98" spans="1:9" ht="31.5" customHeight="1">
      <c r="A98" s="32">
        <v>32</v>
      </c>
      <c r="B98" s="61" t="s">
        <v>166</v>
      </c>
      <c r="C98" s="32" t="s">
        <v>82</v>
      </c>
      <c r="D98" s="14"/>
      <c r="E98" s="18"/>
      <c r="F98" s="13">
        <v>41.5</v>
      </c>
      <c r="G98" s="13">
        <v>1272</v>
      </c>
      <c r="H98" s="91">
        <f>G98*F98/1000</f>
        <v>52.787999999999997</v>
      </c>
      <c r="I98" s="13">
        <f>G98*12</f>
        <v>15264</v>
      </c>
    </row>
    <row r="99" spans="1:9" ht="15.75" customHeight="1">
      <c r="A99" s="32">
        <v>33</v>
      </c>
      <c r="B99" s="50" t="s">
        <v>83</v>
      </c>
      <c r="C99" s="62" t="s">
        <v>111</v>
      </c>
      <c r="D99" s="14"/>
      <c r="E99" s="18"/>
      <c r="F99" s="13">
        <v>11</v>
      </c>
      <c r="G99" s="13">
        <v>189.88</v>
      </c>
      <c r="H99" s="91">
        <f>G99*F99/1000</f>
        <v>2.0886799999999996</v>
      </c>
      <c r="I99" s="13">
        <f>G99*2</f>
        <v>379.76</v>
      </c>
    </row>
    <row r="100" spans="1:9" ht="31.5" customHeight="1">
      <c r="A100" s="32">
        <v>34</v>
      </c>
      <c r="B100" s="50" t="s">
        <v>139</v>
      </c>
      <c r="C100" s="62" t="s">
        <v>37</v>
      </c>
      <c r="D100" s="39"/>
      <c r="E100" s="17"/>
      <c r="F100" s="36">
        <v>0.03</v>
      </c>
      <c r="G100" s="37">
        <v>3581.13</v>
      </c>
      <c r="H100" s="110">
        <f>G100*F100/1000</f>
        <v>0.1074339</v>
      </c>
      <c r="I100" s="13">
        <f>G100*0.02</f>
        <v>71.622600000000006</v>
      </c>
    </row>
    <row r="101" spans="1:9" ht="15.75" customHeight="1">
      <c r="A101" s="32">
        <v>35</v>
      </c>
      <c r="B101" s="50" t="s">
        <v>228</v>
      </c>
      <c r="C101" s="62" t="s">
        <v>111</v>
      </c>
      <c r="D101" s="47"/>
      <c r="E101" s="13"/>
      <c r="F101" s="13">
        <v>2</v>
      </c>
      <c r="G101" s="13">
        <v>118</v>
      </c>
      <c r="H101" s="91">
        <f t="shared" ref="H101:H108" si="10">G101*F101/1000</f>
        <v>0.23599999999999999</v>
      </c>
      <c r="I101" s="13">
        <f>G101*(1+1)</f>
        <v>236</v>
      </c>
    </row>
    <row r="102" spans="1:9" ht="15.75" customHeight="1">
      <c r="A102" s="32">
        <v>36</v>
      </c>
      <c r="B102" s="50" t="s">
        <v>236</v>
      </c>
      <c r="C102" s="62" t="s">
        <v>111</v>
      </c>
      <c r="D102" s="47"/>
      <c r="E102" s="13"/>
      <c r="F102" s="13">
        <v>1</v>
      </c>
      <c r="G102" s="13">
        <v>90</v>
      </c>
      <c r="H102" s="91">
        <f t="shared" si="10"/>
        <v>0.09</v>
      </c>
      <c r="I102" s="13">
        <f>G102</f>
        <v>90</v>
      </c>
    </row>
    <row r="103" spans="1:9" ht="15.75" customHeight="1">
      <c r="A103" s="32">
        <v>37</v>
      </c>
      <c r="B103" s="50" t="s">
        <v>237</v>
      </c>
      <c r="C103" s="62" t="s">
        <v>111</v>
      </c>
      <c r="D103" s="47"/>
      <c r="E103" s="13"/>
      <c r="F103" s="13">
        <v>1</v>
      </c>
      <c r="G103" s="13">
        <v>82</v>
      </c>
      <c r="H103" s="91">
        <f t="shared" si="10"/>
        <v>8.2000000000000003E-2</v>
      </c>
      <c r="I103" s="13">
        <f>G103</f>
        <v>82</v>
      </c>
    </row>
    <row r="104" spans="1:9" ht="15.75" customHeight="1">
      <c r="A104" s="32">
        <v>38</v>
      </c>
      <c r="B104" s="50" t="s">
        <v>229</v>
      </c>
      <c r="C104" s="62" t="s">
        <v>111</v>
      </c>
      <c r="D104" s="14"/>
      <c r="E104" s="18"/>
      <c r="F104" s="13">
        <v>1</v>
      </c>
      <c r="G104" s="13">
        <v>62</v>
      </c>
      <c r="H104" s="91">
        <f t="shared" si="10"/>
        <v>6.2E-2</v>
      </c>
      <c r="I104" s="13">
        <f t="shared" ref="I104:I106" si="11">G104</f>
        <v>62</v>
      </c>
    </row>
    <row r="105" spans="1:9" ht="15.75" customHeight="1">
      <c r="A105" s="32">
        <v>39</v>
      </c>
      <c r="B105" s="50" t="s">
        <v>230</v>
      </c>
      <c r="C105" s="62" t="s">
        <v>111</v>
      </c>
      <c r="D105" s="47"/>
      <c r="E105" s="13"/>
      <c r="F105" s="13">
        <v>1</v>
      </c>
      <c r="G105" s="13">
        <v>120</v>
      </c>
      <c r="H105" s="91">
        <f t="shared" si="10"/>
        <v>0.12</v>
      </c>
      <c r="I105" s="13">
        <f t="shared" si="11"/>
        <v>120</v>
      </c>
    </row>
    <row r="106" spans="1:9" ht="15.75" customHeight="1">
      <c r="A106" s="32">
        <v>40</v>
      </c>
      <c r="B106" s="50" t="s">
        <v>231</v>
      </c>
      <c r="C106" s="97" t="s">
        <v>232</v>
      </c>
      <c r="D106" s="47"/>
      <c r="E106" s="13"/>
      <c r="F106" s="13">
        <v>1</v>
      </c>
      <c r="G106" s="13">
        <v>294.45</v>
      </c>
      <c r="H106" s="91">
        <f>G106*F106/1000</f>
        <v>0.29444999999999999</v>
      </c>
      <c r="I106" s="13">
        <f t="shared" si="11"/>
        <v>294.45</v>
      </c>
    </row>
    <row r="107" spans="1:9" ht="15.75" customHeight="1">
      <c r="A107" s="32">
        <v>41</v>
      </c>
      <c r="B107" s="63" t="s">
        <v>233</v>
      </c>
      <c r="C107" s="62" t="s">
        <v>54</v>
      </c>
      <c r="D107" s="14"/>
      <c r="E107" s="18"/>
      <c r="F107" s="13">
        <v>4.5999999999999996</v>
      </c>
      <c r="G107" s="13">
        <v>452.74</v>
      </c>
      <c r="H107" s="91">
        <f t="shared" si="10"/>
        <v>2.0826039999999999</v>
      </c>
      <c r="I107" s="13">
        <f>G107*4.6</f>
        <v>2082.6039999999998</v>
      </c>
    </row>
    <row r="108" spans="1:9" ht="31.5" customHeight="1">
      <c r="A108" s="32">
        <v>42</v>
      </c>
      <c r="B108" s="50" t="s">
        <v>234</v>
      </c>
      <c r="C108" s="62" t="s">
        <v>209</v>
      </c>
      <c r="D108" s="14"/>
      <c r="E108" s="18"/>
      <c r="F108" s="13">
        <f>4.6/10</f>
        <v>0.45999999999999996</v>
      </c>
      <c r="G108" s="13">
        <v>7586.09</v>
      </c>
      <c r="H108" s="91">
        <f t="shared" si="10"/>
        <v>3.4896014000000002</v>
      </c>
      <c r="I108" s="13">
        <f>G108*0.46</f>
        <v>3489.6014</v>
      </c>
    </row>
    <row r="109" spans="1:9" ht="15.75" customHeight="1">
      <c r="A109" s="32">
        <v>43</v>
      </c>
      <c r="B109" s="47" t="s">
        <v>235</v>
      </c>
      <c r="C109" s="16" t="s">
        <v>31</v>
      </c>
      <c r="D109" s="114"/>
      <c r="E109" s="115"/>
      <c r="F109" s="115">
        <v>1</v>
      </c>
      <c r="G109" s="115">
        <v>301.11</v>
      </c>
      <c r="H109" s="115">
        <f>G109*F109/1000</f>
        <v>0.30110999999999999</v>
      </c>
      <c r="I109" s="13">
        <f>G109</f>
        <v>301.11</v>
      </c>
    </row>
    <row r="110" spans="1:9" ht="15.75" customHeight="1">
      <c r="A110" s="32"/>
      <c r="B110" s="45" t="s">
        <v>51</v>
      </c>
      <c r="C110" s="41"/>
      <c r="D110" s="48"/>
      <c r="E110" s="41">
        <v>1</v>
      </c>
      <c r="F110" s="41"/>
      <c r="G110" s="41"/>
      <c r="H110" s="41"/>
      <c r="I110" s="34">
        <f>SUM(I86:I109)</f>
        <v>44271.898000000001</v>
      </c>
    </row>
    <row r="111" spans="1:9">
      <c r="A111" s="32"/>
      <c r="B111" s="47" t="s">
        <v>79</v>
      </c>
      <c r="C111" s="15"/>
      <c r="D111" s="15"/>
      <c r="E111" s="42"/>
      <c r="F111" s="42"/>
      <c r="G111" s="43"/>
      <c r="H111" s="43"/>
      <c r="I111" s="17">
        <v>0</v>
      </c>
    </row>
    <row r="112" spans="1:9">
      <c r="A112" s="49"/>
      <c r="B112" s="46" t="s">
        <v>189</v>
      </c>
      <c r="C112" s="35"/>
      <c r="D112" s="35"/>
      <c r="E112" s="35"/>
      <c r="F112" s="35"/>
      <c r="G112" s="35"/>
      <c r="H112" s="35"/>
      <c r="I112" s="44">
        <f>I84+I110</f>
        <v>147424.57218188886</v>
      </c>
    </row>
    <row r="113" spans="1:9" ht="15.75">
      <c r="A113" s="127" t="s">
        <v>238</v>
      </c>
      <c r="B113" s="127"/>
      <c r="C113" s="127"/>
      <c r="D113" s="127"/>
      <c r="E113" s="127"/>
      <c r="F113" s="127"/>
      <c r="G113" s="127"/>
      <c r="H113" s="127"/>
      <c r="I113" s="127"/>
    </row>
    <row r="114" spans="1:9" ht="15.75" customHeight="1">
      <c r="A114" s="60"/>
      <c r="B114" s="128" t="s">
        <v>239</v>
      </c>
      <c r="C114" s="128"/>
      <c r="D114" s="128"/>
      <c r="E114" s="128"/>
      <c r="F114" s="128"/>
      <c r="G114" s="128"/>
      <c r="H114" s="75"/>
      <c r="I114" s="3"/>
    </row>
    <row r="115" spans="1:9">
      <c r="A115" s="69"/>
      <c r="B115" s="129" t="s">
        <v>6</v>
      </c>
      <c r="C115" s="129"/>
      <c r="D115" s="129"/>
      <c r="E115" s="129"/>
      <c r="F115" s="129"/>
      <c r="G115" s="129"/>
      <c r="H115" s="27"/>
      <c r="I115" s="5"/>
    </row>
    <row r="116" spans="1:9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ht="15.75">
      <c r="A117" s="130" t="s">
        <v>7</v>
      </c>
      <c r="B117" s="130"/>
      <c r="C117" s="130"/>
      <c r="D117" s="130"/>
      <c r="E117" s="130"/>
      <c r="F117" s="130"/>
      <c r="G117" s="130"/>
      <c r="H117" s="130"/>
      <c r="I117" s="130"/>
    </row>
    <row r="118" spans="1:9" ht="15.75">
      <c r="A118" s="130" t="s">
        <v>8</v>
      </c>
      <c r="B118" s="130"/>
      <c r="C118" s="130"/>
      <c r="D118" s="130"/>
      <c r="E118" s="130"/>
      <c r="F118" s="130"/>
      <c r="G118" s="130"/>
      <c r="H118" s="130"/>
      <c r="I118" s="130"/>
    </row>
    <row r="119" spans="1:9" ht="15.75">
      <c r="A119" s="131" t="s">
        <v>61</v>
      </c>
      <c r="B119" s="131"/>
      <c r="C119" s="131"/>
      <c r="D119" s="131"/>
      <c r="E119" s="131"/>
      <c r="F119" s="131"/>
      <c r="G119" s="131"/>
      <c r="H119" s="131"/>
      <c r="I119" s="131"/>
    </row>
    <row r="120" spans="1:9" ht="15.75">
      <c r="A120" s="11"/>
    </row>
    <row r="121" spans="1:9" ht="15.75">
      <c r="A121" s="132" t="s">
        <v>9</v>
      </c>
      <c r="B121" s="132"/>
      <c r="C121" s="132"/>
      <c r="D121" s="132"/>
      <c r="E121" s="132"/>
      <c r="F121" s="132"/>
      <c r="G121" s="132"/>
      <c r="H121" s="132"/>
      <c r="I121" s="132"/>
    </row>
    <row r="122" spans="1:9" ht="15.75" customHeight="1">
      <c r="A122" s="4"/>
    </row>
    <row r="123" spans="1:9" ht="15.75" customHeight="1">
      <c r="B123" s="66" t="s">
        <v>10</v>
      </c>
      <c r="C123" s="133" t="s">
        <v>144</v>
      </c>
      <c r="D123" s="133"/>
      <c r="E123" s="133"/>
      <c r="F123" s="73"/>
      <c r="I123" s="68"/>
    </row>
    <row r="124" spans="1:9" ht="15.75" customHeight="1">
      <c r="A124" s="69"/>
      <c r="C124" s="129" t="s">
        <v>11</v>
      </c>
      <c r="D124" s="129"/>
      <c r="E124" s="129"/>
      <c r="F124" s="27"/>
      <c r="I124" s="67" t="s">
        <v>12</v>
      </c>
    </row>
    <row r="125" spans="1:9" ht="15.75" customHeight="1">
      <c r="A125" s="28"/>
      <c r="C125" s="12"/>
      <c r="D125" s="12"/>
      <c r="G125" s="12"/>
      <c r="H125" s="12"/>
    </row>
    <row r="126" spans="1:9" ht="15.75">
      <c r="B126" s="66" t="s">
        <v>13</v>
      </c>
      <c r="C126" s="134"/>
      <c r="D126" s="134"/>
      <c r="E126" s="134"/>
      <c r="F126" s="74"/>
      <c r="I126" s="68"/>
    </row>
    <row r="127" spans="1:9">
      <c r="A127" s="69"/>
      <c r="C127" s="123" t="s">
        <v>11</v>
      </c>
      <c r="D127" s="123"/>
      <c r="E127" s="123"/>
      <c r="F127" s="69"/>
      <c r="I127" s="67" t="s">
        <v>12</v>
      </c>
    </row>
    <row r="128" spans="1:9" ht="15.75">
      <c r="A128" s="4" t="s">
        <v>14</v>
      </c>
    </row>
    <row r="129" spans="1:9">
      <c r="A129" s="121" t="s">
        <v>15</v>
      </c>
      <c r="B129" s="121"/>
      <c r="C129" s="121"/>
      <c r="D129" s="121"/>
      <c r="E129" s="121"/>
      <c r="F129" s="121"/>
      <c r="G129" s="121"/>
      <c r="H129" s="121"/>
      <c r="I129" s="121"/>
    </row>
    <row r="130" spans="1:9" ht="45" customHeight="1">
      <c r="A130" s="122" t="s">
        <v>16</v>
      </c>
      <c r="B130" s="122"/>
      <c r="C130" s="122"/>
      <c r="D130" s="122"/>
      <c r="E130" s="122"/>
      <c r="F130" s="122"/>
      <c r="G130" s="122"/>
      <c r="H130" s="122"/>
      <c r="I130" s="122"/>
    </row>
    <row r="131" spans="1:9" ht="30" customHeight="1">
      <c r="A131" s="122" t="s">
        <v>17</v>
      </c>
      <c r="B131" s="122"/>
      <c r="C131" s="122"/>
      <c r="D131" s="122"/>
      <c r="E131" s="122"/>
      <c r="F131" s="122"/>
      <c r="G131" s="122"/>
      <c r="H131" s="122"/>
      <c r="I131" s="122"/>
    </row>
    <row r="132" spans="1:9" ht="30" customHeight="1">
      <c r="A132" s="122" t="s">
        <v>21</v>
      </c>
      <c r="B132" s="122"/>
      <c r="C132" s="122"/>
      <c r="D132" s="122"/>
      <c r="E132" s="122"/>
      <c r="F132" s="122"/>
      <c r="G132" s="122"/>
      <c r="H132" s="122"/>
      <c r="I132" s="122"/>
    </row>
    <row r="133" spans="1:9" ht="15" customHeight="1">
      <c r="A133" s="122" t="s">
        <v>20</v>
      </c>
      <c r="B133" s="122"/>
      <c r="C133" s="122"/>
      <c r="D133" s="122"/>
      <c r="E133" s="122"/>
      <c r="F133" s="122"/>
      <c r="G133" s="122"/>
      <c r="H133" s="122"/>
      <c r="I133" s="122"/>
    </row>
  </sheetData>
  <autoFilter ref="I12:I60"/>
  <mergeCells count="29">
    <mergeCell ref="A130:I130"/>
    <mergeCell ref="A131:I131"/>
    <mergeCell ref="A132:I132"/>
    <mergeCell ref="A133:I133"/>
    <mergeCell ref="A121:I121"/>
    <mergeCell ref="C123:E123"/>
    <mergeCell ref="C124:E124"/>
    <mergeCell ref="C126:E126"/>
    <mergeCell ref="C127:E127"/>
    <mergeCell ref="A129:I129"/>
    <mergeCell ref="A119:I119"/>
    <mergeCell ref="A15:I15"/>
    <mergeCell ref="A28:I28"/>
    <mergeCell ref="A46:I46"/>
    <mergeCell ref="A56:I56"/>
    <mergeCell ref="A85:I85"/>
    <mergeCell ref="A113:I113"/>
    <mergeCell ref="B114:G114"/>
    <mergeCell ref="B115:G115"/>
    <mergeCell ref="A117:I117"/>
    <mergeCell ref="A118:I118"/>
    <mergeCell ref="R65:U65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0"/>
  <sheetViews>
    <sheetView topLeftCell="A8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88</v>
      </c>
      <c r="I1" s="29"/>
      <c r="J1" s="1"/>
      <c r="K1" s="1"/>
      <c r="L1" s="1"/>
      <c r="M1" s="1"/>
    </row>
    <row r="2" spans="1:13" ht="15.75">
      <c r="A2" s="31" t="s">
        <v>62</v>
      </c>
      <c r="J2" s="2"/>
      <c r="K2" s="2"/>
      <c r="L2" s="2"/>
      <c r="M2" s="2"/>
    </row>
    <row r="3" spans="1:13" ht="15.75" customHeight="1">
      <c r="A3" s="143" t="s">
        <v>177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141</v>
      </c>
      <c r="B4" s="144"/>
      <c r="C4" s="144"/>
      <c r="D4" s="144"/>
      <c r="E4" s="144"/>
      <c r="F4" s="144"/>
      <c r="G4" s="144"/>
      <c r="H4" s="144"/>
      <c r="I4" s="144"/>
    </row>
    <row r="5" spans="1:13" ht="15.75">
      <c r="A5" s="143" t="s">
        <v>240</v>
      </c>
      <c r="B5" s="145"/>
      <c r="C5" s="145"/>
      <c r="D5" s="145"/>
      <c r="E5" s="145"/>
      <c r="F5" s="145"/>
      <c r="G5" s="145"/>
      <c r="H5" s="145"/>
      <c r="I5" s="145"/>
      <c r="J5" s="2"/>
      <c r="K5" s="2"/>
      <c r="L5" s="2"/>
      <c r="M5" s="2"/>
    </row>
    <row r="6" spans="1:13" ht="15.75">
      <c r="A6" s="2"/>
      <c r="B6" s="65"/>
      <c r="C6" s="65"/>
      <c r="D6" s="65"/>
      <c r="E6" s="65"/>
      <c r="F6" s="65"/>
      <c r="G6" s="65"/>
      <c r="H6" s="65"/>
      <c r="I6" s="33">
        <v>42978</v>
      </c>
      <c r="J6" s="2"/>
      <c r="K6" s="2"/>
      <c r="L6" s="2"/>
      <c r="M6" s="2"/>
    </row>
    <row r="7" spans="1:13" ht="15.75">
      <c r="B7" s="66"/>
      <c r="C7" s="66"/>
      <c r="D7" s="6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6" t="s">
        <v>147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7" t="s">
        <v>182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2" t="s">
        <v>59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32">
        <v>1</v>
      </c>
      <c r="B16" s="76" t="s">
        <v>89</v>
      </c>
      <c r="C16" s="77" t="s">
        <v>90</v>
      </c>
      <c r="D16" s="76" t="s">
        <v>186</v>
      </c>
      <c r="E16" s="78">
        <v>208.08</v>
      </c>
      <c r="F16" s="79">
        <f>SUM(E16*156/100)</f>
        <v>324.60480000000001</v>
      </c>
      <c r="G16" s="79">
        <v>175.38</v>
      </c>
      <c r="H16" s="80">
        <f t="shared" ref="H16:H25" si="0">SUM(F16*G16/1000)</f>
        <v>56.929189823999998</v>
      </c>
      <c r="I16" s="13">
        <f>F16/12*G16</f>
        <v>4744.0991519999998</v>
      </c>
      <c r="J16" s="24"/>
      <c r="K16" s="8"/>
      <c r="L16" s="8"/>
      <c r="M16" s="8"/>
    </row>
    <row r="17" spans="1:13" ht="15.75" customHeight="1">
      <c r="A17" s="32">
        <v>2</v>
      </c>
      <c r="B17" s="76" t="s">
        <v>120</v>
      </c>
      <c r="C17" s="77" t="s">
        <v>90</v>
      </c>
      <c r="D17" s="76" t="s">
        <v>185</v>
      </c>
      <c r="E17" s="78">
        <v>832.32</v>
      </c>
      <c r="F17" s="79">
        <f>SUM(E17*104/100)</f>
        <v>865.61279999999999</v>
      </c>
      <c r="G17" s="79">
        <v>175.38</v>
      </c>
      <c r="H17" s="80">
        <f t="shared" si="0"/>
        <v>151.81117286399999</v>
      </c>
      <c r="I17" s="13">
        <f>F17/12*G17</f>
        <v>12650.931071999999</v>
      </c>
      <c r="J17" s="25"/>
      <c r="K17" s="8"/>
      <c r="L17" s="8"/>
      <c r="M17" s="8"/>
    </row>
    <row r="18" spans="1:13" ht="15.75" customHeight="1">
      <c r="A18" s="32">
        <v>3</v>
      </c>
      <c r="B18" s="76" t="s">
        <v>121</v>
      </c>
      <c r="C18" s="77" t="s">
        <v>90</v>
      </c>
      <c r="D18" s="76" t="s">
        <v>184</v>
      </c>
      <c r="E18" s="78">
        <v>1040.4000000000001</v>
      </c>
      <c r="F18" s="79">
        <f>SUM(E18*24/100)</f>
        <v>249.69600000000003</v>
      </c>
      <c r="G18" s="79">
        <v>504.5</v>
      </c>
      <c r="H18" s="80">
        <f t="shared" si="0"/>
        <v>125.97163200000001</v>
      </c>
      <c r="I18" s="13">
        <f>F18/12*G18</f>
        <v>10497.636000000002</v>
      </c>
      <c r="J18" s="25"/>
      <c r="K18" s="8"/>
      <c r="L18" s="8"/>
      <c r="M18" s="8"/>
    </row>
    <row r="19" spans="1:13" ht="15.75" hidden="1" customHeight="1">
      <c r="A19" s="32"/>
      <c r="B19" s="76" t="s">
        <v>97</v>
      </c>
      <c r="C19" s="77" t="s">
        <v>98</v>
      </c>
      <c r="D19" s="76" t="s">
        <v>99</v>
      </c>
      <c r="E19" s="78">
        <v>48</v>
      </c>
      <c r="F19" s="79">
        <f>SUM(E19/10)</f>
        <v>4.8</v>
      </c>
      <c r="G19" s="79">
        <v>170.16</v>
      </c>
      <c r="H19" s="80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76" t="s">
        <v>100</v>
      </c>
      <c r="C20" s="77" t="s">
        <v>90</v>
      </c>
      <c r="D20" s="76" t="s">
        <v>122</v>
      </c>
      <c r="E20" s="78">
        <v>30.6</v>
      </c>
      <c r="F20" s="79">
        <f>SUM(E20*12/100)</f>
        <v>3.6720000000000006</v>
      </c>
      <c r="G20" s="79">
        <v>217.88</v>
      </c>
      <c r="H20" s="80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customHeight="1">
      <c r="A21" s="32">
        <v>5</v>
      </c>
      <c r="B21" s="76" t="s">
        <v>101</v>
      </c>
      <c r="C21" s="77" t="s">
        <v>90</v>
      </c>
      <c r="D21" s="76" t="s">
        <v>30</v>
      </c>
      <c r="E21" s="78">
        <v>10.06</v>
      </c>
      <c r="F21" s="79">
        <f>SUM(E21*12/100)</f>
        <v>1.2072000000000001</v>
      </c>
      <c r="G21" s="79">
        <v>216.12</v>
      </c>
      <c r="H21" s="80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6" t="s">
        <v>102</v>
      </c>
      <c r="C22" s="77" t="s">
        <v>52</v>
      </c>
      <c r="D22" s="76" t="s">
        <v>99</v>
      </c>
      <c r="E22" s="78">
        <v>769.2</v>
      </c>
      <c r="F22" s="79">
        <f>SUM(E22/100)</f>
        <v>7.6920000000000002</v>
      </c>
      <c r="G22" s="79">
        <v>269.26</v>
      </c>
      <c r="H22" s="80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6" t="s">
        <v>103</v>
      </c>
      <c r="C23" s="77" t="s">
        <v>52</v>
      </c>
      <c r="D23" s="76" t="s">
        <v>99</v>
      </c>
      <c r="E23" s="81">
        <v>35.28</v>
      </c>
      <c r="F23" s="79">
        <f>SUM(E23/100)</f>
        <v>0.3528</v>
      </c>
      <c r="G23" s="79">
        <v>44.29</v>
      </c>
      <c r="H23" s="80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customHeight="1">
      <c r="A24" s="32">
        <v>6</v>
      </c>
      <c r="B24" s="76" t="s">
        <v>104</v>
      </c>
      <c r="C24" s="77" t="s">
        <v>52</v>
      </c>
      <c r="D24" s="76" t="s">
        <v>30</v>
      </c>
      <c r="E24" s="78">
        <v>10.8</v>
      </c>
      <c r="F24" s="79">
        <f>E24*12/100</f>
        <v>1.2960000000000003</v>
      </c>
      <c r="G24" s="79">
        <v>389.72</v>
      </c>
      <c r="H24" s="80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customHeight="1">
      <c r="A25" s="32">
        <v>7</v>
      </c>
      <c r="B25" s="76" t="s">
        <v>105</v>
      </c>
      <c r="C25" s="77" t="s">
        <v>52</v>
      </c>
      <c r="D25" s="76" t="s">
        <v>123</v>
      </c>
      <c r="E25" s="78">
        <v>21.6</v>
      </c>
      <c r="F25" s="79">
        <f>SUM(E25*12/100)</f>
        <v>2.5920000000000005</v>
      </c>
      <c r="G25" s="79">
        <v>520.79999999999995</v>
      </c>
      <c r="H25" s="80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8</v>
      </c>
      <c r="B26" s="76" t="s">
        <v>64</v>
      </c>
      <c r="C26" s="77" t="s">
        <v>33</v>
      </c>
      <c r="D26" s="76" t="s">
        <v>183</v>
      </c>
      <c r="E26" s="78">
        <v>0.1</v>
      </c>
      <c r="F26" s="79">
        <f>SUM(E26*365)</f>
        <v>36.5</v>
      </c>
      <c r="G26" s="79">
        <v>147.03</v>
      </c>
      <c r="H26" s="80">
        <f>SUM(F26*G26/1000)</f>
        <v>5.3665950000000002</v>
      </c>
      <c r="I26" s="13">
        <f>F26/12*G26</f>
        <v>447.21625</v>
      </c>
      <c r="J26" s="26"/>
    </row>
    <row r="27" spans="1:13" ht="15.75" customHeight="1">
      <c r="A27" s="32">
        <v>9</v>
      </c>
      <c r="B27" s="84" t="s">
        <v>23</v>
      </c>
      <c r="C27" s="77" t="s">
        <v>24</v>
      </c>
      <c r="D27" s="76" t="s">
        <v>183</v>
      </c>
      <c r="E27" s="78">
        <v>6980.3</v>
      </c>
      <c r="F27" s="79">
        <f>SUM(E27*12)</f>
        <v>83763.600000000006</v>
      </c>
      <c r="G27" s="79">
        <v>4.4000000000000004</v>
      </c>
      <c r="H27" s="80">
        <f>SUM(F27*G27/1000)</f>
        <v>368.55984000000007</v>
      </c>
      <c r="I27" s="13">
        <f>F27/12*G27</f>
        <v>30713.320000000003</v>
      </c>
      <c r="J27" s="26"/>
    </row>
    <row r="28" spans="1:13" ht="15" customHeight="1">
      <c r="A28" s="138" t="s">
        <v>87</v>
      </c>
      <c r="B28" s="138"/>
      <c r="C28" s="138"/>
      <c r="D28" s="138"/>
      <c r="E28" s="138"/>
      <c r="F28" s="138"/>
      <c r="G28" s="138"/>
      <c r="H28" s="138"/>
      <c r="I28" s="138"/>
      <c r="J28" s="25"/>
      <c r="K28" s="8"/>
      <c r="L28" s="8"/>
      <c r="M28" s="8"/>
    </row>
    <row r="29" spans="1:13" ht="15.75" customHeight="1">
      <c r="A29" s="32"/>
      <c r="B29" s="100" t="s">
        <v>28</v>
      </c>
      <c r="C29" s="77"/>
      <c r="D29" s="76"/>
      <c r="E29" s="78"/>
      <c r="F29" s="79"/>
      <c r="G29" s="79"/>
      <c r="H29" s="80"/>
      <c r="I29" s="13"/>
      <c r="J29" s="25"/>
      <c r="K29" s="8"/>
      <c r="L29" s="8"/>
      <c r="M29" s="8"/>
    </row>
    <row r="30" spans="1:13" ht="15.75" customHeight="1">
      <c r="A30" s="32">
        <v>10</v>
      </c>
      <c r="B30" s="76" t="s">
        <v>109</v>
      </c>
      <c r="C30" s="77" t="s">
        <v>92</v>
      </c>
      <c r="D30" s="76" t="s">
        <v>213</v>
      </c>
      <c r="E30" s="79">
        <v>1168.05</v>
      </c>
      <c r="F30" s="79">
        <f>SUM(E30*52/1000)</f>
        <v>60.738599999999998</v>
      </c>
      <c r="G30" s="79">
        <v>155.88999999999999</v>
      </c>
      <c r="H30" s="80">
        <f t="shared" ref="H30:H36" si="1">SUM(F30*G30/1000)</f>
        <v>9.4685403539999982</v>
      </c>
      <c r="I30" s="13">
        <f>F30/6*G30</f>
        <v>1578.0900589999997</v>
      </c>
      <c r="J30" s="25"/>
      <c r="K30" s="8"/>
      <c r="L30" s="8"/>
      <c r="M30" s="8"/>
    </row>
    <row r="31" spans="1:13" ht="31.5" customHeight="1">
      <c r="A31" s="32">
        <v>11</v>
      </c>
      <c r="B31" s="76" t="s">
        <v>125</v>
      </c>
      <c r="C31" s="77" t="s">
        <v>92</v>
      </c>
      <c r="D31" s="76" t="s">
        <v>214</v>
      </c>
      <c r="E31" s="79">
        <v>1039.2</v>
      </c>
      <c r="F31" s="79">
        <f>SUM(E31*78/1000)</f>
        <v>81.057600000000008</v>
      </c>
      <c r="G31" s="79">
        <v>258.63</v>
      </c>
      <c r="H31" s="80">
        <f t="shared" si="1"/>
        <v>20.963927088000002</v>
      </c>
      <c r="I31" s="13">
        <f t="shared" ref="I31:I34" si="2">F31/6*G31</f>
        <v>3493.9878480000002</v>
      </c>
      <c r="J31" s="25"/>
      <c r="K31" s="8"/>
      <c r="L31" s="8"/>
      <c r="M31" s="8"/>
    </row>
    <row r="32" spans="1:13" ht="15.75" hidden="1" customHeight="1">
      <c r="A32" s="32">
        <v>16</v>
      </c>
      <c r="B32" s="76" t="s">
        <v>27</v>
      </c>
      <c r="C32" s="77" t="s">
        <v>92</v>
      </c>
      <c r="D32" s="76" t="s">
        <v>53</v>
      </c>
      <c r="E32" s="79">
        <v>584.03</v>
      </c>
      <c r="F32" s="79">
        <f>SUM(E32/1000)</f>
        <v>0.58402999999999994</v>
      </c>
      <c r="G32" s="79">
        <v>3020.33</v>
      </c>
      <c r="H32" s="80">
        <f t="shared" si="1"/>
        <v>1.7639633298999997</v>
      </c>
      <c r="I32" s="13">
        <f>F32*G32</f>
        <v>1763.9633298999997</v>
      </c>
      <c r="J32" s="25"/>
      <c r="K32" s="8"/>
      <c r="L32" s="8"/>
      <c r="M32" s="8"/>
    </row>
    <row r="33" spans="1:14" ht="15.75" customHeight="1">
      <c r="A33" s="32">
        <v>12</v>
      </c>
      <c r="B33" s="76" t="s">
        <v>124</v>
      </c>
      <c r="C33" s="77" t="s">
        <v>39</v>
      </c>
      <c r="D33" s="76" t="s">
        <v>63</v>
      </c>
      <c r="E33" s="79">
        <v>6</v>
      </c>
      <c r="F33" s="79">
        <f>E33*155/100</f>
        <v>9.3000000000000007</v>
      </c>
      <c r="G33" s="79">
        <v>1302.02</v>
      </c>
      <c r="H33" s="80">
        <f>G33*F33/1000</f>
        <v>12.108786</v>
      </c>
      <c r="I33" s="13">
        <f t="shared" si="2"/>
        <v>2018.1310000000001</v>
      </c>
      <c r="J33" s="25"/>
      <c r="K33" s="8"/>
      <c r="L33" s="8"/>
      <c r="M33" s="8"/>
    </row>
    <row r="34" spans="1:14" ht="15.75" customHeight="1">
      <c r="A34" s="32">
        <v>13</v>
      </c>
      <c r="B34" s="76" t="s">
        <v>108</v>
      </c>
      <c r="C34" s="77" t="s">
        <v>31</v>
      </c>
      <c r="D34" s="76" t="s">
        <v>63</v>
      </c>
      <c r="E34" s="83">
        <v>0.33333333333333331</v>
      </c>
      <c r="F34" s="79">
        <f>155/3</f>
        <v>51.666666666666664</v>
      </c>
      <c r="G34" s="79">
        <v>56.69</v>
      </c>
      <c r="H34" s="80">
        <f>SUM(G34*155/3/1000)</f>
        <v>2.9289833333333331</v>
      </c>
      <c r="I34" s="13">
        <f t="shared" si="2"/>
        <v>488.16388888888883</v>
      </c>
      <c r="J34" s="25"/>
      <c r="K34" s="8"/>
    </row>
    <row r="35" spans="1:14" ht="15.75" hidden="1" customHeight="1">
      <c r="A35" s="32"/>
      <c r="B35" s="76" t="s">
        <v>65</v>
      </c>
      <c r="C35" s="77" t="s">
        <v>33</v>
      </c>
      <c r="D35" s="76" t="s">
        <v>67</v>
      </c>
      <c r="E35" s="78"/>
      <c r="F35" s="79">
        <v>4</v>
      </c>
      <c r="G35" s="79">
        <v>180.15</v>
      </c>
      <c r="H35" s="80">
        <f t="shared" si="1"/>
        <v>0.72060000000000002</v>
      </c>
      <c r="I35" s="13">
        <v>0</v>
      </c>
      <c r="J35" s="26"/>
    </row>
    <row r="36" spans="1:14" ht="15.75" hidden="1" customHeight="1">
      <c r="A36" s="32"/>
      <c r="B36" s="76" t="s">
        <v>66</v>
      </c>
      <c r="C36" s="77" t="s">
        <v>32</v>
      </c>
      <c r="D36" s="76" t="s">
        <v>67</v>
      </c>
      <c r="E36" s="78"/>
      <c r="F36" s="79">
        <v>3</v>
      </c>
      <c r="G36" s="79">
        <v>1136.33</v>
      </c>
      <c r="H36" s="80">
        <f t="shared" si="1"/>
        <v>3.4089899999999997</v>
      </c>
      <c r="I36" s="13">
        <v>0</v>
      </c>
      <c r="J36" s="26"/>
    </row>
    <row r="37" spans="1:14" ht="15.75" hidden="1" customHeight="1">
      <c r="A37" s="32"/>
      <c r="B37" s="100" t="s">
        <v>5</v>
      </c>
      <c r="C37" s="77"/>
      <c r="D37" s="76"/>
      <c r="E37" s="78"/>
      <c r="F37" s="79"/>
      <c r="G37" s="79"/>
      <c r="H37" s="80" t="s">
        <v>152</v>
      </c>
      <c r="I37" s="13"/>
      <c r="J37" s="26"/>
    </row>
    <row r="38" spans="1:14" ht="15.75" hidden="1" customHeight="1">
      <c r="A38" s="32">
        <v>10</v>
      </c>
      <c r="B38" s="76" t="s">
        <v>26</v>
      </c>
      <c r="C38" s="77" t="s">
        <v>32</v>
      </c>
      <c r="D38" s="76"/>
      <c r="E38" s="78"/>
      <c r="F38" s="79">
        <v>10</v>
      </c>
      <c r="G38" s="79">
        <v>1527.22</v>
      </c>
      <c r="H38" s="80">
        <f t="shared" ref="H38:H45" si="3">SUM(F38*G38/1000)</f>
        <v>15.272200000000002</v>
      </c>
      <c r="I38" s="13">
        <f>F38/6*G38</f>
        <v>2545.3666666666668</v>
      </c>
      <c r="J38" s="26"/>
    </row>
    <row r="39" spans="1:14" ht="15.75" hidden="1" customHeight="1">
      <c r="A39" s="32">
        <v>11</v>
      </c>
      <c r="B39" s="76" t="s">
        <v>126</v>
      </c>
      <c r="C39" s="77" t="s">
        <v>33</v>
      </c>
      <c r="D39" s="76"/>
      <c r="E39" s="78"/>
      <c r="F39" s="79">
        <v>10</v>
      </c>
      <c r="G39" s="79">
        <v>77.94</v>
      </c>
      <c r="H39" s="80">
        <f>G39*F39/1000</f>
        <v>0.77939999999999998</v>
      </c>
      <c r="I39" s="13">
        <f>F39/6*G39</f>
        <v>129.9</v>
      </c>
      <c r="J39" s="26"/>
      <c r="L39" s="19"/>
      <c r="M39" s="20"/>
      <c r="N39" s="21"/>
    </row>
    <row r="40" spans="1:14" ht="15.75" hidden="1" customHeight="1">
      <c r="A40" s="32">
        <v>12</v>
      </c>
      <c r="B40" s="76" t="s">
        <v>110</v>
      </c>
      <c r="C40" s="77" t="s">
        <v>29</v>
      </c>
      <c r="D40" s="76" t="s">
        <v>127</v>
      </c>
      <c r="E40" s="78">
        <v>1039.2</v>
      </c>
      <c r="F40" s="79">
        <f>E40*25/1000</f>
        <v>25.98</v>
      </c>
      <c r="G40" s="79">
        <v>2102.71</v>
      </c>
      <c r="H40" s="80">
        <f>G40*F40/1000</f>
        <v>54.628405800000003</v>
      </c>
      <c r="I40" s="13">
        <f>F40/6*G40</f>
        <v>9104.7343000000001</v>
      </c>
      <c r="J40" s="26"/>
      <c r="L40" s="19"/>
      <c r="M40" s="20"/>
      <c r="N40" s="21"/>
    </row>
    <row r="41" spans="1:14" ht="15.75" hidden="1" customHeight="1">
      <c r="A41" s="32"/>
      <c r="B41" s="76" t="s">
        <v>128</v>
      </c>
      <c r="C41" s="77" t="s">
        <v>129</v>
      </c>
      <c r="D41" s="76" t="s">
        <v>67</v>
      </c>
      <c r="E41" s="78"/>
      <c r="F41" s="79">
        <v>50</v>
      </c>
      <c r="G41" s="79">
        <v>213.2</v>
      </c>
      <c r="H41" s="80">
        <f>G41*F41/1000</f>
        <v>10.66</v>
      </c>
      <c r="I41" s="13">
        <v>0</v>
      </c>
      <c r="J41" s="26"/>
      <c r="L41" s="19"/>
      <c r="M41" s="20"/>
      <c r="N41" s="21"/>
    </row>
    <row r="42" spans="1:14" ht="15.75" hidden="1" customHeight="1">
      <c r="A42" s="32">
        <v>13</v>
      </c>
      <c r="B42" s="76" t="s">
        <v>68</v>
      </c>
      <c r="C42" s="77" t="s">
        <v>29</v>
      </c>
      <c r="D42" s="76" t="s">
        <v>91</v>
      </c>
      <c r="E42" s="79">
        <v>153</v>
      </c>
      <c r="F42" s="79">
        <f>SUM(E42*155/1000)</f>
        <v>23.715</v>
      </c>
      <c r="G42" s="79">
        <v>350.75</v>
      </c>
      <c r="H42" s="80">
        <f t="shared" si="3"/>
        <v>8.3180362499999987</v>
      </c>
      <c r="I42" s="13">
        <f>F42/6*G42</f>
        <v>1386.339375</v>
      </c>
      <c r="J42" s="26"/>
      <c r="L42" s="19"/>
      <c r="M42" s="20"/>
      <c r="N42" s="21"/>
    </row>
    <row r="43" spans="1:14" ht="47.25" hidden="1" customHeight="1">
      <c r="A43" s="32">
        <v>14</v>
      </c>
      <c r="B43" s="76" t="s">
        <v>84</v>
      </c>
      <c r="C43" s="77" t="s">
        <v>92</v>
      </c>
      <c r="D43" s="76" t="s">
        <v>130</v>
      </c>
      <c r="E43" s="79">
        <v>24</v>
      </c>
      <c r="F43" s="79">
        <f>SUM(E43*50/1000)</f>
        <v>1.2</v>
      </c>
      <c r="G43" s="79">
        <v>5803.28</v>
      </c>
      <c r="H43" s="80">
        <f t="shared" si="3"/>
        <v>6.9639359999999995</v>
      </c>
      <c r="I43" s="13">
        <f>F43/6*G43</f>
        <v>1160.6559999999999</v>
      </c>
      <c r="J43" s="26"/>
      <c r="L43" s="19"/>
      <c r="M43" s="20"/>
      <c r="N43" s="21"/>
    </row>
    <row r="44" spans="1:14" ht="15.75" hidden="1" customHeight="1">
      <c r="A44" s="32">
        <v>15</v>
      </c>
      <c r="B44" s="76" t="s">
        <v>93</v>
      </c>
      <c r="C44" s="77" t="s">
        <v>92</v>
      </c>
      <c r="D44" s="76" t="s">
        <v>69</v>
      </c>
      <c r="E44" s="79">
        <v>153</v>
      </c>
      <c r="F44" s="79">
        <f>SUM(E44*45/1000)</f>
        <v>6.8849999999999998</v>
      </c>
      <c r="G44" s="79">
        <v>428.7</v>
      </c>
      <c r="H44" s="80">
        <f t="shared" si="3"/>
        <v>2.9515994999999999</v>
      </c>
      <c r="I44" s="13">
        <f>F44/6*G44</f>
        <v>491.93324999999999</v>
      </c>
      <c r="J44" s="26"/>
      <c r="L44" s="19"/>
      <c r="M44" s="20"/>
      <c r="N44" s="21"/>
    </row>
    <row r="45" spans="1:14" ht="15.75" hidden="1" customHeight="1">
      <c r="A45" s="32">
        <v>16</v>
      </c>
      <c r="B45" s="76" t="s">
        <v>70</v>
      </c>
      <c r="C45" s="77" t="s">
        <v>33</v>
      </c>
      <c r="D45" s="76"/>
      <c r="E45" s="78"/>
      <c r="F45" s="79">
        <v>0.9</v>
      </c>
      <c r="G45" s="79">
        <v>798</v>
      </c>
      <c r="H45" s="80">
        <f t="shared" si="3"/>
        <v>0.71820000000000006</v>
      </c>
      <c r="I45" s="13">
        <f>F45/6*G45</f>
        <v>119.69999999999999</v>
      </c>
      <c r="J45" s="26"/>
      <c r="L45" s="19"/>
      <c r="M45" s="20"/>
      <c r="N45" s="21"/>
    </row>
    <row r="46" spans="1:14" ht="15" customHeight="1">
      <c r="A46" s="139" t="s">
        <v>148</v>
      </c>
      <c r="B46" s="140"/>
      <c r="C46" s="140"/>
      <c r="D46" s="140"/>
      <c r="E46" s="140"/>
      <c r="F46" s="140"/>
      <c r="G46" s="140"/>
      <c r="H46" s="140"/>
      <c r="I46" s="141"/>
      <c r="J46" s="26"/>
      <c r="L46" s="19"/>
      <c r="M46" s="20"/>
      <c r="N46" s="21"/>
    </row>
    <row r="47" spans="1:14" ht="15.75" hidden="1" customHeight="1">
      <c r="A47" s="32"/>
      <c r="B47" s="76" t="s">
        <v>131</v>
      </c>
      <c r="C47" s="77" t="s">
        <v>92</v>
      </c>
      <c r="D47" s="76" t="s">
        <v>42</v>
      </c>
      <c r="E47" s="78">
        <v>1895</v>
      </c>
      <c r="F47" s="79">
        <f>SUM(E47*2/1000)</f>
        <v>3.79</v>
      </c>
      <c r="G47" s="13">
        <v>849.49</v>
      </c>
      <c r="H47" s="80">
        <f t="shared" ref="H47:H55" si="4">SUM(F47*G47/1000)</f>
        <v>3.2195671000000003</v>
      </c>
      <c r="I47" s="13">
        <v>0</v>
      </c>
      <c r="J47" s="26"/>
      <c r="L47" s="19"/>
      <c r="M47" s="20"/>
      <c r="N47" s="21"/>
    </row>
    <row r="48" spans="1:14" ht="15.75" hidden="1" customHeight="1">
      <c r="A48" s="32"/>
      <c r="B48" s="76" t="s">
        <v>34</v>
      </c>
      <c r="C48" s="77" t="s">
        <v>92</v>
      </c>
      <c r="D48" s="76" t="s">
        <v>42</v>
      </c>
      <c r="E48" s="78">
        <v>118.2</v>
      </c>
      <c r="F48" s="79">
        <f>E48*2/1000</f>
        <v>0.2364</v>
      </c>
      <c r="G48" s="13">
        <v>579.48</v>
      </c>
      <c r="H48" s="80">
        <f t="shared" si="4"/>
        <v>0.13698907199999999</v>
      </c>
      <c r="I48" s="13">
        <v>0</v>
      </c>
      <c r="J48" s="26"/>
      <c r="L48" s="19"/>
      <c r="M48" s="20"/>
      <c r="N48" s="21"/>
    </row>
    <row r="49" spans="1:22" ht="15.75" hidden="1" customHeight="1">
      <c r="A49" s="32"/>
      <c r="B49" s="76" t="s">
        <v>35</v>
      </c>
      <c r="C49" s="77" t="s">
        <v>92</v>
      </c>
      <c r="D49" s="76" t="s">
        <v>42</v>
      </c>
      <c r="E49" s="78">
        <v>4675</v>
      </c>
      <c r="F49" s="79">
        <f>SUM(E49*2/1000)</f>
        <v>9.35</v>
      </c>
      <c r="G49" s="13">
        <v>579.48</v>
      </c>
      <c r="H49" s="80">
        <f t="shared" si="4"/>
        <v>5.4181379999999999</v>
      </c>
      <c r="I49" s="13">
        <v>0</v>
      </c>
      <c r="J49" s="26"/>
      <c r="L49" s="19"/>
      <c r="M49" s="20"/>
      <c r="N49" s="21"/>
    </row>
    <row r="50" spans="1:22" ht="15.75" hidden="1" customHeight="1">
      <c r="A50" s="32"/>
      <c r="B50" s="76" t="s">
        <v>36</v>
      </c>
      <c r="C50" s="77" t="s">
        <v>92</v>
      </c>
      <c r="D50" s="76" t="s">
        <v>42</v>
      </c>
      <c r="E50" s="78">
        <v>4675</v>
      </c>
      <c r="F50" s="79">
        <f>SUM(E50*2/1000)</f>
        <v>9.35</v>
      </c>
      <c r="G50" s="13">
        <v>606.77</v>
      </c>
      <c r="H50" s="80">
        <f t="shared" si="4"/>
        <v>5.6732994999999988</v>
      </c>
      <c r="I50" s="13">
        <v>0</v>
      </c>
      <c r="J50" s="26"/>
      <c r="L50" s="19"/>
      <c r="M50" s="20"/>
      <c r="N50" s="21"/>
    </row>
    <row r="51" spans="1:22" ht="15.75" hidden="1" customHeight="1">
      <c r="A51" s="32">
        <v>17</v>
      </c>
      <c r="B51" s="76" t="s">
        <v>56</v>
      </c>
      <c r="C51" s="77" t="s">
        <v>92</v>
      </c>
      <c r="D51" s="76" t="s">
        <v>169</v>
      </c>
      <c r="E51" s="78">
        <v>3988</v>
      </c>
      <c r="F51" s="79">
        <f>SUM(E51*5/1000)</f>
        <v>19.940000000000001</v>
      </c>
      <c r="G51" s="13">
        <v>1142.7</v>
      </c>
      <c r="H51" s="80">
        <f t="shared" si="4"/>
        <v>22.785438000000003</v>
      </c>
      <c r="I51" s="13">
        <f>F51/5*G51</f>
        <v>4557.0876000000007</v>
      </c>
      <c r="J51" s="26"/>
      <c r="L51" s="19"/>
      <c r="M51" s="20"/>
      <c r="N51" s="21"/>
    </row>
    <row r="52" spans="1:22" ht="31.5" hidden="1" customHeight="1">
      <c r="A52" s="32"/>
      <c r="B52" s="76" t="s">
        <v>94</v>
      </c>
      <c r="C52" s="77" t="s">
        <v>92</v>
      </c>
      <c r="D52" s="76" t="s">
        <v>42</v>
      </c>
      <c r="E52" s="78">
        <v>3988</v>
      </c>
      <c r="F52" s="79">
        <f>SUM(E52*2/1000)</f>
        <v>7.976</v>
      </c>
      <c r="G52" s="13">
        <v>1213.55</v>
      </c>
      <c r="H52" s="80">
        <f t="shared" si="4"/>
        <v>9.6792748</v>
      </c>
      <c r="I52" s="13">
        <v>0</v>
      </c>
      <c r="J52" s="26"/>
      <c r="L52" s="19"/>
      <c r="M52" s="20"/>
      <c r="N52" s="21"/>
    </row>
    <row r="53" spans="1:22" ht="31.5" hidden="1" customHeight="1">
      <c r="A53" s="32"/>
      <c r="B53" s="76" t="s">
        <v>95</v>
      </c>
      <c r="C53" s="77" t="s">
        <v>37</v>
      </c>
      <c r="D53" s="76" t="s">
        <v>42</v>
      </c>
      <c r="E53" s="78">
        <v>30</v>
      </c>
      <c r="F53" s="79">
        <f>SUM(E53*2/100)</f>
        <v>0.6</v>
      </c>
      <c r="G53" s="13">
        <v>2730.49</v>
      </c>
      <c r="H53" s="80">
        <f>SUM(F53*G53/1000)</f>
        <v>1.6382939999999999</v>
      </c>
      <c r="I53" s="13">
        <v>0</v>
      </c>
      <c r="J53" s="26"/>
      <c r="L53" s="19"/>
      <c r="M53" s="20"/>
      <c r="N53" s="21"/>
    </row>
    <row r="54" spans="1:22" ht="15.75" hidden="1" customHeight="1">
      <c r="A54" s="32"/>
      <c r="B54" s="76" t="s">
        <v>38</v>
      </c>
      <c r="C54" s="77" t="s">
        <v>39</v>
      </c>
      <c r="D54" s="76" t="s">
        <v>42</v>
      </c>
      <c r="E54" s="78">
        <v>1</v>
      </c>
      <c r="F54" s="79">
        <v>0.02</v>
      </c>
      <c r="G54" s="13">
        <v>5652.13</v>
      </c>
      <c r="H54" s="80">
        <f t="shared" si="4"/>
        <v>0.11304260000000001</v>
      </c>
      <c r="I54" s="13">
        <v>0</v>
      </c>
      <c r="J54" s="26"/>
      <c r="L54" s="19"/>
      <c r="M54" s="20"/>
      <c r="N54" s="21"/>
    </row>
    <row r="55" spans="1:22" ht="15.75" customHeight="1">
      <c r="A55" s="32">
        <v>14</v>
      </c>
      <c r="B55" s="76" t="s">
        <v>41</v>
      </c>
      <c r="C55" s="77" t="s">
        <v>111</v>
      </c>
      <c r="D55" s="76" t="s">
        <v>71</v>
      </c>
      <c r="E55" s="78">
        <v>236</v>
      </c>
      <c r="F55" s="79">
        <f>SUM(E55)*3</f>
        <v>708</v>
      </c>
      <c r="G55" s="13">
        <v>65.67</v>
      </c>
      <c r="H55" s="80">
        <f t="shared" si="4"/>
        <v>46.49436</v>
      </c>
      <c r="I55" s="13">
        <f>E55*G55</f>
        <v>15498.12</v>
      </c>
      <c r="J55" s="26"/>
      <c r="L55" s="19"/>
      <c r="M55" s="20"/>
      <c r="N55" s="21"/>
    </row>
    <row r="56" spans="1:22" ht="15.75" customHeight="1">
      <c r="A56" s="139" t="s">
        <v>149</v>
      </c>
      <c r="B56" s="140"/>
      <c r="C56" s="140"/>
      <c r="D56" s="140"/>
      <c r="E56" s="140"/>
      <c r="F56" s="140"/>
      <c r="G56" s="140"/>
      <c r="H56" s="140"/>
      <c r="I56" s="141"/>
      <c r="J56" s="26"/>
      <c r="L56" s="19"/>
      <c r="M56" s="20"/>
      <c r="N56" s="21"/>
    </row>
    <row r="57" spans="1:22" ht="15.75" hidden="1" customHeight="1">
      <c r="A57" s="32"/>
      <c r="B57" s="100" t="s">
        <v>43</v>
      </c>
      <c r="C57" s="77"/>
      <c r="D57" s="76"/>
      <c r="E57" s="78"/>
      <c r="F57" s="79"/>
      <c r="G57" s="79"/>
      <c r="H57" s="80"/>
      <c r="I57" s="13"/>
      <c r="J57" s="26"/>
      <c r="L57" s="19"/>
      <c r="M57" s="20"/>
      <c r="N57" s="21"/>
    </row>
    <row r="58" spans="1:22" ht="31.5" hidden="1" customHeight="1">
      <c r="A58" s="32">
        <v>19</v>
      </c>
      <c r="B58" s="76" t="s">
        <v>132</v>
      </c>
      <c r="C58" s="77" t="s">
        <v>90</v>
      </c>
      <c r="D58" s="76" t="s">
        <v>112</v>
      </c>
      <c r="E58" s="78">
        <v>30</v>
      </c>
      <c r="F58" s="79">
        <f>SUM(E58*6/100)</f>
        <v>1.8</v>
      </c>
      <c r="G58" s="13">
        <v>1547.28</v>
      </c>
      <c r="H58" s="80">
        <f>SUM(F58*G58/1000)</f>
        <v>2.785104</v>
      </c>
      <c r="I58" s="13">
        <f>F58/6*G58</f>
        <v>464.18399999999997</v>
      </c>
      <c r="J58" s="26"/>
      <c r="L58" s="19"/>
    </row>
    <row r="59" spans="1:22" ht="15.75" hidden="1" customHeight="1">
      <c r="A59" s="32">
        <v>20</v>
      </c>
      <c r="B59" s="85" t="s">
        <v>133</v>
      </c>
      <c r="C59" s="86" t="s">
        <v>134</v>
      </c>
      <c r="D59" s="85" t="s">
        <v>42</v>
      </c>
      <c r="E59" s="87">
        <v>6</v>
      </c>
      <c r="F59" s="88">
        <v>12</v>
      </c>
      <c r="G59" s="13">
        <v>180.78</v>
      </c>
      <c r="H59" s="89">
        <f>G59*F59/1000</f>
        <v>2.1693600000000002</v>
      </c>
      <c r="I59" s="13">
        <f>F59/2*G59</f>
        <v>1084.68</v>
      </c>
    </row>
    <row r="60" spans="1:22" ht="15.75" hidden="1" customHeight="1">
      <c r="A60" s="32">
        <v>21</v>
      </c>
      <c r="B60" s="85" t="s">
        <v>135</v>
      </c>
      <c r="C60" s="86" t="s">
        <v>52</v>
      </c>
      <c r="D60" s="85" t="s">
        <v>40</v>
      </c>
      <c r="E60" s="87">
        <v>6</v>
      </c>
      <c r="F60" s="88">
        <f>E60*4/100</f>
        <v>0.24</v>
      </c>
      <c r="G60" s="13">
        <v>1547.28</v>
      </c>
      <c r="H60" s="89">
        <f>G60*F60/1000</f>
        <v>0.37134719999999999</v>
      </c>
      <c r="I60" s="13">
        <f>F60/4*G60</f>
        <v>92.836799999999997</v>
      </c>
    </row>
    <row r="61" spans="1:22" ht="15.75" customHeight="1">
      <c r="A61" s="32"/>
      <c r="B61" s="101" t="s">
        <v>44</v>
      </c>
      <c r="C61" s="86"/>
      <c r="D61" s="85"/>
      <c r="E61" s="87"/>
      <c r="F61" s="88"/>
      <c r="G61" s="13"/>
      <c r="H61" s="89"/>
      <c r="I61" s="13"/>
    </row>
    <row r="62" spans="1:22" ht="15.75" hidden="1" customHeight="1">
      <c r="A62" s="32">
        <v>22</v>
      </c>
      <c r="B62" s="85" t="s">
        <v>136</v>
      </c>
      <c r="C62" s="86" t="s">
        <v>52</v>
      </c>
      <c r="D62" s="85" t="s">
        <v>53</v>
      </c>
      <c r="E62" s="87">
        <v>997</v>
      </c>
      <c r="F62" s="88">
        <v>9.9700000000000006</v>
      </c>
      <c r="G62" s="13">
        <v>793.61</v>
      </c>
      <c r="H62" s="89">
        <f>F62*G62/1000</f>
        <v>7.9122917000000008</v>
      </c>
      <c r="I62" s="13">
        <f>G62*F62</f>
        <v>7912.2917000000007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customHeight="1">
      <c r="A63" s="32">
        <v>15</v>
      </c>
      <c r="B63" s="85" t="s">
        <v>137</v>
      </c>
      <c r="C63" s="86" t="s">
        <v>25</v>
      </c>
      <c r="D63" s="85" t="s">
        <v>30</v>
      </c>
      <c r="E63" s="87">
        <v>394</v>
      </c>
      <c r="F63" s="90">
        <f>E63*12</f>
        <v>4728</v>
      </c>
      <c r="G63" s="71">
        <v>2.6</v>
      </c>
      <c r="H63" s="88">
        <f>F63*G63/1000</f>
        <v>12.292800000000002</v>
      </c>
      <c r="I63" s="13">
        <f>F63/12*G63</f>
        <v>1024.4000000000001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2"/>
      <c r="B64" s="101" t="s">
        <v>45</v>
      </c>
      <c r="C64" s="86"/>
      <c r="D64" s="85"/>
      <c r="E64" s="87"/>
      <c r="F64" s="90"/>
      <c r="G64" s="90"/>
      <c r="H64" s="88" t="s">
        <v>152</v>
      </c>
      <c r="I64" s="13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32">
        <v>16</v>
      </c>
      <c r="B65" s="14" t="s">
        <v>46</v>
      </c>
      <c r="C65" s="16" t="s">
        <v>111</v>
      </c>
      <c r="D65" s="76" t="s">
        <v>67</v>
      </c>
      <c r="E65" s="18">
        <v>15</v>
      </c>
      <c r="F65" s="79">
        <v>15</v>
      </c>
      <c r="G65" s="13">
        <v>222.4</v>
      </c>
      <c r="H65" s="91">
        <f t="shared" ref="H65:H78" si="5">SUM(F65*G65/1000)</f>
        <v>3.3359999999999999</v>
      </c>
      <c r="I65" s="13">
        <f>G65</f>
        <v>222.4</v>
      </c>
      <c r="J65" s="5"/>
      <c r="K65" s="5"/>
      <c r="L65" s="5"/>
      <c r="M65" s="5"/>
      <c r="N65" s="5"/>
      <c r="O65" s="5"/>
      <c r="P65" s="5"/>
      <c r="Q65" s="5"/>
      <c r="R65" s="123"/>
      <c r="S65" s="123"/>
      <c r="T65" s="123"/>
      <c r="U65" s="123"/>
    </row>
    <row r="66" spans="1:21" ht="15.75" hidden="1" customHeight="1">
      <c r="A66" s="32">
        <v>25</v>
      </c>
      <c r="B66" s="14" t="s">
        <v>47</v>
      </c>
      <c r="C66" s="16" t="s">
        <v>111</v>
      </c>
      <c r="D66" s="76" t="s">
        <v>67</v>
      </c>
      <c r="E66" s="18">
        <v>10</v>
      </c>
      <c r="F66" s="79">
        <v>10</v>
      </c>
      <c r="G66" s="13">
        <v>76.25</v>
      </c>
      <c r="H66" s="91">
        <f t="shared" si="5"/>
        <v>0.76249999999999996</v>
      </c>
      <c r="I66" s="13">
        <f>G66</f>
        <v>76.25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48</v>
      </c>
      <c r="C67" s="16" t="s">
        <v>113</v>
      </c>
      <c r="D67" s="14" t="s">
        <v>53</v>
      </c>
      <c r="E67" s="78">
        <v>28608</v>
      </c>
      <c r="F67" s="13">
        <f>SUM(E67/100)</f>
        <v>286.08</v>
      </c>
      <c r="G67" s="13">
        <v>199.77</v>
      </c>
      <c r="H67" s="91">
        <f t="shared" si="5"/>
        <v>57.150201600000003</v>
      </c>
      <c r="I67" s="13">
        <f>F67*G67</f>
        <v>57150.2016</v>
      </c>
    </row>
    <row r="68" spans="1:21" ht="15.75" hidden="1" customHeight="1">
      <c r="A68" s="32"/>
      <c r="B68" s="14" t="s">
        <v>49</v>
      </c>
      <c r="C68" s="16" t="s">
        <v>114</v>
      </c>
      <c r="D68" s="14"/>
      <c r="E68" s="78">
        <v>28608</v>
      </c>
      <c r="F68" s="13">
        <f>SUM(E68/1000)</f>
        <v>28.608000000000001</v>
      </c>
      <c r="G68" s="13">
        <v>155.57</v>
      </c>
      <c r="H68" s="91">
        <f t="shared" si="5"/>
        <v>4.4505465599999994</v>
      </c>
      <c r="I68" s="13">
        <f t="shared" ref="I68:I72" si="6">F68*G68</f>
        <v>4450.5465599999998</v>
      </c>
    </row>
    <row r="69" spans="1:21" ht="15.75" hidden="1" customHeight="1">
      <c r="A69" s="32"/>
      <c r="B69" s="14" t="s">
        <v>50</v>
      </c>
      <c r="C69" s="16" t="s">
        <v>77</v>
      </c>
      <c r="D69" s="14" t="s">
        <v>53</v>
      </c>
      <c r="E69" s="78">
        <v>4550</v>
      </c>
      <c r="F69" s="13">
        <f>SUM(E69/100)</f>
        <v>45.5</v>
      </c>
      <c r="G69" s="13">
        <v>2074.63</v>
      </c>
      <c r="H69" s="91">
        <f t="shared" si="5"/>
        <v>94.395665000000008</v>
      </c>
      <c r="I69" s="13">
        <f t="shared" si="6"/>
        <v>94395.665000000008</v>
      </c>
    </row>
    <row r="70" spans="1:21" ht="15.75" hidden="1" customHeight="1">
      <c r="A70" s="32"/>
      <c r="B70" s="92" t="s">
        <v>115</v>
      </c>
      <c r="C70" s="16" t="s">
        <v>33</v>
      </c>
      <c r="D70" s="14"/>
      <c r="E70" s="78">
        <v>58.5</v>
      </c>
      <c r="F70" s="13">
        <f>SUM(E70)</f>
        <v>58.5</v>
      </c>
      <c r="G70" s="13">
        <v>45.32</v>
      </c>
      <c r="H70" s="91">
        <f t="shared" si="5"/>
        <v>2.6512199999999999</v>
      </c>
      <c r="I70" s="13">
        <f t="shared" si="6"/>
        <v>2651.22</v>
      </c>
    </row>
    <row r="71" spans="1:21" ht="15.75" hidden="1" customHeight="1">
      <c r="A71" s="32"/>
      <c r="B71" s="92" t="s">
        <v>116</v>
      </c>
      <c r="C71" s="16" t="s">
        <v>33</v>
      </c>
      <c r="D71" s="14"/>
      <c r="E71" s="78">
        <v>58.5</v>
      </c>
      <c r="F71" s="13">
        <f>SUM(E71)</f>
        <v>58.5</v>
      </c>
      <c r="G71" s="13">
        <v>42.28</v>
      </c>
      <c r="H71" s="91">
        <f t="shared" si="5"/>
        <v>2.4733800000000001</v>
      </c>
      <c r="I71" s="13">
        <f t="shared" si="6"/>
        <v>2473.38</v>
      </c>
    </row>
    <row r="72" spans="1:21" ht="15.75" hidden="1" customHeight="1">
      <c r="A72" s="32"/>
      <c r="B72" s="14" t="s">
        <v>57</v>
      </c>
      <c r="C72" s="16" t="s">
        <v>58</v>
      </c>
      <c r="D72" s="14" t="s">
        <v>53</v>
      </c>
      <c r="E72" s="18">
        <v>5</v>
      </c>
      <c r="F72" s="79">
        <v>5</v>
      </c>
      <c r="G72" s="13">
        <v>49.88</v>
      </c>
      <c r="H72" s="91">
        <f t="shared" si="5"/>
        <v>0.24940000000000001</v>
      </c>
      <c r="I72" s="13">
        <f t="shared" si="6"/>
        <v>249.4</v>
      </c>
    </row>
    <row r="73" spans="1:21" ht="15.75" hidden="1" customHeight="1">
      <c r="A73" s="32"/>
      <c r="B73" s="64" t="s">
        <v>72</v>
      </c>
      <c r="C73" s="16"/>
      <c r="D73" s="14"/>
      <c r="E73" s="18"/>
      <c r="F73" s="13"/>
      <c r="G73" s="13"/>
      <c r="H73" s="91" t="s">
        <v>152</v>
      </c>
      <c r="I73" s="13"/>
    </row>
    <row r="74" spans="1:21" ht="15.75" hidden="1" customHeight="1">
      <c r="A74" s="32">
        <v>17</v>
      </c>
      <c r="B74" s="14" t="s">
        <v>73</v>
      </c>
      <c r="C74" s="16" t="s">
        <v>75</v>
      </c>
      <c r="D74" s="14"/>
      <c r="E74" s="18">
        <v>10</v>
      </c>
      <c r="F74" s="13">
        <v>1</v>
      </c>
      <c r="G74" s="13">
        <v>501.62</v>
      </c>
      <c r="H74" s="91">
        <f t="shared" si="5"/>
        <v>0.50161999999999995</v>
      </c>
      <c r="I74" s="13">
        <f>G74*0.1</f>
        <v>50.162000000000006</v>
      </c>
    </row>
    <row r="75" spans="1:21" ht="15.75" hidden="1" customHeight="1">
      <c r="A75" s="32"/>
      <c r="B75" s="14" t="s">
        <v>74</v>
      </c>
      <c r="C75" s="16" t="s">
        <v>31</v>
      </c>
      <c r="D75" s="14"/>
      <c r="E75" s="18">
        <v>3</v>
      </c>
      <c r="F75" s="71">
        <v>3</v>
      </c>
      <c r="G75" s="13">
        <v>852.99</v>
      </c>
      <c r="H75" s="91">
        <f>F75*G75/1000</f>
        <v>2.5589700000000004</v>
      </c>
      <c r="I75" s="13">
        <v>0</v>
      </c>
    </row>
    <row r="76" spans="1:21" ht="15.75" hidden="1" customHeight="1">
      <c r="A76" s="32"/>
      <c r="B76" s="14" t="s">
        <v>118</v>
      </c>
      <c r="C76" s="16" t="s">
        <v>31</v>
      </c>
      <c r="D76" s="14"/>
      <c r="E76" s="18">
        <v>1</v>
      </c>
      <c r="F76" s="13">
        <v>1</v>
      </c>
      <c r="G76" s="13">
        <v>358.51</v>
      </c>
      <c r="H76" s="91">
        <f>G76*F76/1000</f>
        <v>0.35851</v>
      </c>
      <c r="I76" s="13">
        <v>0</v>
      </c>
    </row>
    <row r="77" spans="1:21" ht="15.75" hidden="1" customHeight="1">
      <c r="A77" s="32"/>
      <c r="B77" s="94" t="s">
        <v>76</v>
      </c>
      <c r="C77" s="16"/>
      <c r="D77" s="14"/>
      <c r="E77" s="18"/>
      <c r="F77" s="13"/>
      <c r="G77" s="13" t="s">
        <v>152</v>
      </c>
      <c r="H77" s="91" t="s">
        <v>152</v>
      </c>
      <c r="I77" s="13"/>
    </row>
    <row r="78" spans="1:21" ht="15.75" hidden="1" customHeight="1">
      <c r="A78" s="32"/>
      <c r="B78" s="47" t="s">
        <v>170</v>
      </c>
      <c r="C78" s="16" t="s">
        <v>77</v>
      </c>
      <c r="D78" s="14"/>
      <c r="E78" s="18"/>
      <c r="F78" s="13">
        <v>1.2</v>
      </c>
      <c r="G78" s="13">
        <v>2759.44</v>
      </c>
      <c r="H78" s="91">
        <f t="shared" si="5"/>
        <v>3.311328</v>
      </c>
      <c r="I78" s="13">
        <v>0</v>
      </c>
    </row>
    <row r="79" spans="1:21" ht="15.75" hidden="1" customHeight="1">
      <c r="A79" s="32"/>
      <c r="B79" s="70" t="s">
        <v>96</v>
      </c>
      <c r="C79" s="70"/>
      <c r="D79" s="70"/>
      <c r="E79" s="70"/>
      <c r="F79" s="70"/>
      <c r="G79" s="82"/>
      <c r="H79" s="95">
        <f>SUM(H58:H78)</f>
        <v>197.73024405999999</v>
      </c>
      <c r="I79" s="82"/>
    </row>
    <row r="80" spans="1:21" ht="15.75" hidden="1" customHeight="1">
      <c r="A80" s="32"/>
      <c r="B80" s="102" t="s">
        <v>117</v>
      </c>
      <c r="C80" s="23"/>
      <c r="D80" s="22"/>
      <c r="E80" s="72"/>
      <c r="F80" s="103">
        <v>1</v>
      </c>
      <c r="G80" s="13">
        <v>23072.1</v>
      </c>
      <c r="H80" s="91">
        <f>G80*F80/1000</f>
        <v>23.072099999999999</v>
      </c>
      <c r="I80" s="13">
        <v>0</v>
      </c>
    </row>
    <row r="81" spans="1:9" ht="15.75" customHeight="1">
      <c r="A81" s="124" t="s">
        <v>150</v>
      </c>
      <c r="B81" s="125"/>
      <c r="C81" s="125"/>
      <c r="D81" s="125"/>
      <c r="E81" s="125"/>
      <c r="F81" s="125"/>
      <c r="G81" s="125"/>
      <c r="H81" s="125"/>
      <c r="I81" s="126"/>
    </row>
    <row r="82" spans="1:9" ht="15.75" customHeight="1">
      <c r="A82" s="32">
        <v>17</v>
      </c>
      <c r="B82" s="76" t="s">
        <v>119</v>
      </c>
      <c r="C82" s="16" t="s">
        <v>54</v>
      </c>
      <c r="D82" s="51" t="s">
        <v>55</v>
      </c>
      <c r="E82" s="13">
        <v>6980.3</v>
      </c>
      <c r="F82" s="13">
        <f>SUM(E82*12)</f>
        <v>83763.600000000006</v>
      </c>
      <c r="G82" s="13">
        <v>2.1</v>
      </c>
      <c r="H82" s="91">
        <f>SUM(F82*G82/1000)</f>
        <v>175.90356000000003</v>
      </c>
      <c r="I82" s="13">
        <f>F82/12*G82</f>
        <v>14658.630000000001</v>
      </c>
    </row>
    <row r="83" spans="1:9" ht="31.5" customHeight="1">
      <c r="A83" s="32">
        <v>18</v>
      </c>
      <c r="B83" s="14" t="s">
        <v>78</v>
      </c>
      <c r="C83" s="16"/>
      <c r="D83" s="51" t="s">
        <v>55</v>
      </c>
      <c r="E83" s="78">
        <f>E82</f>
        <v>6980.3</v>
      </c>
      <c r="F83" s="13">
        <f>E83*12</f>
        <v>83763.600000000006</v>
      </c>
      <c r="G83" s="13">
        <v>1.63</v>
      </c>
      <c r="H83" s="91">
        <f>F83*G83/1000</f>
        <v>136.53466800000001</v>
      </c>
      <c r="I83" s="13">
        <f>F83/12*G83</f>
        <v>11377.888999999999</v>
      </c>
    </row>
    <row r="84" spans="1:9" ht="15.75" customHeight="1">
      <c r="A84" s="32"/>
      <c r="B84" s="40" t="s">
        <v>81</v>
      </c>
      <c r="C84" s="94"/>
      <c r="D84" s="93"/>
      <c r="E84" s="82"/>
      <c r="F84" s="82"/>
      <c r="G84" s="82"/>
      <c r="H84" s="95">
        <f>H83</f>
        <v>136.53466800000001</v>
      </c>
      <c r="I84" s="82">
        <f>I16+I17+I18+I20+I21+I24+I25+I26+I27+I30+I31+I33+I34+I55+I63+I65+I82+I83</f>
        <v>109656.00978188886</v>
      </c>
    </row>
    <row r="85" spans="1:9" ht="15.75" customHeight="1">
      <c r="A85" s="135" t="s">
        <v>60</v>
      </c>
      <c r="B85" s="136"/>
      <c r="C85" s="136"/>
      <c r="D85" s="136"/>
      <c r="E85" s="136"/>
      <c r="F85" s="136"/>
      <c r="G85" s="136"/>
      <c r="H85" s="136"/>
      <c r="I85" s="137"/>
    </row>
    <row r="86" spans="1:9" ht="15.75" customHeight="1">
      <c r="A86" s="32">
        <v>19</v>
      </c>
      <c r="B86" s="50" t="s">
        <v>138</v>
      </c>
      <c r="C86" s="62" t="s">
        <v>111</v>
      </c>
      <c r="D86" s="14"/>
      <c r="E86" s="18"/>
      <c r="F86" s="13">
        <v>1440</v>
      </c>
      <c r="G86" s="13">
        <v>53.42</v>
      </c>
      <c r="H86" s="91">
        <f t="shared" ref="H86" si="7">G86*F86/1000</f>
        <v>76.924800000000005</v>
      </c>
      <c r="I86" s="13">
        <f>G86*120</f>
        <v>6410.4000000000005</v>
      </c>
    </row>
    <row r="87" spans="1:9" ht="15.75" customHeight="1">
      <c r="A87" s="32">
        <v>20</v>
      </c>
      <c r="B87" s="98" t="s">
        <v>192</v>
      </c>
      <c r="C87" s="99" t="s">
        <v>142</v>
      </c>
      <c r="D87" s="111"/>
      <c r="E87" s="36"/>
      <c r="F87" s="36">
        <f>(3+4+15+15+15+5+20+20+15+10+15+15+7+6+15+3)/3</f>
        <v>61</v>
      </c>
      <c r="G87" s="36">
        <v>1120.8900000000001</v>
      </c>
      <c r="H87" s="110">
        <f>G87*F87/1000</f>
        <v>68.374290000000002</v>
      </c>
      <c r="I87" s="13">
        <f>G87*((15+7+6+15)/3)</f>
        <v>16066.090000000002</v>
      </c>
    </row>
    <row r="88" spans="1:9" ht="31.5" customHeight="1">
      <c r="A88" s="32">
        <v>21</v>
      </c>
      <c r="B88" s="61" t="s">
        <v>166</v>
      </c>
      <c r="C88" s="32" t="s">
        <v>82</v>
      </c>
      <c r="D88" s="14"/>
      <c r="E88" s="18"/>
      <c r="F88" s="13">
        <v>41.5</v>
      </c>
      <c r="G88" s="13">
        <v>1272</v>
      </c>
      <c r="H88" s="91">
        <f>G88*F88/1000</f>
        <v>52.787999999999997</v>
      </c>
      <c r="I88" s="13">
        <f>G88*(1.5+2)</f>
        <v>4452</v>
      </c>
    </row>
    <row r="89" spans="1:9" ht="15.75" customHeight="1">
      <c r="A89" s="32">
        <v>22</v>
      </c>
      <c r="B89" s="50" t="s">
        <v>83</v>
      </c>
      <c r="C89" s="62" t="s">
        <v>111</v>
      </c>
      <c r="D89" s="14"/>
      <c r="E89" s="18"/>
      <c r="F89" s="13">
        <v>11</v>
      </c>
      <c r="G89" s="13">
        <v>189.88</v>
      </c>
      <c r="H89" s="91">
        <f>G89*F89/1000</f>
        <v>2.0886799999999996</v>
      </c>
      <c r="I89" s="13">
        <f>G89*3</f>
        <v>569.64</v>
      </c>
    </row>
    <row r="90" spans="1:9" ht="15.75" customHeight="1">
      <c r="A90" s="32">
        <v>23</v>
      </c>
      <c r="B90" s="98" t="s">
        <v>216</v>
      </c>
      <c r="C90" s="99" t="s">
        <v>142</v>
      </c>
      <c r="D90" s="111"/>
      <c r="E90" s="36"/>
      <c r="F90" s="36">
        <v>3</v>
      </c>
      <c r="G90" s="36">
        <v>1120.8900000000001</v>
      </c>
      <c r="H90" s="110">
        <f t="shared" ref="H90:H92" si="8">G90*F90/1000</f>
        <v>3.36267</v>
      </c>
      <c r="I90" s="13">
        <f>G90</f>
        <v>1120.8900000000001</v>
      </c>
    </row>
    <row r="91" spans="1:9" ht="31.5" customHeight="1">
      <c r="A91" s="32">
        <v>24</v>
      </c>
      <c r="B91" s="50" t="s">
        <v>153</v>
      </c>
      <c r="C91" s="62" t="s">
        <v>154</v>
      </c>
      <c r="D91" s="39"/>
      <c r="E91" s="17"/>
      <c r="F91" s="36">
        <v>1</v>
      </c>
      <c r="G91" s="36">
        <v>54.17</v>
      </c>
      <c r="H91" s="110">
        <f t="shared" si="8"/>
        <v>5.4170000000000003E-2</v>
      </c>
      <c r="I91" s="13">
        <f>G91</f>
        <v>54.17</v>
      </c>
    </row>
    <row r="92" spans="1:9" ht="31.5" customHeight="1">
      <c r="A92" s="32">
        <v>25</v>
      </c>
      <c r="B92" s="50" t="s">
        <v>241</v>
      </c>
      <c r="C92" s="62" t="s">
        <v>242</v>
      </c>
      <c r="D92" s="111"/>
      <c r="E92" s="36"/>
      <c r="F92" s="36">
        <v>1</v>
      </c>
      <c r="G92" s="36">
        <v>1365</v>
      </c>
      <c r="H92" s="36">
        <f t="shared" si="8"/>
        <v>1.365</v>
      </c>
      <c r="I92" s="13">
        <f t="shared" ref="I92" si="9">G92</f>
        <v>1365</v>
      </c>
    </row>
    <row r="93" spans="1:9" ht="31.5" customHeight="1">
      <c r="A93" s="32">
        <v>26</v>
      </c>
      <c r="B93" s="50" t="s">
        <v>80</v>
      </c>
      <c r="C93" s="62" t="s">
        <v>111</v>
      </c>
      <c r="D93" s="39"/>
      <c r="E93" s="17"/>
      <c r="F93" s="36">
        <v>2</v>
      </c>
      <c r="G93" s="36">
        <v>83.36</v>
      </c>
      <c r="H93" s="110">
        <f>G93*F93/1000</f>
        <v>0.16672000000000001</v>
      </c>
      <c r="I93" s="13">
        <f>G93*2</f>
        <v>166.72</v>
      </c>
    </row>
    <row r="94" spans="1:9" ht="31.5" customHeight="1">
      <c r="A94" s="32">
        <v>27</v>
      </c>
      <c r="B94" s="50" t="s">
        <v>243</v>
      </c>
      <c r="C94" s="62" t="s">
        <v>209</v>
      </c>
      <c r="D94" s="111"/>
      <c r="E94" s="36"/>
      <c r="F94" s="36">
        <f>24/10</f>
        <v>2.4</v>
      </c>
      <c r="G94" s="36">
        <v>2064.25</v>
      </c>
      <c r="H94" s="91">
        <f t="shared" ref="H94:H96" si="10">G94*F94/1000</f>
        <v>4.9542000000000002</v>
      </c>
      <c r="I94" s="13">
        <f>G94*(24/10)</f>
        <v>4954.2</v>
      </c>
    </row>
    <row r="95" spans="1:9" ht="15.75" customHeight="1">
      <c r="A95" s="32">
        <v>28</v>
      </c>
      <c r="B95" s="52" t="s">
        <v>244</v>
      </c>
      <c r="C95" s="53" t="s">
        <v>54</v>
      </c>
      <c r="D95" s="111"/>
      <c r="E95" s="36"/>
      <c r="F95" s="36">
        <v>1.2</v>
      </c>
      <c r="G95" s="36">
        <v>645.96</v>
      </c>
      <c r="H95" s="91">
        <f t="shared" si="10"/>
        <v>0.77515200000000006</v>
      </c>
      <c r="I95" s="13">
        <f>G95*1.2</f>
        <v>775.15200000000004</v>
      </c>
    </row>
    <row r="96" spans="1:9" ht="15.75" customHeight="1">
      <c r="A96" s="32">
        <v>29</v>
      </c>
      <c r="B96" s="50" t="s">
        <v>180</v>
      </c>
      <c r="C96" s="62" t="s">
        <v>163</v>
      </c>
      <c r="D96" s="111"/>
      <c r="E96" s="36"/>
      <c r="F96" s="36">
        <v>1</v>
      </c>
      <c r="G96" s="36">
        <v>1725</v>
      </c>
      <c r="H96" s="91">
        <f t="shared" si="10"/>
        <v>1.7250000000000001</v>
      </c>
      <c r="I96" s="13">
        <f>G96</f>
        <v>1725</v>
      </c>
    </row>
    <row r="97" spans="1:9" ht="15.75" customHeight="1">
      <c r="A97" s="32"/>
      <c r="B97" s="45" t="s">
        <v>51</v>
      </c>
      <c r="C97" s="41"/>
      <c r="D97" s="48"/>
      <c r="E97" s="41">
        <v>1</v>
      </c>
      <c r="F97" s="41"/>
      <c r="G97" s="41"/>
      <c r="H97" s="41"/>
      <c r="I97" s="34">
        <f>SUM(I86:I96)</f>
        <v>37659.262000000002</v>
      </c>
    </row>
    <row r="98" spans="1:9">
      <c r="A98" s="32"/>
      <c r="B98" s="47" t="s">
        <v>79</v>
      </c>
      <c r="C98" s="15"/>
      <c r="D98" s="15"/>
      <c r="E98" s="42"/>
      <c r="F98" s="42"/>
      <c r="G98" s="43"/>
      <c r="H98" s="43"/>
      <c r="I98" s="17">
        <v>0</v>
      </c>
    </row>
    <row r="99" spans="1:9">
      <c r="A99" s="49"/>
      <c r="B99" s="46" t="s">
        <v>189</v>
      </c>
      <c r="C99" s="35"/>
      <c r="D99" s="35"/>
      <c r="E99" s="35"/>
      <c r="F99" s="35"/>
      <c r="G99" s="35"/>
      <c r="H99" s="35"/>
      <c r="I99" s="44">
        <f>I84+I97</f>
        <v>147315.27178188885</v>
      </c>
    </row>
    <row r="100" spans="1:9" ht="15.75">
      <c r="A100" s="127" t="s">
        <v>245</v>
      </c>
      <c r="B100" s="127"/>
      <c r="C100" s="127"/>
      <c r="D100" s="127"/>
      <c r="E100" s="127"/>
      <c r="F100" s="127"/>
      <c r="G100" s="127"/>
      <c r="H100" s="127"/>
      <c r="I100" s="127"/>
    </row>
    <row r="101" spans="1:9" ht="15.75" customHeight="1">
      <c r="A101" s="60"/>
      <c r="B101" s="128" t="s">
        <v>246</v>
      </c>
      <c r="C101" s="128"/>
      <c r="D101" s="128"/>
      <c r="E101" s="128"/>
      <c r="F101" s="128"/>
      <c r="G101" s="128"/>
      <c r="H101" s="75"/>
      <c r="I101" s="3"/>
    </row>
    <row r="102" spans="1:9">
      <c r="A102" s="69"/>
      <c r="B102" s="129" t="s">
        <v>6</v>
      </c>
      <c r="C102" s="129"/>
      <c r="D102" s="129"/>
      <c r="E102" s="129"/>
      <c r="F102" s="129"/>
      <c r="G102" s="129"/>
      <c r="H102" s="27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130" t="s">
        <v>7</v>
      </c>
      <c r="B104" s="130"/>
      <c r="C104" s="130"/>
      <c r="D104" s="130"/>
      <c r="E104" s="130"/>
      <c r="F104" s="130"/>
      <c r="G104" s="130"/>
      <c r="H104" s="130"/>
      <c r="I104" s="130"/>
    </row>
    <row r="105" spans="1:9" ht="15.75">
      <c r="A105" s="130" t="s">
        <v>8</v>
      </c>
      <c r="B105" s="130"/>
      <c r="C105" s="130"/>
      <c r="D105" s="130"/>
      <c r="E105" s="130"/>
      <c r="F105" s="130"/>
      <c r="G105" s="130"/>
      <c r="H105" s="130"/>
      <c r="I105" s="130"/>
    </row>
    <row r="106" spans="1:9" ht="15.75">
      <c r="A106" s="131" t="s">
        <v>61</v>
      </c>
      <c r="B106" s="131"/>
      <c r="C106" s="131"/>
      <c r="D106" s="131"/>
      <c r="E106" s="131"/>
      <c r="F106" s="131"/>
      <c r="G106" s="131"/>
      <c r="H106" s="131"/>
      <c r="I106" s="131"/>
    </row>
    <row r="107" spans="1:9" ht="15.75">
      <c r="A107" s="11"/>
    </row>
    <row r="108" spans="1:9" ht="15.75">
      <c r="A108" s="132" t="s">
        <v>9</v>
      </c>
      <c r="B108" s="132"/>
      <c r="C108" s="132"/>
      <c r="D108" s="132"/>
      <c r="E108" s="132"/>
      <c r="F108" s="132"/>
      <c r="G108" s="132"/>
      <c r="H108" s="132"/>
      <c r="I108" s="132"/>
    </row>
    <row r="109" spans="1:9" ht="15.75" customHeight="1">
      <c r="A109" s="4"/>
    </row>
    <row r="110" spans="1:9" ht="15.75" customHeight="1">
      <c r="B110" s="66" t="s">
        <v>10</v>
      </c>
      <c r="C110" s="133" t="s">
        <v>144</v>
      </c>
      <c r="D110" s="133"/>
      <c r="E110" s="133"/>
      <c r="F110" s="73"/>
      <c r="I110" s="68"/>
    </row>
    <row r="111" spans="1:9" ht="15.75" customHeight="1">
      <c r="A111" s="69"/>
      <c r="C111" s="129" t="s">
        <v>11</v>
      </c>
      <c r="D111" s="129"/>
      <c r="E111" s="129"/>
      <c r="F111" s="27"/>
      <c r="I111" s="67" t="s">
        <v>12</v>
      </c>
    </row>
    <row r="112" spans="1:9" ht="15.75" customHeight="1">
      <c r="A112" s="28"/>
      <c r="C112" s="12"/>
      <c r="D112" s="12"/>
      <c r="G112" s="12"/>
      <c r="H112" s="12"/>
    </row>
    <row r="113" spans="1:9" ht="15.75">
      <c r="B113" s="66" t="s">
        <v>13</v>
      </c>
      <c r="C113" s="134"/>
      <c r="D113" s="134"/>
      <c r="E113" s="134"/>
      <c r="F113" s="74"/>
      <c r="I113" s="68"/>
    </row>
    <row r="114" spans="1:9">
      <c r="A114" s="69"/>
      <c r="C114" s="123" t="s">
        <v>11</v>
      </c>
      <c r="D114" s="123"/>
      <c r="E114" s="123"/>
      <c r="F114" s="69"/>
      <c r="I114" s="67" t="s">
        <v>12</v>
      </c>
    </row>
    <row r="115" spans="1:9" ht="15.75">
      <c r="A115" s="4" t="s">
        <v>14</v>
      </c>
    </row>
    <row r="116" spans="1:9">
      <c r="A116" s="121" t="s">
        <v>15</v>
      </c>
      <c r="B116" s="121"/>
      <c r="C116" s="121"/>
      <c r="D116" s="121"/>
      <c r="E116" s="121"/>
      <c r="F116" s="121"/>
      <c r="G116" s="121"/>
      <c r="H116" s="121"/>
      <c r="I116" s="121"/>
    </row>
    <row r="117" spans="1:9" ht="45" customHeight="1">
      <c r="A117" s="122" t="s">
        <v>16</v>
      </c>
      <c r="B117" s="122"/>
      <c r="C117" s="122"/>
      <c r="D117" s="122"/>
      <c r="E117" s="122"/>
      <c r="F117" s="122"/>
      <c r="G117" s="122"/>
      <c r="H117" s="122"/>
      <c r="I117" s="122"/>
    </row>
    <row r="118" spans="1:9" ht="30" customHeight="1">
      <c r="A118" s="122" t="s">
        <v>17</v>
      </c>
      <c r="B118" s="122"/>
      <c r="C118" s="122"/>
      <c r="D118" s="122"/>
      <c r="E118" s="122"/>
      <c r="F118" s="122"/>
      <c r="G118" s="122"/>
      <c r="H118" s="122"/>
      <c r="I118" s="122"/>
    </row>
    <row r="119" spans="1:9" ht="30" customHeight="1">
      <c r="A119" s="122" t="s">
        <v>21</v>
      </c>
      <c r="B119" s="122"/>
      <c r="C119" s="122"/>
      <c r="D119" s="122"/>
      <c r="E119" s="122"/>
      <c r="F119" s="122"/>
      <c r="G119" s="122"/>
      <c r="H119" s="122"/>
      <c r="I119" s="122"/>
    </row>
    <row r="120" spans="1:9" ht="15" customHeight="1">
      <c r="A120" s="122" t="s">
        <v>20</v>
      </c>
      <c r="B120" s="122"/>
      <c r="C120" s="122"/>
      <c r="D120" s="122"/>
      <c r="E120" s="122"/>
      <c r="F120" s="122"/>
      <c r="G120" s="122"/>
      <c r="H120" s="122"/>
      <c r="I120" s="122"/>
    </row>
  </sheetData>
  <autoFilter ref="I12:I60"/>
  <mergeCells count="29"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  <mergeCell ref="A106:I106"/>
    <mergeCell ref="A15:I15"/>
    <mergeCell ref="A28:I28"/>
    <mergeCell ref="A46:I46"/>
    <mergeCell ref="A56:I56"/>
    <mergeCell ref="A85:I85"/>
    <mergeCell ref="A100:I100"/>
    <mergeCell ref="B101:G101"/>
    <mergeCell ref="B102:G102"/>
    <mergeCell ref="A104:I104"/>
    <mergeCell ref="A105:I105"/>
    <mergeCell ref="R65:U65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7"/>
  <sheetViews>
    <sheetView topLeftCell="A64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88</v>
      </c>
      <c r="I1" s="29"/>
      <c r="J1" s="1"/>
      <c r="K1" s="1"/>
      <c r="L1" s="1"/>
      <c r="M1" s="1"/>
    </row>
    <row r="2" spans="1:13" ht="15.75">
      <c r="A2" s="31" t="s">
        <v>62</v>
      </c>
      <c r="J2" s="2"/>
      <c r="K2" s="2"/>
      <c r="L2" s="2"/>
      <c r="M2" s="2"/>
    </row>
    <row r="3" spans="1:13" ht="15.75" customHeight="1">
      <c r="A3" s="143" t="s">
        <v>178</v>
      </c>
      <c r="B3" s="143"/>
      <c r="C3" s="143"/>
      <c r="D3" s="143"/>
      <c r="E3" s="143"/>
      <c r="F3" s="143"/>
      <c r="G3" s="143"/>
      <c r="H3" s="143"/>
      <c r="I3" s="143"/>
      <c r="J3" s="3"/>
      <c r="K3" s="3"/>
      <c r="L3" s="3"/>
    </row>
    <row r="4" spans="1:13" ht="31.5" customHeight="1">
      <c r="A4" s="144" t="s">
        <v>141</v>
      </c>
      <c r="B4" s="144"/>
      <c r="C4" s="144"/>
      <c r="D4" s="144"/>
      <c r="E4" s="144"/>
      <c r="F4" s="144"/>
      <c r="G4" s="144"/>
      <c r="H4" s="144"/>
      <c r="I4" s="144"/>
    </row>
    <row r="5" spans="1:13" ht="15.75">
      <c r="A5" s="143" t="s">
        <v>247</v>
      </c>
      <c r="B5" s="145"/>
      <c r="C5" s="145"/>
      <c r="D5" s="145"/>
      <c r="E5" s="145"/>
      <c r="F5" s="145"/>
      <c r="G5" s="145"/>
      <c r="H5" s="145"/>
      <c r="I5" s="145"/>
      <c r="J5" s="2"/>
      <c r="K5" s="2"/>
      <c r="L5" s="2"/>
      <c r="M5" s="2"/>
    </row>
    <row r="6" spans="1:13" ht="15.75">
      <c r="A6" s="2"/>
      <c r="B6" s="65"/>
      <c r="C6" s="65"/>
      <c r="D6" s="65"/>
      <c r="E6" s="65"/>
      <c r="F6" s="65"/>
      <c r="G6" s="65"/>
      <c r="H6" s="65"/>
      <c r="I6" s="33">
        <v>43008</v>
      </c>
      <c r="J6" s="2"/>
      <c r="K6" s="2"/>
      <c r="L6" s="2"/>
      <c r="M6" s="2"/>
    </row>
    <row r="7" spans="1:13" ht="15.75">
      <c r="B7" s="66"/>
      <c r="C7" s="66"/>
      <c r="D7" s="6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6" t="s">
        <v>147</v>
      </c>
      <c r="B8" s="146"/>
      <c r="C8" s="146"/>
      <c r="D8" s="146"/>
      <c r="E8" s="146"/>
      <c r="F8" s="146"/>
      <c r="G8" s="146"/>
      <c r="H8" s="146"/>
      <c r="I8" s="14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7" t="s">
        <v>182</v>
      </c>
      <c r="B10" s="147"/>
      <c r="C10" s="147"/>
      <c r="D10" s="147"/>
      <c r="E10" s="147"/>
      <c r="F10" s="147"/>
      <c r="G10" s="147"/>
      <c r="H10" s="147"/>
      <c r="I10" s="147"/>
      <c r="J10" s="2"/>
      <c r="K10" s="2"/>
      <c r="L10" s="2"/>
      <c r="M10" s="2"/>
    </row>
    <row r="11" spans="1:13" ht="15.75" customHeight="1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2" t="s">
        <v>59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38" t="s">
        <v>4</v>
      </c>
      <c r="B15" s="138"/>
      <c r="C15" s="138"/>
      <c r="D15" s="138"/>
      <c r="E15" s="138"/>
      <c r="F15" s="138"/>
      <c r="G15" s="138"/>
      <c r="H15" s="138"/>
      <c r="I15" s="138"/>
      <c r="J15" s="8"/>
      <c r="K15" s="8"/>
      <c r="L15" s="8"/>
      <c r="M15" s="8"/>
    </row>
    <row r="16" spans="1:13" ht="15.75" customHeight="1">
      <c r="A16" s="32">
        <v>1</v>
      </c>
      <c r="B16" s="76" t="s">
        <v>89</v>
      </c>
      <c r="C16" s="77" t="s">
        <v>90</v>
      </c>
      <c r="D16" s="76" t="s">
        <v>186</v>
      </c>
      <c r="E16" s="78">
        <v>208.08</v>
      </c>
      <c r="F16" s="79">
        <f>SUM(E16*156/100)</f>
        <v>324.60480000000001</v>
      </c>
      <c r="G16" s="79">
        <v>175.38</v>
      </c>
      <c r="H16" s="80">
        <f t="shared" ref="H16:H25" si="0">SUM(F16*G16/1000)</f>
        <v>56.929189823999998</v>
      </c>
      <c r="I16" s="13">
        <f>F16/12*G16</f>
        <v>4744.0991519999998</v>
      </c>
      <c r="J16" s="24"/>
      <c r="K16" s="8"/>
      <c r="L16" s="8"/>
      <c r="M16" s="8"/>
    </row>
    <row r="17" spans="1:13" ht="15.75" customHeight="1">
      <c r="A17" s="32">
        <v>2</v>
      </c>
      <c r="B17" s="76" t="s">
        <v>120</v>
      </c>
      <c r="C17" s="77" t="s">
        <v>90</v>
      </c>
      <c r="D17" s="76" t="s">
        <v>185</v>
      </c>
      <c r="E17" s="78">
        <v>832.32</v>
      </c>
      <c r="F17" s="79">
        <f>SUM(E17*104/100)</f>
        <v>865.61279999999999</v>
      </c>
      <c r="G17" s="79">
        <v>175.38</v>
      </c>
      <c r="H17" s="80">
        <f t="shared" si="0"/>
        <v>151.81117286399999</v>
      </c>
      <c r="I17" s="13">
        <f>F17/12*G17</f>
        <v>12650.931071999999</v>
      </c>
      <c r="J17" s="25"/>
      <c r="K17" s="8"/>
      <c r="L17" s="8"/>
      <c r="M17" s="8"/>
    </row>
    <row r="18" spans="1:13" ht="15.75" customHeight="1">
      <c r="A18" s="32">
        <v>3</v>
      </c>
      <c r="B18" s="76" t="s">
        <v>121</v>
      </c>
      <c r="C18" s="77" t="s">
        <v>90</v>
      </c>
      <c r="D18" s="76" t="s">
        <v>184</v>
      </c>
      <c r="E18" s="78">
        <v>1040.4000000000001</v>
      </c>
      <c r="F18" s="79">
        <f>SUM(E18*24/100)</f>
        <v>249.69600000000003</v>
      </c>
      <c r="G18" s="79">
        <v>504.5</v>
      </c>
      <c r="H18" s="80">
        <f t="shared" si="0"/>
        <v>125.97163200000001</v>
      </c>
      <c r="I18" s="13">
        <f>F18/12*G18</f>
        <v>10497.636000000002</v>
      </c>
      <c r="J18" s="25"/>
      <c r="K18" s="8"/>
      <c r="L18" s="8"/>
      <c r="M18" s="8"/>
    </row>
    <row r="19" spans="1:13" ht="15.75" hidden="1" customHeight="1">
      <c r="A19" s="32"/>
      <c r="B19" s="76" t="s">
        <v>97</v>
      </c>
      <c r="C19" s="77" t="s">
        <v>98</v>
      </c>
      <c r="D19" s="76" t="s">
        <v>99</v>
      </c>
      <c r="E19" s="78">
        <v>48</v>
      </c>
      <c r="F19" s="79">
        <f>SUM(E19/10)</f>
        <v>4.8</v>
      </c>
      <c r="G19" s="79">
        <v>170.16</v>
      </c>
      <c r="H19" s="80">
        <f t="shared" si="0"/>
        <v>0.81676799999999994</v>
      </c>
      <c r="I19" s="13">
        <v>0</v>
      </c>
      <c r="J19" s="25"/>
      <c r="K19" s="8"/>
      <c r="L19" s="8"/>
      <c r="M19" s="8"/>
    </row>
    <row r="20" spans="1:13" ht="15.75" customHeight="1">
      <c r="A20" s="32">
        <v>4</v>
      </c>
      <c r="B20" s="76" t="s">
        <v>100</v>
      </c>
      <c r="C20" s="77" t="s">
        <v>90</v>
      </c>
      <c r="D20" s="76" t="s">
        <v>122</v>
      </c>
      <c r="E20" s="78">
        <v>30.6</v>
      </c>
      <c r="F20" s="79">
        <f>SUM(E20*12/100)</f>
        <v>3.6720000000000006</v>
      </c>
      <c r="G20" s="79">
        <v>217.88</v>
      </c>
      <c r="H20" s="80">
        <f t="shared" si="0"/>
        <v>0.8000553600000001</v>
      </c>
      <c r="I20" s="13">
        <f>F20/12*G20</f>
        <v>66.67128000000001</v>
      </c>
      <c r="J20" s="25"/>
      <c r="K20" s="8"/>
      <c r="L20" s="8"/>
      <c r="M20" s="8"/>
    </row>
    <row r="21" spans="1:13" ht="15.75" customHeight="1">
      <c r="A21" s="32">
        <v>5</v>
      </c>
      <c r="B21" s="76" t="s">
        <v>101</v>
      </c>
      <c r="C21" s="77" t="s">
        <v>90</v>
      </c>
      <c r="D21" s="76" t="s">
        <v>30</v>
      </c>
      <c r="E21" s="78">
        <v>10.06</v>
      </c>
      <c r="F21" s="79">
        <f>SUM(E21*12/100)</f>
        <v>1.2072000000000001</v>
      </c>
      <c r="G21" s="79">
        <v>216.12</v>
      </c>
      <c r="H21" s="80">
        <f t="shared" si="0"/>
        <v>0.26090006400000004</v>
      </c>
      <c r="I21" s="13">
        <f>F21/12*G21</f>
        <v>21.741672000000001</v>
      </c>
      <c r="J21" s="25"/>
      <c r="K21" s="8"/>
      <c r="L21" s="8"/>
      <c r="M21" s="8"/>
    </row>
    <row r="22" spans="1:13" ht="15.75" hidden="1" customHeight="1">
      <c r="A22" s="32"/>
      <c r="B22" s="76" t="s">
        <v>102</v>
      </c>
      <c r="C22" s="77" t="s">
        <v>52</v>
      </c>
      <c r="D22" s="76" t="s">
        <v>99</v>
      </c>
      <c r="E22" s="78">
        <v>769.2</v>
      </c>
      <c r="F22" s="79">
        <f>SUM(E22/100)</f>
        <v>7.6920000000000002</v>
      </c>
      <c r="G22" s="79">
        <v>269.26</v>
      </c>
      <c r="H22" s="80">
        <f t="shared" si="0"/>
        <v>2.07114792</v>
      </c>
      <c r="I22" s="13">
        <v>0</v>
      </c>
      <c r="J22" s="25"/>
      <c r="K22" s="8"/>
      <c r="L22" s="8"/>
      <c r="M22" s="8"/>
    </row>
    <row r="23" spans="1:13" ht="15.75" hidden="1" customHeight="1">
      <c r="A23" s="32"/>
      <c r="B23" s="76" t="s">
        <v>103</v>
      </c>
      <c r="C23" s="77" t="s">
        <v>52</v>
      </c>
      <c r="D23" s="76" t="s">
        <v>99</v>
      </c>
      <c r="E23" s="81">
        <v>35.28</v>
      </c>
      <c r="F23" s="79">
        <f>SUM(E23/100)</f>
        <v>0.3528</v>
      </c>
      <c r="G23" s="79">
        <v>44.29</v>
      </c>
      <c r="H23" s="80">
        <f t="shared" si="0"/>
        <v>1.5625512000000001E-2</v>
      </c>
      <c r="I23" s="13">
        <v>0</v>
      </c>
      <c r="J23" s="25"/>
      <c r="K23" s="8"/>
      <c r="L23" s="8"/>
      <c r="M23" s="8"/>
    </row>
    <row r="24" spans="1:13" ht="15.75" customHeight="1">
      <c r="A24" s="32">
        <v>6</v>
      </c>
      <c r="B24" s="76" t="s">
        <v>104</v>
      </c>
      <c r="C24" s="77" t="s">
        <v>52</v>
      </c>
      <c r="D24" s="76" t="s">
        <v>30</v>
      </c>
      <c r="E24" s="78">
        <v>10.8</v>
      </c>
      <c r="F24" s="79">
        <f>E24*12/100</f>
        <v>1.2960000000000003</v>
      </c>
      <c r="G24" s="79">
        <v>389.72</v>
      </c>
      <c r="H24" s="80">
        <f t="shared" si="0"/>
        <v>0.50507712000000016</v>
      </c>
      <c r="I24" s="13">
        <f>F24/12*G24</f>
        <v>42.089760000000012</v>
      </c>
      <c r="J24" s="25"/>
      <c r="K24" s="8"/>
      <c r="L24" s="8"/>
      <c r="M24" s="8"/>
    </row>
    <row r="25" spans="1:13" ht="15.75" customHeight="1">
      <c r="A25" s="32">
        <v>7</v>
      </c>
      <c r="B25" s="76" t="s">
        <v>105</v>
      </c>
      <c r="C25" s="77" t="s">
        <v>52</v>
      </c>
      <c r="D25" s="76" t="s">
        <v>123</v>
      </c>
      <c r="E25" s="78">
        <v>21.6</v>
      </c>
      <c r="F25" s="79">
        <f>SUM(E25*12/100)</f>
        <v>2.5920000000000005</v>
      </c>
      <c r="G25" s="79">
        <v>520.79999999999995</v>
      </c>
      <c r="H25" s="80">
        <f t="shared" si="0"/>
        <v>1.3499136</v>
      </c>
      <c r="I25" s="13">
        <f>F25/12*G25</f>
        <v>112.49280000000002</v>
      </c>
      <c r="J25" s="25"/>
      <c r="K25" s="8"/>
      <c r="L25" s="8"/>
      <c r="M25" s="8"/>
    </row>
    <row r="26" spans="1:13" ht="15.75" customHeight="1">
      <c r="A26" s="32">
        <v>8</v>
      </c>
      <c r="B26" s="76" t="s">
        <v>64</v>
      </c>
      <c r="C26" s="77" t="s">
        <v>33</v>
      </c>
      <c r="D26" s="76" t="s">
        <v>183</v>
      </c>
      <c r="E26" s="78">
        <v>0.1</v>
      </c>
      <c r="F26" s="79">
        <f>SUM(E26*365)</f>
        <v>36.5</v>
      </c>
      <c r="G26" s="79">
        <v>147.03</v>
      </c>
      <c r="H26" s="80">
        <f>SUM(F26*G26/1000)</f>
        <v>5.3665950000000002</v>
      </c>
      <c r="I26" s="13">
        <f>F26/12*G26</f>
        <v>447.21625</v>
      </c>
      <c r="J26" s="26"/>
    </row>
    <row r="27" spans="1:13" ht="15.75" customHeight="1">
      <c r="A27" s="32">
        <v>9</v>
      </c>
      <c r="B27" s="84" t="s">
        <v>23</v>
      </c>
      <c r="C27" s="77" t="s">
        <v>24</v>
      </c>
      <c r="D27" s="76" t="s">
        <v>183</v>
      </c>
      <c r="E27" s="78">
        <v>6980.3</v>
      </c>
      <c r="F27" s="79">
        <f>SUM(E27*12)</f>
        <v>83763.600000000006</v>
      </c>
      <c r="G27" s="79">
        <v>4.4000000000000004</v>
      </c>
      <c r="H27" s="80">
        <f>SUM(F27*G27/1000)</f>
        <v>368.55984000000007</v>
      </c>
      <c r="I27" s="13">
        <f>F27/12*G27</f>
        <v>30713.320000000003</v>
      </c>
      <c r="J27" s="26"/>
    </row>
    <row r="28" spans="1:13" ht="15.75" customHeight="1">
      <c r="A28" s="138" t="s">
        <v>87</v>
      </c>
      <c r="B28" s="138"/>
      <c r="C28" s="138"/>
      <c r="D28" s="138"/>
      <c r="E28" s="138"/>
      <c r="F28" s="138"/>
      <c r="G28" s="138"/>
      <c r="H28" s="138"/>
      <c r="I28" s="138"/>
      <c r="J28" s="25"/>
      <c r="K28" s="8"/>
      <c r="L28" s="8"/>
      <c r="M28" s="8"/>
    </row>
    <row r="29" spans="1:13" ht="15.75" customHeight="1">
      <c r="A29" s="32"/>
      <c r="B29" s="100" t="s">
        <v>28</v>
      </c>
      <c r="C29" s="77"/>
      <c r="D29" s="76"/>
      <c r="E29" s="78"/>
      <c r="F29" s="79"/>
      <c r="G29" s="79"/>
      <c r="H29" s="80"/>
      <c r="I29" s="13"/>
      <c r="J29" s="25"/>
      <c r="K29" s="8"/>
      <c r="L29" s="8"/>
      <c r="M29" s="8"/>
    </row>
    <row r="30" spans="1:13" ht="15.75" customHeight="1">
      <c r="A30" s="32">
        <v>10</v>
      </c>
      <c r="B30" s="76" t="s">
        <v>109</v>
      </c>
      <c r="C30" s="77" t="s">
        <v>92</v>
      </c>
      <c r="D30" s="76" t="s">
        <v>213</v>
      </c>
      <c r="E30" s="79">
        <v>1168.05</v>
      </c>
      <c r="F30" s="79">
        <f>SUM(E30*52/1000)</f>
        <v>60.738599999999998</v>
      </c>
      <c r="G30" s="79">
        <v>155.88999999999999</v>
      </c>
      <c r="H30" s="80">
        <f t="shared" ref="H30:H36" si="1">SUM(F30*G30/1000)</f>
        <v>9.4685403539999982</v>
      </c>
      <c r="I30" s="13">
        <f>F30/6*G30</f>
        <v>1578.0900589999997</v>
      </c>
      <c r="J30" s="25"/>
      <c r="K30" s="8"/>
      <c r="L30" s="8"/>
      <c r="M30" s="8"/>
    </row>
    <row r="31" spans="1:13" ht="31.5" customHeight="1">
      <c r="A31" s="32">
        <v>11</v>
      </c>
      <c r="B31" s="76" t="s">
        <v>125</v>
      </c>
      <c r="C31" s="77" t="s">
        <v>92</v>
      </c>
      <c r="D31" s="76" t="s">
        <v>214</v>
      </c>
      <c r="E31" s="79">
        <v>1039.2</v>
      </c>
      <c r="F31" s="79">
        <f>SUM(E31*78/1000)</f>
        <v>81.057600000000008</v>
      </c>
      <c r="G31" s="79">
        <v>258.63</v>
      </c>
      <c r="H31" s="80">
        <f t="shared" si="1"/>
        <v>20.963927088000002</v>
      </c>
      <c r="I31" s="13">
        <f t="shared" ref="I31:I34" si="2">F31/6*G31</f>
        <v>3493.9878480000002</v>
      </c>
      <c r="J31" s="25"/>
      <c r="K31" s="8"/>
      <c r="L31" s="8"/>
      <c r="M31" s="8"/>
    </row>
    <row r="32" spans="1:13" ht="15.75" hidden="1" customHeight="1">
      <c r="A32" s="32">
        <v>16</v>
      </c>
      <c r="B32" s="76" t="s">
        <v>27</v>
      </c>
      <c r="C32" s="77" t="s">
        <v>92</v>
      </c>
      <c r="D32" s="76" t="s">
        <v>53</v>
      </c>
      <c r="E32" s="79">
        <v>584.03</v>
      </c>
      <c r="F32" s="79">
        <f>SUM(E32/1000)</f>
        <v>0.58402999999999994</v>
      </c>
      <c r="G32" s="79">
        <v>3020.33</v>
      </c>
      <c r="H32" s="80">
        <f t="shared" si="1"/>
        <v>1.7639633298999997</v>
      </c>
      <c r="I32" s="13">
        <f>F32*G32</f>
        <v>1763.9633298999997</v>
      </c>
      <c r="J32" s="25"/>
      <c r="K32" s="8"/>
      <c r="L32" s="8"/>
      <c r="M32" s="8"/>
    </row>
    <row r="33" spans="1:14" ht="15.75" customHeight="1">
      <c r="A33" s="32">
        <v>12</v>
      </c>
      <c r="B33" s="76" t="s">
        <v>124</v>
      </c>
      <c r="C33" s="77" t="s">
        <v>39</v>
      </c>
      <c r="D33" s="76" t="s">
        <v>63</v>
      </c>
      <c r="E33" s="79">
        <v>6</v>
      </c>
      <c r="F33" s="79">
        <f>E33*155/100</f>
        <v>9.3000000000000007</v>
      </c>
      <c r="G33" s="79">
        <v>1302.02</v>
      </c>
      <c r="H33" s="80">
        <f>G33*F33/1000</f>
        <v>12.108786</v>
      </c>
      <c r="I33" s="13">
        <f t="shared" si="2"/>
        <v>2018.1310000000001</v>
      </c>
      <c r="J33" s="25"/>
      <c r="K33" s="8"/>
      <c r="L33" s="8"/>
      <c r="M33" s="8"/>
    </row>
    <row r="34" spans="1:14" ht="15.75" customHeight="1">
      <c r="A34" s="32">
        <v>13</v>
      </c>
      <c r="B34" s="76" t="s">
        <v>108</v>
      </c>
      <c r="C34" s="77" t="s">
        <v>31</v>
      </c>
      <c r="D34" s="76" t="s">
        <v>63</v>
      </c>
      <c r="E34" s="83">
        <v>0.33333333333333331</v>
      </c>
      <c r="F34" s="79">
        <f>155/3</f>
        <v>51.666666666666664</v>
      </c>
      <c r="G34" s="79">
        <v>56.69</v>
      </c>
      <c r="H34" s="80">
        <f>SUM(G34*155/3/1000)</f>
        <v>2.9289833333333331</v>
      </c>
      <c r="I34" s="13">
        <f t="shared" si="2"/>
        <v>488.16388888888883</v>
      </c>
      <c r="J34" s="25"/>
      <c r="K34" s="8"/>
    </row>
    <row r="35" spans="1:14" ht="15.75" hidden="1" customHeight="1">
      <c r="A35" s="32"/>
      <c r="B35" s="76" t="s">
        <v>65</v>
      </c>
      <c r="C35" s="77" t="s">
        <v>33</v>
      </c>
      <c r="D35" s="76" t="s">
        <v>67</v>
      </c>
      <c r="E35" s="78"/>
      <c r="F35" s="79">
        <v>4</v>
      </c>
      <c r="G35" s="79">
        <v>180.15</v>
      </c>
      <c r="H35" s="80">
        <f t="shared" si="1"/>
        <v>0.72060000000000002</v>
      </c>
      <c r="I35" s="13">
        <v>0</v>
      </c>
      <c r="J35" s="26"/>
    </row>
    <row r="36" spans="1:14" ht="15.75" hidden="1" customHeight="1">
      <c r="A36" s="32"/>
      <c r="B36" s="76" t="s">
        <v>66</v>
      </c>
      <c r="C36" s="77" t="s">
        <v>32</v>
      </c>
      <c r="D36" s="76" t="s">
        <v>67</v>
      </c>
      <c r="E36" s="78"/>
      <c r="F36" s="79">
        <v>3</v>
      </c>
      <c r="G36" s="79">
        <v>1136.33</v>
      </c>
      <c r="H36" s="80">
        <f t="shared" si="1"/>
        <v>3.4089899999999997</v>
      </c>
      <c r="I36" s="13">
        <v>0</v>
      </c>
      <c r="J36" s="26"/>
    </row>
    <row r="37" spans="1:14" ht="15.75" hidden="1" customHeight="1">
      <c r="A37" s="32"/>
      <c r="B37" s="100" t="s">
        <v>5</v>
      </c>
      <c r="C37" s="77"/>
      <c r="D37" s="76"/>
      <c r="E37" s="78"/>
      <c r="F37" s="79"/>
      <c r="G37" s="79"/>
      <c r="H37" s="80" t="s">
        <v>152</v>
      </c>
      <c r="I37" s="13"/>
      <c r="J37" s="26"/>
    </row>
    <row r="38" spans="1:14" ht="15.75" hidden="1" customHeight="1">
      <c r="A38" s="32">
        <v>10</v>
      </c>
      <c r="B38" s="76" t="s">
        <v>26</v>
      </c>
      <c r="C38" s="77" t="s">
        <v>32</v>
      </c>
      <c r="D38" s="76"/>
      <c r="E38" s="78"/>
      <c r="F38" s="79">
        <v>10</v>
      </c>
      <c r="G38" s="79">
        <v>1527.22</v>
      </c>
      <c r="H38" s="80">
        <f t="shared" ref="H38:H45" si="3">SUM(F38*G38/1000)</f>
        <v>15.272200000000002</v>
      </c>
      <c r="I38" s="13">
        <f>F38/6*G38</f>
        <v>2545.3666666666668</v>
      </c>
      <c r="J38" s="26"/>
    </row>
    <row r="39" spans="1:14" ht="15.75" hidden="1" customHeight="1">
      <c r="A39" s="32">
        <v>11</v>
      </c>
      <c r="B39" s="76" t="s">
        <v>126</v>
      </c>
      <c r="C39" s="77" t="s">
        <v>33</v>
      </c>
      <c r="D39" s="76"/>
      <c r="E39" s="78"/>
      <c r="F39" s="79">
        <v>10</v>
      </c>
      <c r="G39" s="79">
        <v>77.94</v>
      </c>
      <c r="H39" s="80">
        <f>G39*F39/1000</f>
        <v>0.77939999999999998</v>
      </c>
      <c r="I39" s="13">
        <f>F39/6*G39</f>
        <v>129.9</v>
      </c>
      <c r="J39" s="26"/>
      <c r="L39" s="19"/>
      <c r="M39" s="20"/>
      <c r="N39" s="21"/>
    </row>
    <row r="40" spans="1:14" ht="15.75" hidden="1" customHeight="1">
      <c r="A40" s="32">
        <v>12</v>
      </c>
      <c r="B40" s="76" t="s">
        <v>110</v>
      </c>
      <c r="C40" s="77" t="s">
        <v>29</v>
      </c>
      <c r="D40" s="76" t="s">
        <v>127</v>
      </c>
      <c r="E40" s="78">
        <v>1039.2</v>
      </c>
      <c r="F40" s="79">
        <f>E40*25/1000</f>
        <v>25.98</v>
      </c>
      <c r="G40" s="79">
        <v>2102.71</v>
      </c>
      <c r="H40" s="80">
        <f>G40*F40/1000</f>
        <v>54.628405800000003</v>
      </c>
      <c r="I40" s="13">
        <f>F40/6*G40</f>
        <v>9104.7343000000001</v>
      </c>
      <c r="J40" s="26"/>
      <c r="L40" s="19"/>
      <c r="M40" s="20"/>
      <c r="N40" s="21"/>
    </row>
    <row r="41" spans="1:14" ht="15.75" hidden="1" customHeight="1">
      <c r="A41" s="32"/>
      <c r="B41" s="76" t="s">
        <v>128</v>
      </c>
      <c r="C41" s="77" t="s">
        <v>129</v>
      </c>
      <c r="D41" s="76" t="s">
        <v>67</v>
      </c>
      <c r="E41" s="78"/>
      <c r="F41" s="79">
        <v>50</v>
      </c>
      <c r="G41" s="79">
        <v>213.2</v>
      </c>
      <c r="H41" s="80">
        <f>G41*F41/1000</f>
        <v>10.66</v>
      </c>
      <c r="I41" s="13">
        <v>0</v>
      </c>
      <c r="J41" s="26"/>
      <c r="L41" s="19"/>
      <c r="M41" s="20"/>
      <c r="N41" s="21"/>
    </row>
    <row r="42" spans="1:14" ht="15.75" hidden="1" customHeight="1">
      <c r="A42" s="32">
        <v>13</v>
      </c>
      <c r="B42" s="76" t="s">
        <v>68</v>
      </c>
      <c r="C42" s="77" t="s">
        <v>29</v>
      </c>
      <c r="D42" s="76" t="s">
        <v>91</v>
      </c>
      <c r="E42" s="79">
        <v>153</v>
      </c>
      <c r="F42" s="79">
        <f>SUM(E42*155/1000)</f>
        <v>23.715</v>
      </c>
      <c r="G42" s="79">
        <v>350.75</v>
      </c>
      <c r="H42" s="80">
        <f t="shared" si="3"/>
        <v>8.3180362499999987</v>
      </c>
      <c r="I42" s="13">
        <f>F42/6*G42</f>
        <v>1386.339375</v>
      </c>
      <c r="J42" s="26"/>
      <c r="L42" s="19"/>
      <c r="M42" s="20"/>
      <c r="N42" s="21"/>
    </row>
    <row r="43" spans="1:14" ht="47.25" hidden="1" customHeight="1">
      <c r="A43" s="32">
        <v>14</v>
      </c>
      <c r="B43" s="76" t="s">
        <v>84</v>
      </c>
      <c r="C43" s="77" t="s">
        <v>92</v>
      </c>
      <c r="D43" s="76" t="s">
        <v>130</v>
      </c>
      <c r="E43" s="79">
        <v>24</v>
      </c>
      <c r="F43" s="79">
        <f>SUM(E43*50/1000)</f>
        <v>1.2</v>
      </c>
      <c r="G43" s="79">
        <v>5803.28</v>
      </c>
      <c r="H43" s="80">
        <f t="shared" si="3"/>
        <v>6.9639359999999995</v>
      </c>
      <c r="I43" s="13">
        <f>F43/6*G43</f>
        <v>1160.6559999999999</v>
      </c>
      <c r="J43" s="26"/>
      <c r="L43" s="19"/>
      <c r="M43" s="20"/>
      <c r="N43" s="21"/>
    </row>
    <row r="44" spans="1:14" ht="15.75" hidden="1" customHeight="1">
      <c r="A44" s="32">
        <v>15</v>
      </c>
      <c r="B44" s="76" t="s">
        <v>93</v>
      </c>
      <c r="C44" s="77" t="s">
        <v>92</v>
      </c>
      <c r="D44" s="76" t="s">
        <v>69</v>
      </c>
      <c r="E44" s="79">
        <v>153</v>
      </c>
      <c r="F44" s="79">
        <f>SUM(E44*45/1000)</f>
        <v>6.8849999999999998</v>
      </c>
      <c r="G44" s="79">
        <v>428.7</v>
      </c>
      <c r="H44" s="80">
        <f t="shared" si="3"/>
        <v>2.9515994999999999</v>
      </c>
      <c r="I44" s="13">
        <f>F44/6*G44</f>
        <v>491.93324999999999</v>
      </c>
      <c r="J44" s="26"/>
      <c r="L44" s="19"/>
      <c r="M44" s="20"/>
      <c r="N44" s="21"/>
    </row>
    <row r="45" spans="1:14" ht="15.75" hidden="1" customHeight="1">
      <c r="A45" s="32">
        <v>16</v>
      </c>
      <c r="B45" s="76" t="s">
        <v>70</v>
      </c>
      <c r="C45" s="77" t="s">
        <v>33</v>
      </c>
      <c r="D45" s="76"/>
      <c r="E45" s="78"/>
      <c r="F45" s="79">
        <v>0.9</v>
      </c>
      <c r="G45" s="79">
        <v>798</v>
      </c>
      <c r="H45" s="80">
        <f t="shared" si="3"/>
        <v>0.71820000000000006</v>
      </c>
      <c r="I45" s="13">
        <f>F45/6*G45</f>
        <v>119.69999999999999</v>
      </c>
      <c r="J45" s="26"/>
      <c r="L45" s="19"/>
      <c r="M45" s="20"/>
      <c r="N45" s="21"/>
    </row>
    <row r="46" spans="1:14" ht="15.75" customHeight="1">
      <c r="A46" s="139" t="s">
        <v>148</v>
      </c>
      <c r="B46" s="140"/>
      <c r="C46" s="140"/>
      <c r="D46" s="140"/>
      <c r="E46" s="140"/>
      <c r="F46" s="140"/>
      <c r="G46" s="140"/>
      <c r="H46" s="140"/>
      <c r="I46" s="141"/>
      <c r="J46" s="26"/>
      <c r="L46" s="19"/>
      <c r="M46" s="20"/>
      <c r="N46" s="21"/>
    </row>
    <row r="47" spans="1:14" ht="15.75" customHeight="1">
      <c r="A47" s="32">
        <v>14</v>
      </c>
      <c r="B47" s="76" t="s">
        <v>131</v>
      </c>
      <c r="C47" s="77" t="s">
        <v>92</v>
      </c>
      <c r="D47" s="76" t="s">
        <v>42</v>
      </c>
      <c r="E47" s="78">
        <v>1895</v>
      </c>
      <c r="F47" s="79">
        <f>SUM(E47*2/1000)</f>
        <v>3.79</v>
      </c>
      <c r="G47" s="13">
        <v>849.49</v>
      </c>
      <c r="H47" s="80">
        <f t="shared" ref="H47:H55" si="4">SUM(F47*G47/1000)</f>
        <v>3.2195671000000003</v>
      </c>
      <c r="I47" s="13">
        <f t="shared" ref="I47:I49" si="5">F47/2*G47</f>
        <v>1609.7835500000001</v>
      </c>
      <c r="J47" s="26"/>
      <c r="L47" s="19"/>
      <c r="M47" s="20"/>
      <c r="N47" s="21"/>
    </row>
    <row r="48" spans="1:14" ht="15.75" customHeight="1">
      <c r="A48" s="32">
        <v>15</v>
      </c>
      <c r="B48" s="76" t="s">
        <v>34</v>
      </c>
      <c r="C48" s="77" t="s">
        <v>92</v>
      </c>
      <c r="D48" s="76" t="s">
        <v>42</v>
      </c>
      <c r="E48" s="78">
        <v>118.2</v>
      </c>
      <c r="F48" s="79">
        <f>E48*2/1000</f>
        <v>0.2364</v>
      </c>
      <c r="G48" s="13">
        <v>579.48</v>
      </c>
      <c r="H48" s="80">
        <f t="shared" si="4"/>
        <v>0.13698907199999999</v>
      </c>
      <c r="I48" s="13">
        <f t="shared" si="5"/>
        <v>68.494535999999997</v>
      </c>
      <c r="J48" s="26"/>
      <c r="L48" s="19"/>
      <c r="M48" s="20"/>
      <c r="N48" s="21"/>
    </row>
    <row r="49" spans="1:22" ht="15.75" customHeight="1">
      <c r="A49" s="32">
        <v>16</v>
      </c>
      <c r="B49" s="76" t="s">
        <v>35</v>
      </c>
      <c r="C49" s="77" t="s">
        <v>92</v>
      </c>
      <c r="D49" s="76" t="s">
        <v>42</v>
      </c>
      <c r="E49" s="78">
        <v>4675</v>
      </c>
      <c r="F49" s="79">
        <f>SUM(E49*2/1000)</f>
        <v>9.35</v>
      </c>
      <c r="G49" s="13">
        <v>579.48</v>
      </c>
      <c r="H49" s="80">
        <f t="shared" si="4"/>
        <v>5.4181379999999999</v>
      </c>
      <c r="I49" s="13">
        <f t="shared" si="5"/>
        <v>2709.069</v>
      </c>
      <c r="J49" s="26"/>
      <c r="L49" s="19"/>
      <c r="M49" s="20"/>
      <c r="N49" s="21"/>
    </row>
    <row r="50" spans="1:22" ht="15.75" customHeight="1">
      <c r="A50" s="32">
        <v>17</v>
      </c>
      <c r="B50" s="76" t="s">
        <v>36</v>
      </c>
      <c r="C50" s="77" t="s">
        <v>92</v>
      </c>
      <c r="D50" s="76" t="s">
        <v>42</v>
      </c>
      <c r="E50" s="78">
        <v>4675</v>
      </c>
      <c r="F50" s="79">
        <f>SUM(E50*2/1000)</f>
        <v>9.35</v>
      </c>
      <c r="G50" s="13">
        <v>606.77</v>
      </c>
      <c r="H50" s="80">
        <f t="shared" si="4"/>
        <v>5.6732994999999988</v>
      </c>
      <c r="I50" s="13">
        <f>F50/2*G50</f>
        <v>2836.6497499999996</v>
      </c>
      <c r="J50" s="26"/>
      <c r="L50" s="19"/>
      <c r="M50" s="20"/>
      <c r="N50" s="21"/>
    </row>
    <row r="51" spans="1:22" ht="15.75" customHeight="1">
      <c r="A51" s="32">
        <v>18</v>
      </c>
      <c r="B51" s="76" t="s">
        <v>56</v>
      </c>
      <c r="C51" s="77" t="s">
        <v>92</v>
      </c>
      <c r="D51" s="76" t="s">
        <v>169</v>
      </c>
      <c r="E51" s="78">
        <v>3988</v>
      </c>
      <c r="F51" s="79">
        <f>SUM(E51*5/1000)</f>
        <v>19.940000000000001</v>
      </c>
      <c r="G51" s="13">
        <v>1142.7</v>
      </c>
      <c r="H51" s="80">
        <f t="shared" si="4"/>
        <v>22.785438000000003</v>
      </c>
      <c r="I51" s="13">
        <f>F51/5*G51</f>
        <v>4557.0876000000007</v>
      </c>
      <c r="J51" s="26"/>
      <c r="L51" s="19"/>
      <c r="M51" s="20"/>
      <c r="N51" s="21"/>
    </row>
    <row r="52" spans="1:22" ht="31.5" hidden="1" customHeight="1">
      <c r="A52" s="32">
        <v>19</v>
      </c>
      <c r="B52" s="76" t="s">
        <v>94</v>
      </c>
      <c r="C52" s="77" t="s">
        <v>92</v>
      </c>
      <c r="D52" s="76" t="s">
        <v>42</v>
      </c>
      <c r="E52" s="78">
        <v>3988</v>
      </c>
      <c r="F52" s="79">
        <f>SUM(E52*2/1000)</f>
        <v>7.976</v>
      </c>
      <c r="G52" s="13">
        <v>1213.55</v>
      </c>
      <c r="H52" s="80">
        <f t="shared" si="4"/>
        <v>9.6792748</v>
      </c>
      <c r="I52" s="13">
        <f t="shared" ref="I52:I54" si="6">F52/2*G52</f>
        <v>4839.6373999999996</v>
      </c>
      <c r="J52" s="26"/>
      <c r="L52" s="19"/>
      <c r="M52" s="20"/>
      <c r="N52" s="21"/>
    </row>
    <row r="53" spans="1:22" ht="31.5" hidden="1" customHeight="1">
      <c r="A53" s="32">
        <v>20</v>
      </c>
      <c r="B53" s="76" t="s">
        <v>95</v>
      </c>
      <c r="C53" s="77" t="s">
        <v>37</v>
      </c>
      <c r="D53" s="76" t="s">
        <v>42</v>
      </c>
      <c r="E53" s="78">
        <v>30</v>
      </c>
      <c r="F53" s="79">
        <f>SUM(E53*2/100)</f>
        <v>0.6</v>
      </c>
      <c r="G53" s="13">
        <v>2730.49</v>
      </c>
      <c r="H53" s="80">
        <f>SUM(F53*G53/1000)</f>
        <v>1.6382939999999999</v>
      </c>
      <c r="I53" s="13">
        <f t="shared" si="6"/>
        <v>819.14699999999993</v>
      </c>
      <c r="J53" s="26"/>
      <c r="L53" s="19"/>
      <c r="M53" s="20"/>
      <c r="N53" s="21"/>
    </row>
    <row r="54" spans="1:22" ht="15.75" customHeight="1">
      <c r="A54" s="32">
        <v>19</v>
      </c>
      <c r="B54" s="76" t="s">
        <v>38</v>
      </c>
      <c r="C54" s="77" t="s">
        <v>39</v>
      </c>
      <c r="D54" s="76" t="s">
        <v>42</v>
      </c>
      <c r="E54" s="78">
        <v>1</v>
      </c>
      <c r="F54" s="79">
        <v>0.02</v>
      </c>
      <c r="G54" s="13">
        <v>5652.13</v>
      </c>
      <c r="H54" s="80">
        <f t="shared" si="4"/>
        <v>0.11304260000000001</v>
      </c>
      <c r="I54" s="13">
        <f t="shared" si="6"/>
        <v>56.521300000000004</v>
      </c>
      <c r="J54" s="26"/>
      <c r="L54" s="19"/>
      <c r="M54" s="20"/>
      <c r="N54" s="21"/>
    </row>
    <row r="55" spans="1:22" ht="15.75" hidden="1" customHeight="1">
      <c r="A55" s="32">
        <v>18</v>
      </c>
      <c r="B55" s="76" t="s">
        <v>41</v>
      </c>
      <c r="C55" s="77" t="s">
        <v>111</v>
      </c>
      <c r="D55" s="76" t="s">
        <v>71</v>
      </c>
      <c r="E55" s="78">
        <v>236</v>
      </c>
      <c r="F55" s="79">
        <f>SUM(E55)*3</f>
        <v>708</v>
      </c>
      <c r="G55" s="13">
        <v>65.67</v>
      </c>
      <c r="H55" s="80">
        <f t="shared" si="4"/>
        <v>46.49436</v>
      </c>
      <c r="I55" s="13">
        <f>E55*G55</f>
        <v>15498.12</v>
      </c>
      <c r="J55" s="26"/>
      <c r="L55" s="19"/>
      <c r="M55" s="20"/>
      <c r="N55" s="21"/>
    </row>
    <row r="56" spans="1:22" ht="15.75" customHeight="1">
      <c r="A56" s="139" t="s">
        <v>149</v>
      </c>
      <c r="B56" s="140"/>
      <c r="C56" s="140"/>
      <c r="D56" s="140"/>
      <c r="E56" s="140"/>
      <c r="F56" s="140"/>
      <c r="G56" s="140"/>
      <c r="H56" s="140"/>
      <c r="I56" s="141"/>
      <c r="J56" s="26"/>
      <c r="L56" s="19"/>
      <c r="M56" s="20"/>
      <c r="N56" s="21"/>
    </row>
    <row r="57" spans="1:22" ht="15.75" hidden="1" customHeight="1">
      <c r="A57" s="32"/>
      <c r="B57" s="100" t="s">
        <v>43</v>
      </c>
      <c r="C57" s="77"/>
      <c r="D57" s="76"/>
      <c r="E57" s="78"/>
      <c r="F57" s="79"/>
      <c r="G57" s="79"/>
      <c r="H57" s="80"/>
      <c r="I57" s="13"/>
      <c r="J57" s="26"/>
      <c r="L57" s="19"/>
      <c r="M57" s="20"/>
      <c r="N57" s="21"/>
    </row>
    <row r="58" spans="1:22" ht="31.5" hidden="1" customHeight="1">
      <c r="A58" s="32">
        <v>19</v>
      </c>
      <c r="B58" s="76" t="s">
        <v>132</v>
      </c>
      <c r="C58" s="77" t="s">
        <v>90</v>
      </c>
      <c r="D58" s="76" t="s">
        <v>112</v>
      </c>
      <c r="E58" s="78">
        <v>30</v>
      </c>
      <c r="F58" s="79">
        <f>SUM(E58*6/100)</f>
        <v>1.8</v>
      </c>
      <c r="G58" s="13">
        <v>1547.28</v>
      </c>
      <c r="H58" s="80">
        <f>SUM(F58*G58/1000)</f>
        <v>2.785104</v>
      </c>
      <c r="I58" s="13">
        <f>F58/6*G58</f>
        <v>464.18399999999997</v>
      </c>
      <c r="J58" s="26"/>
      <c r="L58" s="19"/>
    </row>
    <row r="59" spans="1:22" ht="15.75" hidden="1" customHeight="1">
      <c r="A59" s="32">
        <v>20</v>
      </c>
      <c r="B59" s="85" t="s">
        <v>133</v>
      </c>
      <c r="C59" s="86" t="s">
        <v>134</v>
      </c>
      <c r="D59" s="85" t="s">
        <v>42</v>
      </c>
      <c r="E59" s="87">
        <v>6</v>
      </c>
      <c r="F59" s="88">
        <v>12</v>
      </c>
      <c r="G59" s="13">
        <v>180.78</v>
      </c>
      <c r="H59" s="89">
        <f>G59*F59/1000</f>
        <v>2.1693600000000002</v>
      </c>
      <c r="I59" s="13">
        <f>F59/2*G59</f>
        <v>1084.68</v>
      </c>
    </row>
    <row r="60" spans="1:22" ht="15.75" hidden="1" customHeight="1">
      <c r="A60" s="32">
        <v>21</v>
      </c>
      <c r="B60" s="85" t="s">
        <v>135</v>
      </c>
      <c r="C60" s="86" t="s">
        <v>52</v>
      </c>
      <c r="D60" s="85" t="s">
        <v>40</v>
      </c>
      <c r="E60" s="87">
        <v>6</v>
      </c>
      <c r="F60" s="88">
        <f>E60*4/100</f>
        <v>0.24</v>
      </c>
      <c r="G60" s="13">
        <v>1547.28</v>
      </c>
      <c r="H60" s="89">
        <f>G60*F60/1000</f>
        <v>0.37134719999999999</v>
      </c>
      <c r="I60" s="13">
        <f>F60/4*G60</f>
        <v>92.836799999999997</v>
      </c>
    </row>
    <row r="61" spans="1:22" ht="15.75" customHeight="1">
      <c r="A61" s="32"/>
      <c r="B61" s="101" t="s">
        <v>44</v>
      </c>
      <c r="C61" s="86"/>
      <c r="D61" s="85"/>
      <c r="E61" s="87"/>
      <c r="F61" s="88"/>
      <c r="G61" s="13"/>
      <c r="H61" s="89"/>
      <c r="I61" s="13"/>
    </row>
    <row r="62" spans="1:22" ht="15.75" hidden="1" customHeight="1">
      <c r="A62" s="32">
        <v>22</v>
      </c>
      <c r="B62" s="85" t="s">
        <v>136</v>
      </c>
      <c r="C62" s="86" t="s">
        <v>52</v>
      </c>
      <c r="D62" s="85" t="s">
        <v>53</v>
      </c>
      <c r="E62" s="87">
        <v>997</v>
      </c>
      <c r="F62" s="88">
        <v>9.9700000000000006</v>
      </c>
      <c r="G62" s="13">
        <v>793.61</v>
      </c>
      <c r="H62" s="89">
        <f>F62*G62/1000</f>
        <v>7.9122917000000008</v>
      </c>
      <c r="I62" s="13">
        <f>G62*F62</f>
        <v>7912.2917000000007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customHeight="1">
      <c r="A63" s="32">
        <v>20</v>
      </c>
      <c r="B63" s="85" t="s">
        <v>137</v>
      </c>
      <c r="C63" s="86" t="s">
        <v>25</v>
      </c>
      <c r="D63" s="85" t="s">
        <v>30</v>
      </c>
      <c r="E63" s="87">
        <v>394</v>
      </c>
      <c r="F63" s="90">
        <f>E63*12</f>
        <v>4728</v>
      </c>
      <c r="G63" s="71">
        <v>2.6</v>
      </c>
      <c r="H63" s="88">
        <f>F63*G63/1000</f>
        <v>12.292800000000002</v>
      </c>
      <c r="I63" s="13">
        <f>F63/12*G63</f>
        <v>1024.4000000000001</v>
      </c>
      <c r="J63" s="28"/>
      <c r="K63" s="28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customHeight="1">
      <c r="A64" s="32"/>
      <c r="B64" s="101" t="s">
        <v>45</v>
      </c>
      <c r="C64" s="86"/>
      <c r="D64" s="85"/>
      <c r="E64" s="87"/>
      <c r="F64" s="90"/>
      <c r="G64" s="90"/>
      <c r="H64" s="88" t="s">
        <v>152</v>
      </c>
      <c r="I64" s="13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customHeight="1">
      <c r="A65" s="32">
        <v>21</v>
      </c>
      <c r="B65" s="14" t="s">
        <v>46</v>
      </c>
      <c r="C65" s="16" t="s">
        <v>111</v>
      </c>
      <c r="D65" s="76" t="s">
        <v>67</v>
      </c>
      <c r="E65" s="18">
        <v>15</v>
      </c>
      <c r="F65" s="79">
        <v>15</v>
      </c>
      <c r="G65" s="13">
        <v>222.4</v>
      </c>
      <c r="H65" s="91">
        <f t="shared" ref="H65:H78" si="7">SUM(F65*G65/1000)</f>
        <v>3.3359999999999999</v>
      </c>
      <c r="I65" s="13">
        <f>G65*11</f>
        <v>2446.4</v>
      </c>
      <c r="J65" s="5"/>
      <c r="K65" s="5"/>
      <c r="L65" s="5"/>
      <c r="M65" s="5"/>
      <c r="N65" s="5"/>
      <c r="O65" s="5"/>
      <c r="P65" s="5"/>
      <c r="Q65" s="5"/>
      <c r="R65" s="123"/>
      <c r="S65" s="123"/>
      <c r="T65" s="123"/>
      <c r="U65" s="123"/>
    </row>
    <row r="66" spans="1:21" ht="15.75" hidden="1" customHeight="1">
      <c r="A66" s="32">
        <v>25</v>
      </c>
      <c r="B66" s="14" t="s">
        <v>47</v>
      </c>
      <c r="C66" s="16" t="s">
        <v>111</v>
      </c>
      <c r="D66" s="76" t="s">
        <v>67</v>
      </c>
      <c r="E66" s="18">
        <v>10</v>
      </c>
      <c r="F66" s="79">
        <v>10</v>
      </c>
      <c r="G66" s="13">
        <v>76.25</v>
      </c>
      <c r="H66" s="91">
        <f t="shared" si="7"/>
        <v>0.76249999999999996</v>
      </c>
      <c r="I66" s="13">
        <f>G66</f>
        <v>76.25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hidden="1" customHeight="1">
      <c r="A67" s="32"/>
      <c r="B67" s="14" t="s">
        <v>48</v>
      </c>
      <c r="C67" s="16" t="s">
        <v>113</v>
      </c>
      <c r="D67" s="14" t="s">
        <v>53</v>
      </c>
      <c r="E67" s="78">
        <v>28608</v>
      </c>
      <c r="F67" s="13">
        <f>SUM(E67/100)</f>
        <v>286.08</v>
      </c>
      <c r="G67" s="13">
        <v>199.77</v>
      </c>
      <c r="H67" s="91">
        <f t="shared" si="7"/>
        <v>57.150201600000003</v>
      </c>
      <c r="I67" s="13">
        <f>F67*G67</f>
        <v>57150.2016</v>
      </c>
    </row>
    <row r="68" spans="1:21" ht="15.75" hidden="1" customHeight="1">
      <c r="A68" s="32"/>
      <c r="B68" s="14" t="s">
        <v>49</v>
      </c>
      <c r="C68" s="16" t="s">
        <v>114</v>
      </c>
      <c r="D68" s="14"/>
      <c r="E68" s="78">
        <v>28608</v>
      </c>
      <c r="F68" s="13">
        <f>SUM(E68/1000)</f>
        <v>28.608000000000001</v>
      </c>
      <c r="G68" s="13">
        <v>155.57</v>
      </c>
      <c r="H68" s="91">
        <f t="shared" si="7"/>
        <v>4.4505465599999994</v>
      </c>
      <c r="I68" s="13">
        <f t="shared" ref="I68:I72" si="8">F68*G68</f>
        <v>4450.5465599999998</v>
      </c>
    </row>
    <row r="69" spans="1:21" ht="15.75" hidden="1" customHeight="1">
      <c r="A69" s="32"/>
      <c r="B69" s="14" t="s">
        <v>50</v>
      </c>
      <c r="C69" s="16" t="s">
        <v>77</v>
      </c>
      <c r="D69" s="14" t="s">
        <v>53</v>
      </c>
      <c r="E69" s="78">
        <v>4550</v>
      </c>
      <c r="F69" s="13">
        <f>SUM(E69/100)</f>
        <v>45.5</v>
      </c>
      <c r="G69" s="13">
        <v>2074.63</v>
      </c>
      <c r="H69" s="91">
        <f t="shared" si="7"/>
        <v>94.395665000000008</v>
      </c>
      <c r="I69" s="13">
        <f t="shared" si="8"/>
        <v>94395.665000000008</v>
      </c>
    </row>
    <row r="70" spans="1:21" ht="15.75" hidden="1" customHeight="1">
      <c r="A70" s="32"/>
      <c r="B70" s="92" t="s">
        <v>115</v>
      </c>
      <c r="C70" s="16" t="s">
        <v>33</v>
      </c>
      <c r="D70" s="14"/>
      <c r="E70" s="78">
        <v>58.5</v>
      </c>
      <c r="F70" s="13">
        <f>SUM(E70)</f>
        <v>58.5</v>
      </c>
      <c r="G70" s="13">
        <v>45.32</v>
      </c>
      <c r="H70" s="91">
        <f t="shared" si="7"/>
        <v>2.6512199999999999</v>
      </c>
      <c r="I70" s="13">
        <f t="shared" si="8"/>
        <v>2651.22</v>
      </c>
    </row>
    <row r="71" spans="1:21" ht="15.75" hidden="1" customHeight="1">
      <c r="A71" s="32"/>
      <c r="B71" s="92" t="s">
        <v>116</v>
      </c>
      <c r="C71" s="16" t="s">
        <v>33</v>
      </c>
      <c r="D71" s="14"/>
      <c r="E71" s="78">
        <v>58.5</v>
      </c>
      <c r="F71" s="13">
        <f>SUM(E71)</f>
        <v>58.5</v>
      </c>
      <c r="G71" s="13">
        <v>42.28</v>
      </c>
      <c r="H71" s="91">
        <f t="shared" si="7"/>
        <v>2.4733800000000001</v>
      </c>
      <c r="I71" s="13">
        <f t="shared" si="8"/>
        <v>2473.38</v>
      </c>
    </row>
    <row r="72" spans="1:21" ht="15.75" customHeight="1">
      <c r="A72" s="32">
        <v>22</v>
      </c>
      <c r="B72" s="14" t="s">
        <v>57</v>
      </c>
      <c r="C72" s="16" t="s">
        <v>58</v>
      </c>
      <c r="D72" s="14" t="s">
        <v>53</v>
      </c>
      <c r="E72" s="18">
        <v>5</v>
      </c>
      <c r="F72" s="79">
        <v>5</v>
      </c>
      <c r="G72" s="13">
        <v>49.88</v>
      </c>
      <c r="H72" s="91">
        <f t="shared" si="7"/>
        <v>0.24940000000000001</v>
      </c>
      <c r="I72" s="13">
        <f t="shared" si="8"/>
        <v>249.4</v>
      </c>
    </row>
    <row r="73" spans="1:21" ht="15.75" hidden="1" customHeight="1">
      <c r="A73" s="32"/>
      <c r="B73" s="64" t="s">
        <v>72</v>
      </c>
      <c r="C73" s="16"/>
      <c r="D73" s="14"/>
      <c r="E73" s="18"/>
      <c r="F73" s="13"/>
      <c r="G73" s="13"/>
      <c r="H73" s="91" t="s">
        <v>152</v>
      </c>
      <c r="I73" s="13"/>
    </row>
    <row r="74" spans="1:21" ht="15.75" hidden="1" customHeight="1">
      <c r="A74" s="32"/>
      <c r="B74" s="14" t="s">
        <v>73</v>
      </c>
      <c r="C74" s="16" t="s">
        <v>75</v>
      </c>
      <c r="D74" s="14"/>
      <c r="E74" s="18">
        <v>10</v>
      </c>
      <c r="F74" s="13">
        <v>1</v>
      </c>
      <c r="G74" s="13">
        <v>501.62</v>
      </c>
      <c r="H74" s="91">
        <f t="shared" si="7"/>
        <v>0.50161999999999995</v>
      </c>
      <c r="I74" s="13">
        <v>0</v>
      </c>
    </row>
    <row r="75" spans="1:21" ht="15.75" hidden="1" customHeight="1">
      <c r="A75" s="32"/>
      <c r="B75" s="14" t="s">
        <v>74</v>
      </c>
      <c r="C75" s="16" t="s">
        <v>31</v>
      </c>
      <c r="D75" s="14"/>
      <c r="E75" s="18">
        <v>3</v>
      </c>
      <c r="F75" s="71">
        <v>3</v>
      </c>
      <c r="G75" s="13">
        <v>852.99</v>
      </c>
      <c r="H75" s="91">
        <f>F75*G75/1000</f>
        <v>2.5589700000000004</v>
      </c>
      <c r="I75" s="13">
        <v>0</v>
      </c>
    </row>
    <row r="76" spans="1:21" ht="15.75" hidden="1" customHeight="1">
      <c r="A76" s="32"/>
      <c r="B76" s="14" t="s">
        <v>118</v>
      </c>
      <c r="C76" s="16" t="s">
        <v>31</v>
      </c>
      <c r="D76" s="14"/>
      <c r="E76" s="18">
        <v>1</v>
      </c>
      <c r="F76" s="13">
        <v>1</v>
      </c>
      <c r="G76" s="13">
        <v>358.51</v>
      </c>
      <c r="H76" s="91">
        <f>G76*F76/1000</f>
        <v>0.35851</v>
      </c>
      <c r="I76" s="13">
        <v>0</v>
      </c>
    </row>
    <row r="77" spans="1:21" ht="15.75" hidden="1" customHeight="1">
      <c r="A77" s="32"/>
      <c r="B77" s="94" t="s">
        <v>76</v>
      </c>
      <c r="C77" s="16"/>
      <c r="D77" s="14"/>
      <c r="E77" s="18"/>
      <c r="F77" s="13"/>
      <c r="G77" s="13" t="s">
        <v>152</v>
      </c>
      <c r="H77" s="91" t="s">
        <v>152</v>
      </c>
      <c r="I77" s="13"/>
    </row>
    <row r="78" spans="1:21" ht="15.75" hidden="1" customHeight="1">
      <c r="A78" s="32"/>
      <c r="B78" s="47" t="s">
        <v>170</v>
      </c>
      <c r="C78" s="16" t="s">
        <v>77</v>
      </c>
      <c r="D78" s="14"/>
      <c r="E78" s="18"/>
      <c r="F78" s="13">
        <v>1.2</v>
      </c>
      <c r="G78" s="13">
        <v>2759.44</v>
      </c>
      <c r="H78" s="91">
        <f t="shared" si="7"/>
        <v>3.311328</v>
      </c>
      <c r="I78" s="13">
        <v>0</v>
      </c>
    </row>
    <row r="79" spans="1:21" ht="15.75" hidden="1" customHeight="1">
      <c r="A79" s="32"/>
      <c r="B79" s="70" t="s">
        <v>96</v>
      </c>
      <c r="C79" s="70"/>
      <c r="D79" s="70"/>
      <c r="E79" s="70"/>
      <c r="F79" s="70"/>
      <c r="G79" s="82"/>
      <c r="H79" s="95">
        <f>SUM(H58:H78)</f>
        <v>197.73024405999999</v>
      </c>
      <c r="I79" s="82"/>
    </row>
    <row r="80" spans="1:21" ht="15.75" hidden="1" customHeight="1">
      <c r="A80" s="32"/>
      <c r="B80" s="102" t="s">
        <v>117</v>
      </c>
      <c r="C80" s="23"/>
      <c r="D80" s="22"/>
      <c r="E80" s="72"/>
      <c r="F80" s="103">
        <v>1</v>
      </c>
      <c r="G80" s="13">
        <v>23072.1</v>
      </c>
      <c r="H80" s="91">
        <f>G80*F80/1000</f>
        <v>23.072099999999999</v>
      </c>
      <c r="I80" s="13">
        <v>0</v>
      </c>
    </row>
    <row r="81" spans="1:9" ht="15.75" customHeight="1">
      <c r="A81" s="124" t="s">
        <v>150</v>
      </c>
      <c r="B81" s="125"/>
      <c r="C81" s="125"/>
      <c r="D81" s="125"/>
      <c r="E81" s="125"/>
      <c r="F81" s="125"/>
      <c r="G81" s="125"/>
      <c r="H81" s="125"/>
      <c r="I81" s="126"/>
    </row>
    <row r="82" spans="1:9" ht="15.75" customHeight="1">
      <c r="A82" s="32">
        <v>23</v>
      </c>
      <c r="B82" s="76" t="s">
        <v>119</v>
      </c>
      <c r="C82" s="16" t="s">
        <v>54</v>
      </c>
      <c r="D82" s="51" t="s">
        <v>55</v>
      </c>
      <c r="E82" s="13">
        <v>6980.3</v>
      </c>
      <c r="F82" s="13">
        <f>SUM(E82*12)</f>
        <v>83763.600000000006</v>
      </c>
      <c r="G82" s="13">
        <v>2.1</v>
      </c>
      <c r="H82" s="91">
        <f>SUM(F82*G82/1000)</f>
        <v>175.90356000000003</v>
      </c>
      <c r="I82" s="13">
        <f>F82/12*G82</f>
        <v>14658.630000000001</v>
      </c>
    </row>
    <row r="83" spans="1:9" ht="31.5" customHeight="1">
      <c r="A83" s="32">
        <v>24</v>
      </c>
      <c r="B83" s="14" t="s">
        <v>78</v>
      </c>
      <c r="C83" s="16"/>
      <c r="D83" s="51" t="s">
        <v>55</v>
      </c>
      <c r="E83" s="78">
        <f>E82</f>
        <v>6980.3</v>
      </c>
      <c r="F83" s="13">
        <f>E83*12</f>
        <v>83763.600000000006</v>
      </c>
      <c r="G83" s="13">
        <v>1.63</v>
      </c>
      <c r="H83" s="91">
        <f>F83*G83/1000</f>
        <v>136.53466800000001</v>
      </c>
      <c r="I83" s="13">
        <f>F83/12*G83</f>
        <v>11377.888999999999</v>
      </c>
    </row>
    <row r="84" spans="1:9" ht="15.75" customHeight="1">
      <c r="A84" s="32"/>
      <c r="B84" s="40" t="s">
        <v>81</v>
      </c>
      <c r="C84" s="94"/>
      <c r="D84" s="93"/>
      <c r="E84" s="82"/>
      <c r="F84" s="82"/>
      <c r="G84" s="82"/>
      <c r="H84" s="95">
        <f>H83</f>
        <v>136.53466800000001</v>
      </c>
      <c r="I84" s="82">
        <f>I16+I17+I18+I20+I21+I24+I25+I26+I27+I30+I31+I33+I34+I47+I48+I49+I50+I51+I54+I63+I65+I72+I82+I83</f>
        <v>108468.89551788884</v>
      </c>
    </row>
    <row r="85" spans="1:9" ht="15.75" customHeight="1">
      <c r="A85" s="135" t="s">
        <v>60</v>
      </c>
      <c r="B85" s="136"/>
      <c r="C85" s="136"/>
      <c r="D85" s="136"/>
      <c r="E85" s="136"/>
      <c r="F85" s="136"/>
      <c r="G85" s="136"/>
      <c r="H85" s="136"/>
      <c r="I85" s="137"/>
    </row>
    <row r="86" spans="1:9" ht="15.75" customHeight="1">
      <c r="A86" s="32">
        <v>25</v>
      </c>
      <c r="B86" s="50" t="s">
        <v>143</v>
      </c>
      <c r="C86" s="62" t="s">
        <v>85</v>
      </c>
      <c r="D86" s="14"/>
      <c r="E86" s="18"/>
      <c r="F86" s="13">
        <v>8</v>
      </c>
      <c r="G86" s="13">
        <v>195.85</v>
      </c>
      <c r="H86" s="91">
        <f>G86*F86/1000</f>
        <v>1.5668</v>
      </c>
      <c r="I86" s="13">
        <f>G86</f>
        <v>195.85</v>
      </c>
    </row>
    <row r="87" spans="1:9" ht="31.5" customHeight="1">
      <c r="A87" s="32">
        <v>26</v>
      </c>
      <c r="B87" s="50" t="s">
        <v>155</v>
      </c>
      <c r="C87" s="62" t="s">
        <v>156</v>
      </c>
      <c r="D87" s="14"/>
      <c r="E87" s="18"/>
      <c r="F87" s="13">
        <v>13</v>
      </c>
      <c r="G87" s="13">
        <v>589.54</v>
      </c>
      <c r="H87" s="91">
        <f t="shared" ref="H87:H88" si="9">G87*F87/1000</f>
        <v>7.6640199999999998</v>
      </c>
      <c r="I87" s="13">
        <f>G87*2</f>
        <v>1179.08</v>
      </c>
    </row>
    <row r="88" spans="1:9" ht="15.75" customHeight="1">
      <c r="A88" s="32">
        <v>27</v>
      </c>
      <c r="B88" s="50" t="s">
        <v>138</v>
      </c>
      <c r="C88" s="62" t="s">
        <v>111</v>
      </c>
      <c r="D88" s="14"/>
      <c r="E88" s="18"/>
      <c r="F88" s="13">
        <v>1080</v>
      </c>
      <c r="G88" s="13">
        <v>53.42</v>
      </c>
      <c r="H88" s="91">
        <f t="shared" si="9"/>
        <v>57.693599999999996</v>
      </c>
      <c r="I88" s="13">
        <f>G88*120</f>
        <v>6410.4000000000005</v>
      </c>
    </row>
    <row r="89" spans="1:9" ht="15.75" customHeight="1">
      <c r="A89" s="32">
        <v>28</v>
      </c>
      <c r="B89" s="98" t="s">
        <v>192</v>
      </c>
      <c r="C89" s="99" t="s">
        <v>142</v>
      </c>
      <c r="D89" s="47"/>
      <c r="E89" s="13"/>
      <c r="F89" s="13">
        <f>(3+4+15+15+15+5+20+20+15+10+15+15+7+6+15+3)/3</f>
        <v>61</v>
      </c>
      <c r="G89" s="13">
        <v>1120.8900000000001</v>
      </c>
      <c r="H89" s="91">
        <f>G89*F89/1000</f>
        <v>68.374290000000002</v>
      </c>
      <c r="I89" s="13">
        <f>G89</f>
        <v>1120.8900000000001</v>
      </c>
    </row>
    <row r="90" spans="1:9" ht="31.5" customHeight="1">
      <c r="A90" s="32">
        <v>29</v>
      </c>
      <c r="B90" s="61" t="s">
        <v>166</v>
      </c>
      <c r="C90" s="32" t="s">
        <v>82</v>
      </c>
      <c r="D90" s="14"/>
      <c r="E90" s="18"/>
      <c r="F90" s="13">
        <v>41.5</v>
      </c>
      <c r="G90" s="13">
        <v>1272</v>
      </c>
      <c r="H90" s="91">
        <f>G90*F90/1000</f>
        <v>52.787999999999997</v>
      </c>
      <c r="I90" s="13">
        <f>G90*2</f>
        <v>2544</v>
      </c>
    </row>
    <row r="91" spans="1:9" ht="15.75" customHeight="1">
      <c r="A91" s="32">
        <v>30</v>
      </c>
      <c r="B91" s="50" t="s">
        <v>83</v>
      </c>
      <c r="C91" s="62" t="s">
        <v>111</v>
      </c>
      <c r="D91" s="14"/>
      <c r="E91" s="18"/>
      <c r="F91" s="13">
        <v>11</v>
      </c>
      <c r="G91" s="13">
        <v>189.88</v>
      </c>
      <c r="H91" s="91">
        <f>G91*F91/1000</f>
        <v>2.0886799999999996</v>
      </c>
      <c r="I91" s="13">
        <f>G91</f>
        <v>189.88</v>
      </c>
    </row>
    <row r="92" spans="1:9" ht="15.75" customHeight="1">
      <c r="A92" s="32">
        <v>31</v>
      </c>
      <c r="B92" s="50" t="s">
        <v>248</v>
      </c>
      <c r="C92" s="62" t="s">
        <v>156</v>
      </c>
      <c r="D92" s="47"/>
      <c r="E92" s="13"/>
      <c r="F92" s="13">
        <v>1</v>
      </c>
      <c r="G92" s="13">
        <v>268.58999999999997</v>
      </c>
      <c r="H92" s="91">
        <f t="shared" ref="H92" si="10">G92*F92/1000</f>
        <v>0.26859</v>
      </c>
      <c r="I92" s="13">
        <f>G92</f>
        <v>268.58999999999997</v>
      </c>
    </row>
    <row r="93" spans="1:9" ht="31.5" customHeight="1">
      <c r="A93" s="32">
        <v>32</v>
      </c>
      <c r="B93" s="50" t="s">
        <v>157</v>
      </c>
      <c r="C93" s="62" t="s">
        <v>158</v>
      </c>
      <c r="D93" s="14"/>
      <c r="E93" s="18"/>
      <c r="F93" s="13">
        <v>1</v>
      </c>
      <c r="G93" s="13">
        <v>663.38</v>
      </c>
      <c r="H93" s="91">
        <f>G93*F93/1000</f>
        <v>0.66337999999999997</v>
      </c>
      <c r="I93" s="13">
        <f>G93</f>
        <v>663.38</v>
      </c>
    </row>
    <row r="94" spans="1:9" ht="15.75" customHeight="1">
      <c r="A94" s="32"/>
      <c r="B94" s="45" t="s">
        <v>51</v>
      </c>
      <c r="C94" s="41"/>
      <c r="D94" s="48"/>
      <c r="E94" s="41">
        <v>1</v>
      </c>
      <c r="F94" s="41"/>
      <c r="G94" s="41"/>
      <c r="H94" s="41"/>
      <c r="I94" s="34">
        <f>SUM(I86:I93)</f>
        <v>12572.069999999998</v>
      </c>
    </row>
    <row r="95" spans="1:9">
      <c r="A95" s="32"/>
      <c r="B95" s="47" t="s">
        <v>79</v>
      </c>
      <c r="C95" s="15"/>
      <c r="D95" s="15"/>
      <c r="E95" s="42"/>
      <c r="F95" s="42"/>
      <c r="G95" s="43"/>
      <c r="H95" s="43"/>
      <c r="I95" s="17">
        <v>0</v>
      </c>
    </row>
    <row r="96" spans="1:9">
      <c r="A96" s="49"/>
      <c r="B96" s="46" t="s">
        <v>189</v>
      </c>
      <c r="C96" s="35"/>
      <c r="D96" s="35"/>
      <c r="E96" s="35"/>
      <c r="F96" s="35"/>
      <c r="G96" s="35"/>
      <c r="H96" s="35"/>
      <c r="I96" s="44">
        <f>I84+I94</f>
        <v>121040.96551788884</v>
      </c>
    </row>
    <row r="97" spans="1:9" ht="15.75">
      <c r="A97" s="127" t="s">
        <v>251</v>
      </c>
      <c r="B97" s="127"/>
      <c r="C97" s="127"/>
      <c r="D97" s="127"/>
      <c r="E97" s="127"/>
      <c r="F97" s="127"/>
      <c r="G97" s="127"/>
      <c r="H97" s="127"/>
      <c r="I97" s="127"/>
    </row>
    <row r="98" spans="1:9" ht="15.75" customHeight="1">
      <c r="A98" s="60"/>
      <c r="B98" s="128" t="s">
        <v>249</v>
      </c>
      <c r="C98" s="128"/>
      <c r="D98" s="128"/>
      <c r="E98" s="128"/>
      <c r="F98" s="128"/>
      <c r="G98" s="128"/>
      <c r="H98" s="75"/>
      <c r="I98" s="3"/>
    </row>
    <row r="99" spans="1:9">
      <c r="A99" s="69"/>
      <c r="B99" s="129" t="s">
        <v>6</v>
      </c>
      <c r="C99" s="129"/>
      <c r="D99" s="129"/>
      <c r="E99" s="129"/>
      <c r="F99" s="129"/>
      <c r="G99" s="129"/>
      <c r="H99" s="27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30" t="s">
        <v>7</v>
      </c>
      <c r="B101" s="130"/>
      <c r="C101" s="130"/>
      <c r="D101" s="130"/>
      <c r="E101" s="130"/>
      <c r="F101" s="130"/>
      <c r="G101" s="130"/>
      <c r="H101" s="130"/>
      <c r="I101" s="130"/>
    </row>
    <row r="102" spans="1:9" ht="15.75">
      <c r="A102" s="130" t="s">
        <v>8</v>
      </c>
      <c r="B102" s="130"/>
      <c r="C102" s="130"/>
      <c r="D102" s="130"/>
      <c r="E102" s="130"/>
      <c r="F102" s="130"/>
      <c r="G102" s="130"/>
      <c r="H102" s="130"/>
      <c r="I102" s="130"/>
    </row>
    <row r="103" spans="1:9" ht="15.75">
      <c r="A103" s="131" t="s">
        <v>61</v>
      </c>
      <c r="B103" s="131"/>
      <c r="C103" s="131"/>
      <c r="D103" s="131"/>
      <c r="E103" s="131"/>
      <c r="F103" s="131"/>
      <c r="G103" s="131"/>
      <c r="H103" s="131"/>
      <c r="I103" s="131"/>
    </row>
    <row r="104" spans="1:9" ht="15.75">
      <c r="A104" s="11"/>
    </row>
    <row r="105" spans="1:9" ht="15.75">
      <c r="A105" s="132" t="s">
        <v>9</v>
      </c>
      <c r="B105" s="132"/>
      <c r="C105" s="132"/>
      <c r="D105" s="132"/>
      <c r="E105" s="132"/>
      <c r="F105" s="132"/>
      <c r="G105" s="132"/>
      <c r="H105" s="132"/>
      <c r="I105" s="132"/>
    </row>
    <row r="106" spans="1:9" ht="15.75" customHeight="1">
      <c r="A106" s="4"/>
    </row>
    <row r="107" spans="1:9" ht="15.75" customHeight="1">
      <c r="B107" s="66" t="s">
        <v>10</v>
      </c>
      <c r="C107" s="133" t="s">
        <v>144</v>
      </c>
      <c r="D107" s="133"/>
      <c r="E107" s="133"/>
      <c r="F107" s="73"/>
      <c r="I107" s="68"/>
    </row>
    <row r="108" spans="1:9" ht="15.75" customHeight="1">
      <c r="A108" s="69"/>
      <c r="C108" s="129" t="s">
        <v>11</v>
      </c>
      <c r="D108" s="129"/>
      <c r="E108" s="129"/>
      <c r="F108" s="27"/>
      <c r="I108" s="67" t="s">
        <v>12</v>
      </c>
    </row>
    <row r="109" spans="1:9" ht="15.75" customHeight="1">
      <c r="A109" s="28"/>
      <c r="C109" s="12"/>
      <c r="D109" s="12"/>
      <c r="G109" s="12"/>
      <c r="H109" s="12"/>
    </row>
    <row r="110" spans="1:9" ht="15.75">
      <c r="B110" s="66" t="s">
        <v>13</v>
      </c>
      <c r="C110" s="134"/>
      <c r="D110" s="134"/>
      <c r="E110" s="134"/>
      <c r="F110" s="74"/>
      <c r="I110" s="68"/>
    </row>
    <row r="111" spans="1:9">
      <c r="A111" s="69"/>
      <c r="C111" s="123" t="s">
        <v>11</v>
      </c>
      <c r="D111" s="123"/>
      <c r="E111" s="123"/>
      <c r="F111" s="69"/>
      <c r="I111" s="67" t="s">
        <v>12</v>
      </c>
    </row>
    <row r="112" spans="1:9" ht="15.75">
      <c r="A112" s="4" t="s">
        <v>14</v>
      </c>
    </row>
    <row r="113" spans="1:9">
      <c r="A113" s="121" t="s">
        <v>15</v>
      </c>
      <c r="B113" s="121"/>
      <c r="C113" s="121"/>
      <c r="D113" s="121"/>
      <c r="E113" s="121"/>
      <c r="F113" s="121"/>
      <c r="G113" s="121"/>
      <c r="H113" s="121"/>
      <c r="I113" s="121"/>
    </row>
    <row r="114" spans="1:9" ht="45" customHeight="1">
      <c r="A114" s="122" t="s">
        <v>16</v>
      </c>
      <c r="B114" s="122"/>
      <c r="C114" s="122"/>
      <c r="D114" s="122"/>
      <c r="E114" s="122"/>
      <c r="F114" s="122"/>
      <c r="G114" s="122"/>
      <c r="H114" s="122"/>
      <c r="I114" s="122"/>
    </row>
    <row r="115" spans="1:9" ht="30" customHeight="1">
      <c r="A115" s="122" t="s">
        <v>17</v>
      </c>
      <c r="B115" s="122"/>
      <c r="C115" s="122"/>
      <c r="D115" s="122"/>
      <c r="E115" s="122"/>
      <c r="F115" s="122"/>
      <c r="G115" s="122"/>
      <c r="H115" s="122"/>
      <c r="I115" s="122"/>
    </row>
    <row r="116" spans="1:9" ht="30" customHeight="1">
      <c r="A116" s="122" t="s">
        <v>21</v>
      </c>
      <c r="B116" s="122"/>
      <c r="C116" s="122"/>
      <c r="D116" s="122"/>
      <c r="E116" s="122"/>
      <c r="F116" s="122"/>
      <c r="G116" s="122"/>
      <c r="H116" s="122"/>
      <c r="I116" s="122"/>
    </row>
    <row r="117" spans="1:9" ht="15" customHeight="1">
      <c r="A117" s="122" t="s">
        <v>20</v>
      </c>
      <c r="B117" s="122"/>
      <c r="C117" s="122"/>
      <c r="D117" s="122"/>
      <c r="E117" s="122"/>
      <c r="F117" s="122"/>
      <c r="G117" s="122"/>
      <c r="H117" s="122"/>
      <c r="I117" s="122"/>
    </row>
  </sheetData>
  <autoFilter ref="I12:I60"/>
  <mergeCells count="29"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  <mergeCell ref="A103:I103"/>
    <mergeCell ref="A15:I15"/>
    <mergeCell ref="A28:I28"/>
    <mergeCell ref="A46:I46"/>
    <mergeCell ref="A56:I56"/>
    <mergeCell ref="A85:I85"/>
    <mergeCell ref="A97:I97"/>
    <mergeCell ref="B98:G98"/>
    <mergeCell ref="B99:G99"/>
    <mergeCell ref="A101:I101"/>
    <mergeCell ref="A102:I102"/>
    <mergeCell ref="R65:U65"/>
    <mergeCell ref="A81:I81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16</vt:i4>
      </vt:variant>
    </vt:vector>
  </HeadingPairs>
  <TitlesOfParts>
    <vt:vector size="28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'04.17'!Заголовки_для_печати</vt:lpstr>
      <vt:lpstr>'10.17'!Заголовки_для_печати</vt:lpstr>
      <vt:lpstr>'11.17'!Заголовки_для_печати</vt:lpstr>
      <vt:lpstr>'12.17'!Заголовки_для_печати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2017-12-20T07:09:21Z</cp:lastPrinted>
  <dcterms:created xsi:type="dcterms:W3CDTF">2016-03-25T08:33:47Z</dcterms:created>
  <dcterms:modified xsi:type="dcterms:W3CDTF">2018-12-13T08:20:20Z</dcterms:modified>
</cp:coreProperties>
</file>