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,49" sheetId="1" r:id="rId1"/>
  </sheets>
  <definedNames>
    <definedName name="_xlnm.Print_Area" localSheetId="0">'Окт.,49'!$A$1:$U$118</definedName>
  </definedNames>
  <calcPr calcId="124519"/>
</workbook>
</file>

<file path=xl/calcChain.xml><?xml version="1.0" encoding="utf-8"?>
<calcChain xmlns="http://schemas.openxmlformats.org/spreadsheetml/2006/main">
  <c r="N104" i="1"/>
  <c r="O59" l="1"/>
  <c r="P59"/>
  <c r="C116"/>
  <c r="C113"/>
  <c r="P85"/>
  <c r="U104"/>
  <c r="U74"/>
  <c r="U72"/>
  <c r="U69"/>
  <c r="U70"/>
  <c r="U60"/>
  <c r="U66"/>
  <c r="U57"/>
  <c r="U29"/>
  <c r="U30"/>
  <c r="O105" l="1"/>
  <c r="U105" s="1"/>
  <c r="H104"/>
  <c r="H105"/>
  <c r="O85"/>
  <c r="N59"/>
  <c r="M59"/>
  <c r="N85"/>
  <c r="N68"/>
  <c r="N103"/>
  <c r="U103" s="1"/>
  <c r="H103"/>
  <c r="M102" l="1"/>
  <c r="U102" s="1"/>
  <c r="H102"/>
  <c r="L51"/>
  <c r="U51" s="1"/>
  <c r="F97"/>
  <c r="M101"/>
  <c r="U101" s="1"/>
  <c r="H101"/>
  <c r="M100"/>
  <c r="U100" s="1"/>
  <c r="H100"/>
  <c r="M85"/>
  <c r="M68"/>
  <c r="U68" s="1"/>
  <c r="M99"/>
  <c r="U99" s="1"/>
  <c r="H99"/>
  <c r="M98"/>
  <c r="U98" s="1"/>
  <c r="H98"/>
  <c r="F96"/>
  <c r="M96"/>
  <c r="U96" s="1"/>
  <c r="M97"/>
  <c r="U97" s="1"/>
  <c r="M95"/>
  <c r="U95" s="1"/>
  <c r="M92"/>
  <c r="M94"/>
  <c r="U94" s="1"/>
  <c r="H94"/>
  <c r="H106" s="1"/>
  <c r="M93" l="1"/>
  <c r="U93" s="1"/>
  <c r="H93"/>
  <c r="I52"/>
  <c r="L91" l="1"/>
  <c r="U91" s="1"/>
  <c r="H91"/>
  <c r="L89"/>
  <c r="U89" s="1"/>
  <c r="L87" l="1"/>
  <c r="U87" s="1"/>
  <c r="H87"/>
  <c r="L88"/>
  <c r="U88" s="1"/>
  <c r="K85"/>
  <c r="L92"/>
  <c r="U92" s="1"/>
  <c r="L85"/>
  <c r="H97"/>
  <c r="L59"/>
  <c r="U59" s="1"/>
  <c r="L90"/>
  <c r="U90" s="1"/>
  <c r="H89"/>
  <c r="H90"/>
  <c r="I86"/>
  <c r="U86" s="1"/>
  <c r="H86"/>
  <c r="J85" l="1"/>
  <c r="I85"/>
  <c r="U85" s="1"/>
  <c r="U106" s="1"/>
  <c r="R74"/>
  <c r="H95" l="1"/>
  <c r="S40"/>
  <c r="T34"/>
  <c r="S34"/>
  <c r="Q66"/>
  <c r="P52"/>
  <c r="L52"/>
  <c r="F27"/>
  <c r="Q27" s="1"/>
  <c r="L40"/>
  <c r="L34"/>
  <c r="H88"/>
  <c r="K40"/>
  <c r="K34"/>
  <c r="H74"/>
  <c r="H92"/>
  <c r="J40"/>
  <c r="J34"/>
  <c r="I34"/>
  <c r="U34" s="1"/>
  <c r="I40"/>
  <c r="U40" l="1"/>
  <c r="U52"/>
  <c r="M27"/>
  <c r="P27"/>
  <c r="R27"/>
  <c r="N27"/>
  <c r="O27"/>
  <c r="H96"/>
  <c r="H85"/>
  <c r="F57"/>
  <c r="F44"/>
  <c r="M44" s="1"/>
  <c r="U44" s="1"/>
  <c r="F38"/>
  <c r="F35"/>
  <c r="F36"/>
  <c r="F16"/>
  <c r="F15"/>
  <c r="H70"/>
  <c r="F20"/>
  <c r="F47"/>
  <c r="M47" s="1"/>
  <c r="U47" s="1"/>
  <c r="U27" l="1"/>
  <c r="M20"/>
  <c r="U20" s="1"/>
  <c r="M16"/>
  <c r="U16" s="1"/>
  <c r="M15"/>
  <c r="U15" s="1"/>
  <c r="H47"/>
  <c r="R47"/>
  <c r="S36"/>
  <c r="L36"/>
  <c r="K36"/>
  <c r="J36"/>
  <c r="T36"/>
  <c r="I38"/>
  <c r="S38"/>
  <c r="L38"/>
  <c r="K38"/>
  <c r="J38"/>
  <c r="T38"/>
  <c r="S35"/>
  <c r="T35"/>
  <c r="L35"/>
  <c r="K35"/>
  <c r="J35"/>
  <c r="R44"/>
  <c r="H36"/>
  <c r="I36"/>
  <c r="U36" s="1"/>
  <c r="H35"/>
  <c r="I35"/>
  <c r="U35" s="1"/>
  <c r="U38" l="1"/>
  <c r="H69"/>
  <c r="F52"/>
  <c r="F14" l="1"/>
  <c r="M14" s="1"/>
  <c r="U14" s="1"/>
  <c r="F17"/>
  <c r="F18"/>
  <c r="F19"/>
  <c r="M18" l="1"/>
  <c r="U18" s="1"/>
  <c r="M19"/>
  <c r="U19" s="1"/>
  <c r="M17"/>
  <c r="U17" s="1"/>
  <c r="H57"/>
  <c r="H20"/>
  <c r="F109" l="1"/>
  <c r="H108"/>
  <c r="E77"/>
  <c r="H81" s="1"/>
  <c r="F75"/>
  <c r="H72"/>
  <c r="H68"/>
  <c r="H66"/>
  <c r="F65"/>
  <c r="F64"/>
  <c r="F63"/>
  <c r="F62"/>
  <c r="F61"/>
  <c r="H60"/>
  <c r="H59"/>
  <c r="F55"/>
  <c r="H52"/>
  <c r="H51"/>
  <c r="F50"/>
  <c r="L50" s="1"/>
  <c r="U50" s="1"/>
  <c r="F49"/>
  <c r="M49" s="1"/>
  <c r="U49" s="1"/>
  <c r="F48"/>
  <c r="F46"/>
  <c r="M46" s="1"/>
  <c r="U46" s="1"/>
  <c r="F45"/>
  <c r="M45" s="1"/>
  <c r="U45" s="1"/>
  <c r="H44"/>
  <c r="F43"/>
  <c r="M43" s="1"/>
  <c r="U43" s="1"/>
  <c r="H40"/>
  <c r="F39"/>
  <c r="H38"/>
  <c r="F37"/>
  <c r="H34"/>
  <c r="F31"/>
  <c r="H30"/>
  <c r="H29"/>
  <c r="F28"/>
  <c r="H27"/>
  <c r="F26"/>
  <c r="F25"/>
  <c r="F24"/>
  <c r="F21"/>
  <c r="M21" s="1"/>
  <c r="U21" s="1"/>
  <c r="H18"/>
  <c r="H17"/>
  <c r="H14"/>
  <c r="E13"/>
  <c r="F13" s="1"/>
  <c r="F12"/>
  <c r="F11"/>
  <c r="I13" l="1"/>
  <c r="S13"/>
  <c r="R13"/>
  <c r="P13"/>
  <c r="N13"/>
  <c r="T13"/>
  <c r="Q13"/>
  <c r="O13"/>
  <c r="M13"/>
  <c r="L13"/>
  <c r="K13"/>
  <c r="J13"/>
  <c r="H25"/>
  <c r="R25"/>
  <c r="P25"/>
  <c r="N25"/>
  <c r="Q25"/>
  <c r="O25"/>
  <c r="M25"/>
  <c r="I12"/>
  <c r="S12"/>
  <c r="Q12"/>
  <c r="O12"/>
  <c r="M12"/>
  <c r="L12"/>
  <c r="K12"/>
  <c r="J12"/>
  <c r="T12"/>
  <c r="R12"/>
  <c r="P12"/>
  <c r="N12"/>
  <c r="H24"/>
  <c r="P24"/>
  <c r="O24"/>
  <c r="M24"/>
  <c r="R24"/>
  <c r="Q24"/>
  <c r="N24"/>
  <c r="H26"/>
  <c r="M26"/>
  <c r="U26" s="1"/>
  <c r="I28"/>
  <c r="S28"/>
  <c r="R28"/>
  <c r="P28"/>
  <c r="N28"/>
  <c r="L28"/>
  <c r="K28"/>
  <c r="J28"/>
  <c r="T28"/>
  <c r="Q28"/>
  <c r="O28"/>
  <c r="M28"/>
  <c r="H46"/>
  <c r="R46"/>
  <c r="H49"/>
  <c r="T55"/>
  <c r="L55"/>
  <c r="J55"/>
  <c r="S55"/>
  <c r="K55"/>
  <c r="H62"/>
  <c r="M62"/>
  <c r="U62" s="1"/>
  <c r="H64"/>
  <c r="M64"/>
  <c r="U64" s="1"/>
  <c r="I11"/>
  <c r="S11"/>
  <c r="R11"/>
  <c r="P11"/>
  <c r="N11"/>
  <c r="T11"/>
  <c r="Q11"/>
  <c r="O11"/>
  <c r="M11"/>
  <c r="L11"/>
  <c r="K11"/>
  <c r="J11"/>
  <c r="H21"/>
  <c r="S31"/>
  <c r="Q31"/>
  <c r="O31"/>
  <c r="M31"/>
  <c r="T31"/>
  <c r="R31"/>
  <c r="P31"/>
  <c r="N31"/>
  <c r="L31"/>
  <c r="K31"/>
  <c r="J31"/>
  <c r="S37"/>
  <c r="T37"/>
  <c r="L37"/>
  <c r="K37"/>
  <c r="J37"/>
  <c r="S39"/>
  <c r="T39"/>
  <c r="L39"/>
  <c r="K39"/>
  <c r="J39"/>
  <c r="H43"/>
  <c r="R43"/>
  <c r="H45"/>
  <c r="R45"/>
  <c r="I48"/>
  <c r="T48"/>
  <c r="Q48"/>
  <c r="M48"/>
  <c r="J48"/>
  <c r="H50"/>
  <c r="H61"/>
  <c r="M61"/>
  <c r="U61" s="1"/>
  <c r="H63"/>
  <c r="M63"/>
  <c r="U63" s="1"/>
  <c r="H65"/>
  <c r="M65"/>
  <c r="U65" s="1"/>
  <c r="I75"/>
  <c r="T75"/>
  <c r="Q75"/>
  <c r="O75"/>
  <c r="M75"/>
  <c r="S75"/>
  <c r="R75"/>
  <c r="P75"/>
  <c r="N75"/>
  <c r="L75"/>
  <c r="K75"/>
  <c r="J75"/>
  <c r="H31"/>
  <c r="I31"/>
  <c r="U31" s="1"/>
  <c r="H55"/>
  <c r="H73" s="1"/>
  <c r="I55"/>
  <c r="U55" s="1"/>
  <c r="H37"/>
  <c r="I37"/>
  <c r="U37" s="1"/>
  <c r="H39"/>
  <c r="I39"/>
  <c r="U39" s="1"/>
  <c r="H75"/>
  <c r="H76" s="1"/>
  <c r="H28"/>
  <c r="H48"/>
  <c r="H53" s="1"/>
  <c r="H11"/>
  <c r="H12"/>
  <c r="H16"/>
  <c r="H13"/>
  <c r="H15"/>
  <c r="F77"/>
  <c r="H19"/>
  <c r="H41"/>
  <c r="U75" l="1"/>
  <c r="U48"/>
  <c r="U53" s="1"/>
  <c r="U11"/>
  <c r="U28"/>
  <c r="U24"/>
  <c r="U25"/>
  <c r="U13"/>
  <c r="U12"/>
  <c r="I77"/>
  <c r="T77"/>
  <c r="T109" s="1"/>
  <c r="R77"/>
  <c r="P77"/>
  <c r="N77"/>
  <c r="L77"/>
  <c r="L109" s="1"/>
  <c r="K77"/>
  <c r="J77"/>
  <c r="S77"/>
  <c r="Q77"/>
  <c r="Q109" s="1"/>
  <c r="O77"/>
  <c r="M77"/>
  <c r="M109" s="1"/>
  <c r="H32"/>
  <c r="U73"/>
  <c r="U76"/>
  <c r="K109"/>
  <c r="N109"/>
  <c r="R109"/>
  <c r="J109"/>
  <c r="O109"/>
  <c r="P109"/>
  <c r="S109"/>
  <c r="U41"/>
  <c r="H77"/>
  <c r="H78" s="1"/>
  <c r="H22"/>
  <c r="U77" l="1"/>
  <c r="U32"/>
  <c r="U22"/>
  <c r="U78"/>
  <c r="I109"/>
  <c r="H79"/>
  <c r="H82" s="1"/>
  <c r="G109" s="1"/>
  <c r="H109" s="1"/>
  <c r="U79" l="1"/>
  <c r="U109" s="1"/>
  <c r="C115"/>
  <c r="C114" l="1"/>
  <c r="C118"/>
</calcChain>
</file>

<file path=xl/sharedStrings.xml><?xml version="1.0" encoding="utf-8"?>
<sst xmlns="http://schemas.openxmlformats.org/spreadsheetml/2006/main" count="320" uniqueCount="236">
  <si>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</si>
  <si>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</si>
  <si>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</si>
  <si>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</si>
  <si>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</si>
  <si>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</si>
  <si>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</si>
  <si>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</si>
  <si>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</si>
  <si>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</si>
  <si>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</si>
  <si>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</si>
  <si>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</si>
  <si>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</si>
  <si>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</si>
  <si>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</si>
  <si>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</si>
  <si>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</si>
  <si>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</si>
  <si>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</si>
  <si>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</si>
  <si>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</si>
  <si>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</si>
  <si>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</si>
  <si>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</si>
  <si>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</si>
  <si>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</si>
  <si>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</si>
  <si>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</si>
  <si>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</si>
  <si>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</si>
  <si>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</si>
  <si>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</si>
  <si>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</si>
  <si>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</si>
  <si>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</si>
  <si>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</si>
  <si>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</si>
  <si>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</si>
  <si>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</si>
  <si>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</si>
  <si>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</si>
  <si>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</si>
  <si>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</si>
  <si>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</si>
  <si>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</si>
  <si>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</si>
  <si>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</si>
  <si>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</si>
  <si>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</si>
  <si>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</si>
  <si>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</si>
  <si>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</si>
  <si>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</si>
  <si>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</si>
  <si>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</si>
  <si>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</si>
  <si>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</si>
  <si>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</si>
  <si>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</si>
  <si>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</si>
  <si>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</si>
  <si>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</si>
  <si>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</si>
  <si>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</si>
  <si>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</si>
  <si>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</si>
  <si>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</si>
  <si>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</si>
  <si>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</si>
  <si>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</si>
  <si>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</si>
  <si>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</si>
  <si>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</si>
  <si>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</si>
  <si>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</si>
  <si>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</si>
  <si>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</si>
  <si>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</si>
  <si>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</si>
  <si>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</si>
  <si>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</si>
  <si>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</si>
  <si>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</si>
  <si>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</si>
  <si>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</si>
  <si>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</si>
  <si>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</si>
  <si>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</si>
  <si>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</si>
  <si>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</si>
  <si>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</si>
  <si>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</si>
  <si>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</si>
  <si>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</si>
  <si>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</si>
  <si>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</si>
  <si>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</si>
  <si>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</si>
  <si>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</si>
  <si>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</si>
  <si>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30 раз за сезон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</si>
  <si>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</si>
  <si>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</si>
  <si>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</si>
  <si>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</si>
  <si>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</si>
  <si>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</si>
  <si>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Замена ламп ДРЛ</t>
  </si>
  <si>
    <t>12 раз за сезон</t>
  </si>
  <si>
    <t>Сдвигание снега в дни снегопада (проезд)</t>
  </si>
  <si>
    <t>24 раз за сезон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</si>
  <si>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</si>
  <si>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</si>
  <si>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</si>
  <si>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</si>
  <si>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</si>
  <si>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</si>
  <si>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</si>
  <si>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</si>
  <si>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</si>
  <si>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</si>
  <si>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</si>
  <si>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</si>
  <si>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</si>
  <si>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Внеплановый осмотр электросетей, арматуры и электрооборудования на чердаках и подвалах</t>
  </si>
  <si>
    <t>Подключение и отключение сварочного аппарата</t>
  </si>
  <si>
    <t>1 шт</t>
  </si>
  <si>
    <t>1 м</t>
  </si>
  <si>
    <t>Стоимость (руб.)</t>
  </si>
  <si>
    <t>3 этажа, 3 подъезда</t>
  </si>
  <si>
    <t>договор</t>
  </si>
  <si>
    <t>ТО внутридомового газ.оборудования</t>
  </si>
  <si>
    <t>калькуляция</t>
  </si>
  <si>
    <t>Работа автовышки</t>
  </si>
  <si>
    <t>маш/час</t>
  </si>
  <si>
    <t>Баланс выполненных работ на 01.01.2016 г. ( -долг за предприятием, +долг за населением)</t>
  </si>
  <si>
    <t>место</t>
  </si>
  <si>
    <t>1шт.</t>
  </si>
  <si>
    <t>Внеплановый осмотр электросетей, арматуры и электрооборудования на лестничных клетках</t>
  </si>
  <si>
    <t>Смена крана (без материала)</t>
  </si>
  <si>
    <t>С учетом показателя инфляции (К=1,094)</t>
  </si>
  <si>
    <t>Устройство поручня в подъезде (III под.) из стальных труб диаметром до 25 мм</t>
  </si>
  <si>
    <t>100шт</t>
  </si>
  <si>
    <t>Внеплановый осмотр вводных электрических щитков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</si>
  <si>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</si>
  <si>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</si>
  <si>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Установка железной двери в распредку</t>
  </si>
  <si>
    <t>смета</t>
  </si>
  <si>
    <t>тыс.час.</t>
  </si>
  <si>
    <t>счёт</t>
  </si>
  <si>
    <r>
      <t>Металлмческие пластины размром 25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2мм (для устройства поручня  в подъезде)</t>
    </r>
  </si>
  <si>
    <t xml:space="preserve">Погрузка травы, ветвей </t>
  </si>
  <si>
    <t xml:space="preserve"> - Уборка газонов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</si>
  <si>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</si>
  <si>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</si>
  <si>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</si>
  <si>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</si>
  <si>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</si>
  <si>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</si>
  <si>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Ремонт и регулировка доводчика (со стоимостью доводчика)</t>
  </si>
  <si>
    <t>Смена выключателей</t>
  </si>
  <si>
    <t>Смена отдельных участков наружной проводки</t>
  </si>
  <si>
    <t>м</t>
  </si>
  <si>
    <t>Ремонт групповых щитков на лестничной клетке без ремонта автоматов</t>
  </si>
  <si>
    <t>Смена электросчетчика "Меркурий" 230</t>
  </si>
  <si>
    <t>Ремонт ограждений контейнерной площадки</t>
  </si>
  <si>
    <t>тыс.руб.</t>
  </si>
  <si>
    <t xml:space="preserve"> - Подметание территории с усовершенствованным покрытием асф.: крыльца, контейнерн. пл., проезд, тротуар</t>
  </si>
  <si>
    <t>Вывоз смета, травы, ветвей и т.п.- м/ч</t>
  </si>
  <si>
    <t>Осмотр шиферной кровли</t>
  </si>
  <si>
    <t>Устройство хомута диаметром до 50 мм</t>
  </si>
  <si>
    <t>Монтаж тепловычислителя</t>
  </si>
  <si>
    <t>Смена дверных приборов (замки навесные)</t>
  </si>
  <si>
    <t>Влажное подметание лестничных клеток 2-3 этажа</t>
  </si>
  <si>
    <t>Мытье лестничных  площадок и маршей 1-3 этаж.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</si>
  <si>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</si>
  <si>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</si>
  <si>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</si>
  <si>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</si>
  <si>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</si>
  <si>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</si>
  <si>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</si>
  <si>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</si>
  <si>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</si>
  <si>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</si>
  <si>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</si>
  <si>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</si>
  <si>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</si>
  <si>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</si>
  <si>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</si>
  <si>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</si>
  <si>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</si>
  <si>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</si>
  <si>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</si>
  <si>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</si>
  <si>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</si>
  <si>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</si>
  <si>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</si>
  <si>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</si>
  <si>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</si>
  <si>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</si>
  <si>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</si>
  <si>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</si>
  <si>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</si>
  <si>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</si>
  <si>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</si>
  <si>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</si>
  <si>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</si>
  <si>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</si>
  <si>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</si>
  <si>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</si>
  <si>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</si>
  <si>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</si>
  <si>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</si>
  <si>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</si>
  <si>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33-037</t>
  </si>
  <si>
    <t>пр.ТЕР 32-027</t>
  </si>
  <si>
    <t>ТЕР 2-2-1-2-7</t>
  </si>
  <si>
    <t>пр.ТЕР 32-086</t>
  </si>
  <si>
    <t>ТЕР 33-060</t>
  </si>
  <si>
    <t>ТЕР 33-025</t>
  </si>
  <si>
    <t>ТЕР 33-034</t>
  </si>
  <si>
    <t>ТЕР 33-030</t>
  </si>
  <si>
    <t>пр.ТЕР 33-027</t>
  </si>
  <si>
    <t>пр.ТЕР 32-098</t>
  </si>
  <si>
    <t>ТЕР 15-051</t>
  </si>
  <si>
    <t>Просроченная задолженность по Вашему дому по статье "Содержание и текущий ремонт МКД" на конец августа 2016 г., составляет:</t>
  </si>
  <si>
    <t>Баланс выполненных работ на 01.09.2016 г. ( -долг за предприятием, +долг за населением)</t>
  </si>
  <si>
    <t>Смена трубопроводов на полипропленовые трубы PN20 диаметром 25 мм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</si>
  <si>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49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январь-август 2016 год</t>
    </r>
  </si>
  <si>
    <t>Начислено за содержание и текущий ремонт за январь-август 2016 г.</t>
  </si>
  <si>
    <t>Выполнено работ по содержанию за январь-август 2016 г.</t>
  </si>
  <si>
    <t>Выполнено работ по текущему ремонту за январь-август 2016 г.</t>
  </si>
  <si>
    <t>Фактически оплачено за январь-август 2016 г.</t>
  </si>
  <si>
    <t>руб.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</si>
</sst>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13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5" borderId="19" xfId="0" applyFont="1" applyFill="1" applyBorder="1"/>
    <xf numFmtId="0" fontId="1" fillId="4" borderId="18" xfId="0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4" borderId="2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B122"/>
  <sheetViews>
    <sheetView tabSelected="1" view="pageBreakPreview" zoomScaleNormal="75" zoomScaleSheetLayoutView="100" workbookViewId="0">
      <pane ySplit="7" topLeftCell="A115" activePane="bottomLeft" state="frozen"/>
      <selection activeCell="B1" sqref="B1"/>
      <selection pane="bottomLeft" activeCell="B119" sqref="B119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6" width="9.85546875" customWidth="1"/>
    <col min="17" max="20" width="9.85546875" hidden="1" customWidth="1"/>
    <col min="21" max="21" width="12.28515625" customWidth="1"/>
  </cols>
  <sheetData>
    <row r="1" spans="1:21" ht="14.25" customHeight="1">
      <c r="A1" s="152"/>
    </row>
    <row r="3" spans="1:21" ht="18">
      <c r="A3" s="127"/>
      <c r="B3" s="157" t="s">
        <v>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67"/>
      <c r="N3" s="67"/>
      <c r="O3" s="67"/>
      <c r="P3" s="67"/>
      <c r="Q3" s="67"/>
      <c r="R3" s="67"/>
      <c r="S3" s="67"/>
      <c r="T3" s="67"/>
      <c r="U3" s="67"/>
    </row>
    <row r="4" spans="1:21" ht="34.5" customHeight="1">
      <c r="A4" s="67"/>
      <c r="B4" s="158" t="s">
        <v>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58" t="s">
        <v>230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67"/>
      <c r="N5" s="67"/>
      <c r="O5" s="67"/>
      <c r="P5" s="67"/>
      <c r="Q5" s="67"/>
      <c r="R5" s="67"/>
      <c r="S5" s="67"/>
      <c r="T5" s="67"/>
      <c r="U5" s="67"/>
    </row>
    <row r="6" spans="1:21" ht="15">
      <c r="A6" s="67"/>
      <c r="B6" s="159" t="s">
        <v>130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67"/>
      <c r="N6" s="67"/>
      <c r="O6" s="67"/>
      <c r="P6" s="67"/>
      <c r="Q6" s="67"/>
      <c r="R6" s="67"/>
      <c r="S6" s="67"/>
      <c r="T6" s="67"/>
      <c r="U6" s="67"/>
    </row>
    <row r="7" spans="1:21" ht="48.75" customHeight="1">
      <c r="A7" s="142" t="s">
        <v>2</v>
      </c>
      <c r="B7" s="143" t="s">
        <v>3</v>
      </c>
      <c r="C7" s="143" t="s">
        <v>4</v>
      </c>
      <c r="D7" s="143" t="s">
        <v>5</v>
      </c>
      <c r="E7" s="143" t="s">
        <v>6</v>
      </c>
      <c r="F7" s="143" t="s">
        <v>7</v>
      </c>
      <c r="G7" s="143" t="s">
        <v>8</v>
      </c>
      <c r="H7" s="144" t="s">
        <v>9</v>
      </c>
      <c r="I7" s="24" t="s">
        <v>112</v>
      </c>
      <c r="J7" s="24" t="s">
        <v>113</v>
      </c>
      <c r="K7" s="24" t="s">
        <v>114</v>
      </c>
      <c r="L7" s="24" t="s">
        <v>115</v>
      </c>
      <c r="M7" s="24" t="s">
        <v>116</v>
      </c>
      <c r="N7" s="24" t="s">
        <v>117</v>
      </c>
      <c r="O7" s="24" t="s">
        <v>118</v>
      </c>
      <c r="P7" s="24" t="s">
        <v>119</v>
      </c>
      <c r="Q7" s="24" t="s">
        <v>120</v>
      </c>
      <c r="R7" s="24" t="s">
        <v>121</v>
      </c>
      <c r="S7" s="24" t="s">
        <v>122</v>
      </c>
      <c r="T7" s="24" t="s">
        <v>123</v>
      </c>
      <c r="U7" s="24" t="s">
        <v>129</v>
      </c>
    </row>
    <row r="8" spans="1:21">
      <c r="A8" s="145">
        <v>1</v>
      </c>
      <c r="B8" s="7">
        <v>2</v>
      </c>
      <c r="C8" s="25">
        <v>3</v>
      </c>
      <c r="D8" s="7">
        <v>4</v>
      </c>
      <c r="E8" s="7">
        <v>5</v>
      </c>
      <c r="F8" s="25">
        <v>6</v>
      </c>
      <c r="G8" s="25">
        <v>7</v>
      </c>
      <c r="H8" s="26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17</v>
      </c>
    </row>
    <row r="9" spans="1:21" ht="38.25">
      <c r="A9" s="145"/>
      <c r="B9" s="9" t="s">
        <v>10</v>
      </c>
      <c r="C9" s="25"/>
      <c r="D9" s="10"/>
      <c r="E9" s="10"/>
      <c r="F9" s="25"/>
      <c r="G9" s="25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45"/>
      <c r="B10" s="9" t="s">
        <v>11</v>
      </c>
      <c r="C10" s="25"/>
      <c r="D10" s="10"/>
      <c r="E10" s="10"/>
      <c r="F10" s="25"/>
      <c r="G10" s="25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45" t="s">
        <v>176</v>
      </c>
      <c r="B11" s="10" t="s">
        <v>12</v>
      </c>
      <c r="C11" s="25" t="s">
        <v>13</v>
      </c>
      <c r="D11" s="10" t="s">
        <v>14</v>
      </c>
      <c r="E11" s="32">
        <v>54.9</v>
      </c>
      <c r="F11" s="33">
        <f>SUM(E11*156/100)</f>
        <v>85.643999999999991</v>
      </c>
      <c r="G11" s="33">
        <v>187.48</v>
      </c>
      <c r="H11" s="34">
        <f t="shared" ref="H11:H21" si="0">SUM(F11*G11/1000)</f>
        <v>16.056537119999998</v>
      </c>
      <c r="I11" s="35">
        <f>F11/12*G11</f>
        <v>1338.0447599999998</v>
      </c>
      <c r="J11" s="35">
        <f>F11/12*G11</f>
        <v>1338.0447599999998</v>
      </c>
      <c r="K11" s="35">
        <f>F11/12*G11</f>
        <v>1338.0447599999998</v>
      </c>
      <c r="L11" s="35">
        <f>F11/12*G11</f>
        <v>1338.0447599999998</v>
      </c>
      <c r="M11" s="35">
        <f>F11/12*G11</f>
        <v>1338.0447599999998</v>
      </c>
      <c r="N11" s="35">
        <f>F11/12*G11</f>
        <v>1338.0447599999998</v>
      </c>
      <c r="O11" s="35">
        <f>F11/12*G11</f>
        <v>1338.0447599999998</v>
      </c>
      <c r="P11" s="35">
        <f>F11/12*G11</f>
        <v>1338.0447599999998</v>
      </c>
      <c r="Q11" s="35">
        <f>F11/12*G11</f>
        <v>1338.0447599999998</v>
      </c>
      <c r="R11" s="35">
        <f>F11/12*G11</f>
        <v>1338.0447599999998</v>
      </c>
      <c r="S11" s="35">
        <f>F11/12*G11</f>
        <v>1338.0447599999998</v>
      </c>
      <c r="T11" s="35">
        <f>F11/12*G11</f>
        <v>1338.0447599999998</v>
      </c>
      <c r="U11" s="35">
        <f>SUM(I11:P11)</f>
        <v>10704.358079999998</v>
      </c>
    </row>
    <row r="12" spans="1:21" ht="25.5">
      <c r="A12" s="145" t="s">
        <v>176</v>
      </c>
      <c r="B12" s="10" t="s">
        <v>174</v>
      </c>
      <c r="C12" s="25" t="s">
        <v>13</v>
      </c>
      <c r="D12" s="10" t="s">
        <v>15</v>
      </c>
      <c r="E12" s="32">
        <v>109.8</v>
      </c>
      <c r="F12" s="33">
        <f>SUM(E12*104/100)</f>
        <v>114.19199999999999</v>
      </c>
      <c r="G12" s="33">
        <v>187.48</v>
      </c>
      <c r="H12" s="34">
        <f t="shared" si="0"/>
        <v>21.408716159999997</v>
      </c>
      <c r="I12" s="35">
        <f>F12/12*G12</f>
        <v>1784.0596799999998</v>
      </c>
      <c r="J12" s="35">
        <f>F12/12*G12</f>
        <v>1784.0596799999998</v>
      </c>
      <c r="K12" s="35">
        <f>F12/12*G12</f>
        <v>1784.0596799999998</v>
      </c>
      <c r="L12" s="35">
        <f>F12/12*G12</f>
        <v>1784.0596799999998</v>
      </c>
      <c r="M12" s="35">
        <f>F12/12*G12</f>
        <v>1784.0596799999998</v>
      </c>
      <c r="N12" s="35">
        <f>F12/12*G12</f>
        <v>1784.0596799999998</v>
      </c>
      <c r="O12" s="35">
        <f>F12/12*G12</f>
        <v>1784.0596799999998</v>
      </c>
      <c r="P12" s="35">
        <f>F12/12*G12</f>
        <v>1784.0596799999998</v>
      </c>
      <c r="Q12" s="35">
        <f>F12/12*G12</f>
        <v>1784.0596799999998</v>
      </c>
      <c r="R12" s="35">
        <f>F12/12*G12</f>
        <v>1784.0596799999998</v>
      </c>
      <c r="S12" s="35">
        <f>F12/12*G12</f>
        <v>1784.0596799999998</v>
      </c>
      <c r="T12" s="35">
        <f>F12/12*G12</f>
        <v>1784.0596799999998</v>
      </c>
      <c r="U12" s="35">
        <f t="shared" ref="U12:U21" si="1">SUM(I12:P12)</f>
        <v>14272.477440000001</v>
      </c>
    </row>
    <row r="13" spans="1:21" ht="25.5">
      <c r="A13" s="145" t="s">
        <v>177</v>
      </c>
      <c r="B13" s="10" t="s">
        <v>175</v>
      </c>
      <c r="C13" s="25" t="s">
        <v>13</v>
      </c>
      <c r="D13" s="10" t="s">
        <v>16</v>
      </c>
      <c r="E13" s="32">
        <f>SUM(E11+E12)</f>
        <v>164.7</v>
      </c>
      <c r="F13" s="33">
        <f>SUM(E13*24/100)</f>
        <v>39.527999999999999</v>
      </c>
      <c r="G13" s="33">
        <v>539.30999999999995</v>
      </c>
      <c r="H13" s="34">
        <f t="shared" si="0"/>
        <v>21.317845679999998</v>
      </c>
      <c r="I13" s="35">
        <f>F13/12*G13</f>
        <v>1776.48714</v>
      </c>
      <c r="J13" s="35">
        <f>F13/12*G13</f>
        <v>1776.48714</v>
      </c>
      <c r="K13" s="35">
        <f>F13/12*G13</f>
        <v>1776.48714</v>
      </c>
      <c r="L13" s="35">
        <f>F13/12*G13</f>
        <v>1776.48714</v>
      </c>
      <c r="M13" s="35">
        <f>F13/12*G13</f>
        <v>1776.48714</v>
      </c>
      <c r="N13" s="35">
        <f>F13/12*G13</f>
        <v>1776.48714</v>
      </c>
      <c r="O13" s="35">
        <f>F13/12*G13</f>
        <v>1776.48714</v>
      </c>
      <c r="P13" s="35">
        <f>F13/12*G13</f>
        <v>1776.48714</v>
      </c>
      <c r="Q13" s="35">
        <f>F13/12*G13</f>
        <v>1776.48714</v>
      </c>
      <c r="R13" s="35">
        <f>F13/12*G13</f>
        <v>1776.48714</v>
      </c>
      <c r="S13" s="35">
        <f>F13/12*G13</f>
        <v>1776.48714</v>
      </c>
      <c r="T13" s="35">
        <f>F13/12*G13</f>
        <v>1776.48714</v>
      </c>
      <c r="U13" s="35">
        <f t="shared" si="1"/>
        <v>14211.897119999998</v>
      </c>
    </row>
    <row r="14" spans="1:21">
      <c r="A14" s="145" t="s">
        <v>178</v>
      </c>
      <c r="B14" s="10" t="s">
        <v>17</v>
      </c>
      <c r="C14" s="25" t="s">
        <v>18</v>
      </c>
      <c r="D14" s="10" t="s">
        <v>96</v>
      </c>
      <c r="E14" s="32">
        <v>21.6</v>
      </c>
      <c r="F14" s="33">
        <f>SUM(E14/10)</f>
        <v>2.16</v>
      </c>
      <c r="G14" s="33">
        <v>181.91</v>
      </c>
      <c r="H14" s="34">
        <f t="shared" si="0"/>
        <v>0.39292560000000004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196.46280000000002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196.46280000000002</v>
      </c>
    </row>
    <row r="15" spans="1:21">
      <c r="A15" s="145" t="s">
        <v>179</v>
      </c>
      <c r="B15" s="10" t="s">
        <v>19</v>
      </c>
      <c r="C15" s="25" t="s">
        <v>13</v>
      </c>
      <c r="D15" s="10" t="s">
        <v>50</v>
      </c>
      <c r="E15" s="32">
        <v>9.18</v>
      </c>
      <c r="F15" s="33">
        <f>SUM(E15*2/100)</f>
        <v>0.18359999999999999</v>
      </c>
      <c r="G15" s="33">
        <v>232.92</v>
      </c>
      <c r="H15" s="34">
        <f t="shared" si="0"/>
        <v>4.2764112E-2</v>
      </c>
      <c r="I15" s="35">
        <v>0</v>
      </c>
      <c r="J15" s="35">
        <v>0</v>
      </c>
      <c r="K15" s="35">
        <v>0</v>
      </c>
      <c r="L15" s="35">
        <v>0</v>
      </c>
      <c r="M15" s="35">
        <f>F15/2*G15</f>
        <v>21.382055999999999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f t="shared" si="1"/>
        <v>21.382055999999999</v>
      </c>
    </row>
    <row r="16" spans="1:21">
      <c r="A16" s="145" t="s">
        <v>180</v>
      </c>
      <c r="B16" s="10" t="s">
        <v>20</v>
      </c>
      <c r="C16" s="25" t="s">
        <v>13</v>
      </c>
      <c r="D16" s="10" t="s">
        <v>50</v>
      </c>
      <c r="E16" s="32">
        <v>8.1</v>
      </c>
      <c r="F16" s="33">
        <f>SUM(E16*2/100)</f>
        <v>0.16200000000000001</v>
      </c>
      <c r="G16" s="33">
        <v>231.03</v>
      </c>
      <c r="H16" s="34">
        <f t="shared" si="0"/>
        <v>3.7426860000000006E-2</v>
      </c>
      <c r="I16" s="35">
        <v>0</v>
      </c>
      <c r="J16" s="35">
        <v>0</v>
      </c>
      <c r="K16" s="35">
        <v>0</v>
      </c>
      <c r="L16" s="35">
        <v>0</v>
      </c>
      <c r="M16" s="35">
        <f>F16/2*G16</f>
        <v>18.713430000000002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f t="shared" si="1"/>
        <v>18.713430000000002</v>
      </c>
    </row>
    <row r="17" spans="1:21">
      <c r="A17" s="145" t="s">
        <v>181</v>
      </c>
      <c r="B17" s="10" t="s">
        <v>21</v>
      </c>
      <c r="C17" s="25" t="s">
        <v>22</v>
      </c>
      <c r="D17" s="10" t="s">
        <v>96</v>
      </c>
      <c r="E17" s="32">
        <v>220.32</v>
      </c>
      <c r="F17" s="33">
        <f>SUM(E17/100)</f>
        <v>2.2031999999999998</v>
      </c>
      <c r="G17" s="33">
        <v>287.83999999999997</v>
      </c>
      <c r="H17" s="34">
        <f t="shared" si="0"/>
        <v>0.63416908799999983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634.16908799999987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634.16908799999987</v>
      </c>
    </row>
    <row r="18" spans="1:21">
      <c r="A18" s="145" t="s">
        <v>182</v>
      </c>
      <c r="B18" s="10" t="s">
        <v>23</v>
      </c>
      <c r="C18" s="25" t="s">
        <v>22</v>
      </c>
      <c r="D18" s="10" t="s">
        <v>96</v>
      </c>
      <c r="E18" s="37">
        <v>17.64</v>
      </c>
      <c r="F18" s="33">
        <f>SUM(E18/100)</f>
        <v>0.1764</v>
      </c>
      <c r="G18" s="33">
        <v>47.34</v>
      </c>
      <c r="H18" s="34">
        <f t="shared" si="0"/>
        <v>8.3507760000000007E-3</v>
      </c>
      <c r="I18" s="35">
        <v>0</v>
      </c>
      <c r="J18" s="35">
        <v>0</v>
      </c>
      <c r="K18" s="35">
        <v>0</v>
      </c>
      <c r="L18" s="35">
        <v>0</v>
      </c>
      <c r="M18" s="35">
        <f t="shared" ref="M18:M21" si="2">F18*G18</f>
        <v>8.3507760000000015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8.3507760000000015</v>
      </c>
    </row>
    <row r="19" spans="1:21">
      <c r="A19" s="145" t="s">
        <v>183</v>
      </c>
      <c r="B19" s="10" t="s">
        <v>24</v>
      </c>
      <c r="C19" s="25" t="s">
        <v>22</v>
      </c>
      <c r="D19" s="10" t="s">
        <v>97</v>
      </c>
      <c r="E19" s="32">
        <v>7.2</v>
      </c>
      <c r="F19" s="33">
        <f>E19/100</f>
        <v>7.2000000000000008E-2</v>
      </c>
      <c r="G19" s="33">
        <v>416.62</v>
      </c>
      <c r="H19" s="34">
        <f t="shared" si="0"/>
        <v>2.9996640000000001E-2</v>
      </c>
      <c r="I19" s="35">
        <v>0</v>
      </c>
      <c r="J19" s="35">
        <v>0</v>
      </c>
      <c r="K19" s="35">
        <v>0</v>
      </c>
      <c r="L19" s="35">
        <v>0</v>
      </c>
      <c r="M19" s="35">
        <f t="shared" si="2"/>
        <v>29.996640000000003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"/>
        <v>29.996640000000003</v>
      </c>
    </row>
    <row r="20" spans="1:21" ht="25.5">
      <c r="A20" s="145" t="s">
        <v>184</v>
      </c>
      <c r="B20" s="10" t="s">
        <v>98</v>
      </c>
      <c r="C20" s="25" t="s">
        <v>22</v>
      </c>
      <c r="D20" s="10" t="s">
        <v>32</v>
      </c>
      <c r="E20" s="32">
        <v>9.4499999999999993</v>
      </c>
      <c r="F20" s="33">
        <f>E20/100</f>
        <v>9.4499999999999987E-2</v>
      </c>
      <c r="G20" s="33">
        <v>231.03</v>
      </c>
      <c r="H20" s="34">
        <f>G20*F20/1000</f>
        <v>2.1832334999999998E-2</v>
      </c>
      <c r="I20" s="35">
        <v>0</v>
      </c>
      <c r="J20" s="35">
        <v>0</v>
      </c>
      <c r="K20" s="35">
        <v>0</v>
      </c>
      <c r="L20" s="35">
        <v>0</v>
      </c>
      <c r="M20" s="35">
        <f t="shared" si="2"/>
        <v>21.832334999999997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1"/>
        <v>21.832334999999997</v>
      </c>
    </row>
    <row r="21" spans="1:21">
      <c r="A21" s="145" t="s">
        <v>185</v>
      </c>
      <c r="B21" s="10" t="s">
        <v>25</v>
      </c>
      <c r="C21" s="25" t="s">
        <v>22</v>
      </c>
      <c r="D21" s="10" t="s">
        <v>96</v>
      </c>
      <c r="E21" s="32">
        <v>10.8</v>
      </c>
      <c r="F21" s="33">
        <f>SUM(E21/100)</f>
        <v>0.10800000000000001</v>
      </c>
      <c r="G21" s="33">
        <v>556.74</v>
      </c>
      <c r="H21" s="34">
        <f t="shared" si="0"/>
        <v>6.0127920000000008E-2</v>
      </c>
      <c r="I21" s="35">
        <v>0</v>
      </c>
      <c r="J21" s="35">
        <v>0</v>
      </c>
      <c r="K21" s="35">
        <v>0</v>
      </c>
      <c r="L21" s="35">
        <v>0</v>
      </c>
      <c r="M21" s="35">
        <f t="shared" si="2"/>
        <v>60.12792000000001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f t="shared" si="1"/>
        <v>60.12792000000001</v>
      </c>
    </row>
    <row r="22" spans="1:21" s="19" customFormat="1">
      <c r="A22" s="146"/>
      <c r="B22" s="20" t="s">
        <v>26</v>
      </c>
      <c r="C22" s="38"/>
      <c r="D22" s="20"/>
      <c r="E22" s="39"/>
      <c r="F22" s="40"/>
      <c r="G22" s="40"/>
      <c r="H22" s="41">
        <f>SUM(H11:H21)</f>
        <v>60.010692290999991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f>SUM(U11:U21)</f>
        <v>40179.767685000006</v>
      </c>
    </row>
    <row r="23" spans="1:21">
      <c r="A23" s="145"/>
      <c r="B23" s="12" t="s">
        <v>27</v>
      </c>
      <c r="C23" s="25"/>
      <c r="D23" s="10"/>
      <c r="E23" s="32"/>
      <c r="F23" s="33"/>
      <c r="G23" s="3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25.5" customHeight="1">
      <c r="A24" s="145" t="s">
        <v>186</v>
      </c>
      <c r="B24" s="10" t="s">
        <v>153</v>
      </c>
      <c r="C24" s="25" t="s">
        <v>29</v>
      </c>
      <c r="D24" s="10" t="s">
        <v>28</v>
      </c>
      <c r="E24" s="33">
        <v>565.4</v>
      </c>
      <c r="F24" s="33">
        <f>SUM(E24*52/1000)</f>
        <v>29.4008</v>
      </c>
      <c r="G24" s="33">
        <v>166.65</v>
      </c>
      <c r="H24" s="34">
        <f t="shared" ref="H24:H31" si="3">SUM(F24*G24/1000)</f>
        <v>4.89964332</v>
      </c>
      <c r="I24" s="35">
        <v>0</v>
      </c>
      <c r="J24" s="35">
        <v>0</v>
      </c>
      <c r="K24" s="35">
        <v>0</v>
      </c>
      <c r="L24" s="35">
        <v>0</v>
      </c>
      <c r="M24" s="35">
        <f>F24/6*G24</f>
        <v>816.6072200000001</v>
      </c>
      <c r="N24" s="35">
        <f>F24/6*G24</f>
        <v>816.6072200000001</v>
      </c>
      <c r="O24" s="35">
        <f>F24/6*G24</f>
        <v>816.6072200000001</v>
      </c>
      <c r="P24" s="35">
        <f>F24/6*G24</f>
        <v>816.6072200000001</v>
      </c>
      <c r="Q24" s="35">
        <f>F24/6*G24</f>
        <v>816.6072200000001</v>
      </c>
      <c r="R24" s="35">
        <f>F24/6*G24</f>
        <v>816.6072200000001</v>
      </c>
      <c r="S24" s="35">
        <v>0</v>
      </c>
      <c r="T24" s="35">
        <v>0</v>
      </c>
      <c r="U24" s="35">
        <f>SUM(I24:P24)</f>
        <v>3266.4288800000004</v>
      </c>
    </row>
    <row r="25" spans="1:21" ht="38.25" customHeight="1">
      <c r="A25" s="145" t="s">
        <v>187</v>
      </c>
      <c r="B25" s="10" t="s">
        <v>168</v>
      </c>
      <c r="C25" s="25" t="s">
        <v>29</v>
      </c>
      <c r="D25" s="10" t="s">
        <v>30</v>
      </c>
      <c r="E25" s="33">
        <v>71.91</v>
      </c>
      <c r="F25" s="33">
        <f>SUM(E25*78/1000)</f>
        <v>5.6089799999999999</v>
      </c>
      <c r="G25" s="33">
        <v>276.48</v>
      </c>
      <c r="H25" s="34">
        <f t="shared" si="3"/>
        <v>1.5507707904000001</v>
      </c>
      <c r="I25" s="35">
        <v>0</v>
      </c>
      <c r="J25" s="35">
        <v>0</v>
      </c>
      <c r="K25" s="35">
        <v>0</v>
      </c>
      <c r="L25" s="35">
        <v>0</v>
      </c>
      <c r="M25" s="35">
        <f>F25/6*G25</f>
        <v>258.46179840000002</v>
      </c>
      <c r="N25" s="35">
        <f>F25/6*G25</f>
        <v>258.46179840000002</v>
      </c>
      <c r="O25" s="35">
        <f>F25/6*G25</f>
        <v>258.46179840000002</v>
      </c>
      <c r="P25" s="35">
        <f>F25/6*G25</f>
        <v>258.46179840000002</v>
      </c>
      <c r="Q25" s="35">
        <f>F25/6*G25</f>
        <v>258.46179840000002</v>
      </c>
      <c r="R25" s="35">
        <f>F25/6*G25</f>
        <v>258.46179840000002</v>
      </c>
      <c r="S25" s="35">
        <v>0</v>
      </c>
      <c r="T25" s="35">
        <v>0</v>
      </c>
      <c r="U25" s="35">
        <f t="shared" ref="U25:U31" si="4">SUM(I25:P25)</f>
        <v>1033.8471936000001</v>
      </c>
    </row>
    <row r="26" spans="1:21">
      <c r="A26" s="145" t="s">
        <v>188</v>
      </c>
      <c r="B26" s="10" t="s">
        <v>31</v>
      </c>
      <c r="C26" s="25" t="s">
        <v>29</v>
      </c>
      <c r="D26" s="10" t="s">
        <v>32</v>
      </c>
      <c r="E26" s="33">
        <v>565.4</v>
      </c>
      <c r="F26" s="33">
        <f>SUM(E26/1000)</f>
        <v>0.56540000000000001</v>
      </c>
      <c r="G26" s="33">
        <v>3228.73</v>
      </c>
      <c r="H26" s="34">
        <f t="shared" si="3"/>
        <v>1.825523942</v>
      </c>
      <c r="I26" s="35">
        <v>0</v>
      </c>
      <c r="J26" s="35">
        <v>0</v>
      </c>
      <c r="K26" s="35">
        <v>0</v>
      </c>
      <c r="L26" s="35">
        <v>0</v>
      </c>
      <c r="M26" s="35">
        <f>F26*G26</f>
        <v>1825.523942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4"/>
        <v>1825.523942</v>
      </c>
    </row>
    <row r="27" spans="1:21">
      <c r="A27" s="145" t="s">
        <v>189</v>
      </c>
      <c r="B27" s="10" t="s">
        <v>33</v>
      </c>
      <c r="C27" s="25" t="s">
        <v>34</v>
      </c>
      <c r="D27" s="10" t="s">
        <v>35</v>
      </c>
      <c r="E27" s="44">
        <v>0.33333333333333331</v>
      </c>
      <c r="F27" s="33">
        <f>155/3</f>
        <v>51.666666666666664</v>
      </c>
      <c r="G27" s="33">
        <v>60.6</v>
      </c>
      <c r="H27" s="34">
        <f>SUM(G27*155/3/1000)</f>
        <v>3.1309999999999998</v>
      </c>
      <c r="I27" s="35">
        <v>0</v>
      </c>
      <c r="J27" s="35">
        <v>0</v>
      </c>
      <c r="K27" s="35">
        <v>0</v>
      </c>
      <c r="L27" s="35">
        <v>0</v>
      </c>
      <c r="M27" s="35">
        <f>F27/6*G27</f>
        <v>521.83333333333337</v>
      </c>
      <c r="N27" s="35">
        <f>F27/6*G27</f>
        <v>521.83333333333337</v>
      </c>
      <c r="O27" s="35">
        <f>F27/6*G27</f>
        <v>521.83333333333337</v>
      </c>
      <c r="P27" s="35">
        <f>F27/6*G27</f>
        <v>521.83333333333337</v>
      </c>
      <c r="Q27" s="35">
        <f>F27/6*G27</f>
        <v>521.83333333333337</v>
      </c>
      <c r="R27" s="35">
        <f>F27/6*G27</f>
        <v>521.83333333333337</v>
      </c>
      <c r="S27" s="35">
        <v>0</v>
      </c>
      <c r="T27" s="35">
        <v>0</v>
      </c>
      <c r="U27" s="35">
        <f t="shared" si="4"/>
        <v>2087.3333333333335</v>
      </c>
    </row>
    <row r="28" spans="1:21" ht="12.75" customHeight="1">
      <c r="A28" s="145" t="s">
        <v>190</v>
      </c>
      <c r="B28" s="10" t="s">
        <v>36</v>
      </c>
      <c r="C28" s="25" t="s">
        <v>37</v>
      </c>
      <c r="D28" s="10" t="s">
        <v>38</v>
      </c>
      <c r="E28" s="45">
        <v>0.1</v>
      </c>
      <c r="F28" s="33">
        <f>SUM(E28*365)</f>
        <v>36.5</v>
      </c>
      <c r="G28" s="33">
        <v>157.18</v>
      </c>
      <c r="H28" s="34">
        <f t="shared" si="3"/>
        <v>5.737070000000001</v>
      </c>
      <c r="I28" s="35">
        <f>F28/12*G28</f>
        <v>478.08916666666664</v>
      </c>
      <c r="J28" s="35">
        <f>F28/12*G28</f>
        <v>478.08916666666664</v>
      </c>
      <c r="K28" s="35">
        <f>F28/12*G28</f>
        <v>478.08916666666664</v>
      </c>
      <c r="L28" s="35">
        <f>F28/12*G28</f>
        <v>478.08916666666664</v>
      </c>
      <c r="M28" s="35">
        <f>F28/12*G28</f>
        <v>478.08916666666664</v>
      </c>
      <c r="N28" s="35">
        <f>F28/12*G28</f>
        <v>478.08916666666664</v>
      </c>
      <c r="O28" s="35">
        <f>F28/12*G28</f>
        <v>478.08916666666664</v>
      </c>
      <c r="P28" s="35">
        <f>F28/12*G28</f>
        <v>478.08916666666664</v>
      </c>
      <c r="Q28" s="35">
        <f>F28/12*G28</f>
        <v>478.08916666666664</v>
      </c>
      <c r="R28" s="35">
        <f>F28/12*G28</f>
        <v>478.08916666666664</v>
      </c>
      <c r="S28" s="35">
        <f>F28/12*G28</f>
        <v>478.08916666666664</v>
      </c>
      <c r="T28" s="35">
        <f>F28/12*G28</f>
        <v>478.08916666666664</v>
      </c>
      <c r="U28" s="35">
        <f t="shared" si="4"/>
        <v>3824.7133333333331</v>
      </c>
    </row>
    <row r="29" spans="1:21" ht="12.75" customHeight="1">
      <c r="A29" s="145" t="s">
        <v>191</v>
      </c>
      <c r="B29" s="10" t="s">
        <v>152</v>
      </c>
      <c r="C29" s="25" t="s">
        <v>37</v>
      </c>
      <c r="D29" s="10" t="s">
        <v>39</v>
      </c>
      <c r="E29" s="32"/>
      <c r="F29" s="33">
        <v>2</v>
      </c>
      <c r="G29" s="33">
        <v>204.52</v>
      </c>
      <c r="H29" s="34">
        <f t="shared" si="3"/>
        <v>0.40904000000000001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f t="shared" si="4"/>
        <v>0</v>
      </c>
    </row>
    <row r="30" spans="1:21" ht="12.75" customHeight="1">
      <c r="A30" s="145" t="s">
        <v>133</v>
      </c>
      <c r="B30" s="10" t="s">
        <v>169</v>
      </c>
      <c r="C30" s="25" t="s">
        <v>40</v>
      </c>
      <c r="D30" s="10" t="s">
        <v>39</v>
      </c>
      <c r="E30" s="32"/>
      <c r="F30" s="33">
        <v>1</v>
      </c>
      <c r="G30" s="33">
        <v>1214.74</v>
      </c>
      <c r="H30" s="34">
        <f t="shared" si="3"/>
        <v>1.2147399999999999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4"/>
        <v>0</v>
      </c>
    </row>
    <row r="31" spans="1:21">
      <c r="A31" s="145"/>
      <c r="B31" s="46" t="s">
        <v>41</v>
      </c>
      <c r="C31" s="25" t="s">
        <v>42</v>
      </c>
      <c r="D31" s="46" t="s">
        <v>43</v>
      </c>
      <c r="E31" s="32">
        <v>1536.4</v>
      </c>
      <c r="F31" s="33">
        <f>SUM(E31*12)</f>
        <v>18436.800000000003</v>
      </c>
      <c r="G31" s="33">
        <v>6.15</v>
      </c>
      <c r="H31" s="34">
        <f t="shared" si="3"/>
        <v>113.38632000000003</v>
      </c>
      <c r="I31" s="35">
        <f>F31/12*G31</f>
        <v>9448.8600000000024</v>
      </c>
      <c r="J31" s="35">
        <f>F31/12*G31</f>
        <v>9448.8600000000024</v>
      </c>
      <c r="K31" s="35">
        <f>F31/12*G31</f>
        <v>9448.8600000000024</v>
      </c>
      <c r="L31" s="35">
        <f>F31/12*G31</f>
        <v>9448.8600000000024</v>
      </c>
      <c r="M31" s="35">
        <f>F31/12*G31</f>
        <v>9448.8600000000024</v>
      </c>
      <c r="N31" s="35">
        <f>F31/12*G31</f>
        <v>9448.8600000000024</v>
      </c>
      <c r="O31" s="35">
        <f>F31/12*G31</f>
        <v>9448.8600000000024</v>
      </c>
      <c r="P31" s="35">
        <f>F31/12*G31</f>
        <v>9448.8600000000024</v>
      </c>
      <c r="Q31" s="35">
        <f>F31/12*G31</f>
        <v>9448.8600000000024</v>
      </c>
      <c r="R31" s="35">
        <f>F31/12*G31</f>
        <v>9448.8600000000024</v>
      </c>
      <c r="S31" s="35">
        <f>F31/12*G31</f>
        <v>9448.8600000000024</v>
      </c>
      <c r="T31" s="35">
        <f>F31/12*G31</f>
        <v>9448.8600000000024</v>
      </c>
      <c r="U31" s="35">
        <f t="shared" si="4"/>
        <v>75590.880000000019</v>
      </c>
    </row>
    <row r="32" spans="1:21" s="19" customFormat="1">
      <c r="A32" s="146"/>
      <c r="B32" s="20" t="s">
        <v>26</v>
      </c>
      <c r="C32" s="38"/>
      <c r="D32" s="20"/>
      <c r="E32" s="39"/>
      <c r="F32" s="40"/>
      <c r="G32" s="40"/>
      <c r="H32" s="47">
        <f>SUM(H24:H31)</f>
        <v>132.15410805240003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>SUM(U24:U31)</f>
        <v>87628.726682266686</v>
      </c>
    </row>
    <row r="33" spans="1:21">
      <c r="A33" s="145"/>
      <c r="B33" s="12" t="s">
        <v>44</v>
      </c>
      <c r="C33" s="25"/>
      <c r="D33" s="10"/>
      <c r="E33" s="32"/>
      <c r="F33" s="33"/>
      <c r="G33" s="33"/>
      <c r="H33" s="34" t="s">
        <v>43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ht="12.75" customHeight="1">
      <c r="A34" s="145" t="s">
        <v>133</v>
      </c>
      <c r="B34" s="13" t="s">
        <v>45</v>
      </c>
      <c r="C34" s="25" t="s">
        <v>40</v>
      </c>
      <c r="D34" s="10"/>
      <c r="E34" s="32"/>
      <c r="F34" s="33">
        <v>5</v>
      </c>
      <c r="G34" s="33">
        <v>1632.6</v>
      </c>
      <c r="H34" s="34">
        <f t="shared" ref="H34:H40" si="5">SUM(F34*G34/1000)</f>
        <v>8.1630000000000003</v>
      </c>
      <c r="I34" s="35">
        <f t="shared" ref="I34:I40" si="6">F34/6*G34</f>
        <v>1360.5</v>
      </c>
      <c r="J34" s="35">
        <f t="shared" ref="J34:J40" si="7">F34/6*G34</f>
        <v>1360.5</v>
      </c>
      <c r="K34" s="35">
        <f t="shared" ref="K34:K40" si="8">F34/6*G34</f>
        <v>1360.5</v>
      </c>
      <c r="L34" s="35">
        <f t="shared" ref="L34:L40" si="9">F34/6*G34</f>
        <v>1360.5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f t="shared" ref="S34:S40" si="10">F34/6*G34</f>
        <v>1360.5</v>
      </c>
      <c r="T34" s="35">
        <f t="shared" ref="T34:T39" si="11">F34/6*G34</f>
        <v>1360.5</v>
      </c>
      <c r="U34" s="35">
        <f>SUM(I34:P34)</f>
        <v>5442</v>
      </c>
    </row>
    <row r="35" spans="1:21" ht="25.5">
      <c r="A35" s="147" t="s">
        <v>192</v>
      </c>
      <c r="B35" s="13" t="s">
        <v>154</v>
      </c>
      <c r="C35" s="49" t="s">
        <v>46</v>
      </c>
      <c r="D35" s="10" t="s">
        <v>101</v>
      </c>
      <c r="E35" s="32">
        <v>71.91</v>
      </c>
      <c r="F35" s="48">
        <f>E35*30/1000</f>
        <v>2.1572999999999998</v>
      </c>
      <c r="G35" s="33">
        <v>2247.8000000000002</v>
      </c>
      <c r="H35" s="34">
        <f>G35*F35/1000</f>
        <v>4.8491789399999998</v>
      </c>
      <c r="I35" s="35">
        <f t="shared" si="6"/>
        <v>808.19649000000004</v>
      </c>
      <c r="J35" s="35">
        <f t="shared" si="7"/>
        <v>808.19649000000004</v>
      </c>
      <c r="K35" s="35">
        <f t="shared" si="8"/>
        <v>808.19649000000004</v>
      </c>
      <c r="L35" s="35">
        <f t="shared" si="9"/>
        <v>808.19649000000004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f t="shared" si="10"/>
        <v>808.19649000000004</v>
      </c>
      <c r="T35" s="35">
        <f t="shared" si="11"/>
        <v>808.19649000000004</v>
      </c>
      <c r="U35" s="35">
        <f t="shared" ref="U35:U40" si="12">SUM(I35:P35)</f>
        <v>3232.7859600000002</v>
      </c>
    </row>
    <row r="36" spans="1:21">
      <c r="A36" s="147" t="s">
        <v>192</v>
      </c>
      <c r="B36" s="13" t="s">
        <v>110</v>
      </c>
      <c r="C36" s="49" t="s">
        <v>46</v>
      </c>
      <c r="D36" s="10" t="s">
        <v>109</v>
      </c>
      <c r="E36" s="32">
        <v>294.37</v>
      </c>
      <c r="F36" s="48">
        <f>E36*12/1000</f>
        <v>3.5324400000000002</v>
      </c>
      <c r="G36" s="33">
        <v>2247.8000000000002</v>
      </c>
      <c r="H36" s="34">
        <f>G36*F36/1000</f>
        <v>7.9402186320000006</v>
      </c>
      <c r="I36" s="35">
        <f t="shared" si="6"/>
        <v>1323.3697720000002</v>
      </c>
      <c r="J36" s="35">
        <f t="shared" si="7"/>
        <v>1323.3697720000002</v>
      </c>
      <c r="K36" s="35">
        <f t="shared" si="8"/>
        <v>1323.3697720000002</v>
      </c>
      <c r="L36" s="35">
        <f t="shared" si="9"/>
        <v>1323.3697720000002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f t="shared" si="10"/>
        <v>1323.3697720000002</v>
      </c>
      <c r="T36" s="35">
        <f t="shared" si="11"/>
        <v>1323.3697720000002</v>
      </c>
      <c r="U36" s="35">
        <f t="shared" si="12"/>
        <v>5293.479088000001</v>
      </c>
    </row>
    <row r="37" spans="1:21" ht="24.75" customHeight="1">
      <c r="A37" s="145" t="s">
        <v>193</v>
      </c>
      <c r="B37" s="10" t="s">
        <v>155</v>
      </c>
      <c r="C37" s="25" t="s">
        <v>46</v>
      </c>
      <c r="D37" s="10" t="s">
        <v>47</v>
      </c>
      <c r="E37" s="33">
        <v>71.91</v>
      </c>
      <c r="F37" s="48">
        <f>SUM(E37*155/1000)</f>
        <v>11.146049999999999</v>
      </c>
      <c r="G37" s="33">
        <v>374.95</v>
      </c>
      <c r="H37" s="34">
        <f t="shared" si="5"/>
        <v>4.1792114475000002</v>
      </c>
      <c r="I37" s="35">
        <f t="shared" si="6"/>
        <v>696.5352412499999</v>
      </c>
      <c r="J37" s="35">
        <f t="shared" si="7"/>
        <v>696.5352412499999</v>
      </c>
      <c r="K37" s="35">
        <f t="shared" si="8"/>
        <v>696.5352412499999</v>
      </c>
      <c r="L37" s="35">
        <f t="shared" si="9"/>
        <v>696.5352412499999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f t="shared" si="10"/>
        <v>696.5352412499999</v>
      </c>
      <c r="T37" s="35">
        <f t="shared" si="11"/>
        <v>696.5352412499999</v>
      </c>
      <c r="U37" s="35">
        <f t="shared" si="12"/>
        <v>2786.1409649999996</v>
      </c>
    </row>
    <row r="38" spans="1:21" ht="51" customHeight="1">
      <c r="A38" s="145" t="s">
        <v>194</v>
      </c>
      <c r="B38" s="10" t="s">
        <v>156</v>
      </c>
      <c r="C38" s="25" t="s">
        <v>29</v>
      </c>
      <c r="D38" s="10" t="s">
        <v>111</v>
      </c>
      <c r="E38" s="33">
        <v>71.91</v>
      </c>
      <c r="F38" s="48">
        <f>SUM(E38*24/1000)</f>
        <v>1.7258399999999998</v>
      </c>
      <c r="G38" s="33">
        <v>6203.7</v>
      </c>
      <c r="H38" s="34">
        <f t="shared" si="5"/>
        <v>10.706593607999999</v>
      </c>
      <c r="I38" s="35">
        <f t="shared" si="6"/>
        <v>1784.4322679999996</v>
      </c>
      <c r="J38" s="35">
        <f t="shared" si="7"/>
        <v>1784.4322679999996</v>
      </c>
      <c r="K38" s="35">
        <f t="shared" si="8"/>
        <v>1784.4322679999996</v>
      </c>
      <c r="L38" s="35">
        <f t="shared" si="9"/>
        <v>1784.4322679999996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 t="shared" si="10"/>
        <v>1784.4322679999996</v>
      </c>
      <c r="T38" s="35">
        <f t="shared" si="11"/>
        <v>1784.4322679999996</v>
      </c>
      <c r="U38" s="35">
        <f t="shared" si="12"/>
        <v>7137.7290719999983</v>
      </c>
    </row>
    <row r="39" spans="1:21" ht="12.75" customHeight="1">
      <c r="A39" s="145" t="s">
        <v>195</v>
      </c>
      <c r="B39" s="10" t="s">
        <v>157</v>
      </c>
      <c r="C39" s="25" t="s">
        <v>29</v>
      </c>
      <c r="D39" s="10" t="s">
        <v>48</v>
      </c>
      <c r="E39" s="33">
        <v>71.91</v>
      </c>
      <c r="F39" s="48">
        <f>SUM(E39*45/1000)</f>
        <v>3.2359499999999999</v>
      </c>
      <c r="G39" s="33">
        <v>458.28</v>
      </c>
      <c r="H39" s="34">
        <f t="shared" si="5"/>
        <v>1.4829711659999998</v>
      </c>
      <c r="I39" s="35">
        <f t="shared" si="6"/>
        <v>247.16186099999996</v>
      </c>
      <c r="J39" s="35">
        <f t="shared" si="7"/>
        <v>247.16186099999996</v>
      </c>
      <c r="K39" s="35">
        <f t="shared" si="8"/>
        <v>247.16186099999996</v>
      </c>
      <c r="L39" s="35">
        <f t="shared" si="9"/>
        <v>247.16186099999996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f t="shared" si="10"/>
        <v>247.16186099999996</v>
      </c>
      <c r="T39" s="35">
        <f t="shared" si="11"/>
        <v>247.16186099999996</v>
      </c>
      <c r="U39" s="35">
        <f t="shared" si="12"/>
        <v>988.64744399999984</v>
      </c>
    </row>
    <row r="40" spans="1:21" s="1" customFormat="1">
      <c r="A40" s="147"/>
      <c r="B40" s="13" t="s">
        <v>158</v>
      </c>
      <c r="C40" s="49" t="s">
        <v>37</v>
      </c>
      <c r="D40" s="13"/>
      <c r="E40" s="45"/>
      <c r="F40" s="48">
        <v>0.3</v>
      </c>
      <c r="G40" s="48">
        <v>853.06</v>
      </c>
      <c r="H40" s="34">
        <f t="shared" si="5"/>
        <v>0.25591799999999998</v>
      </c>
      <c r="I40" s="50">
        <f t="shared" si="6"/>
        <v>42.652999999999992</v>
      </c>
      <c r="J40" s="50">
        <f t="shared" si="7"/>
        <v>42.652999999999992</v>
      </c>
      <c r="K40" s="50">
        <f t="shared" si="8"/>
        <v>42.652999999999992</v>
      </c>
      <c r="L40" s="50">
        <f t="shared" si="9"/>
        <v>42.652999999999992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f t="shared" si="10"/>
        <v>42.652999999999992</v>
      </c>
      <c r="T40" s="50">
        <v>0</v>
      </c>
      <c r="U40" s="35">
        <f t="shared" si="12"/>
        <v>170.61199999999997</v>
      </c>
    </row>
    <row r="41" spans="1:21" s="19" customFormat="1">
      <c r="A41" s="146"/>
      <c r="B41" s="20" t="s">
        <v>26</v>
      </c>
      <c r="C41" s="38"/>
      <c r="D41" s="20"/>
      <c r="E41" s="39"/>
      <c r="F41" s="40" t="s">
        <v>43</v>
      </c>
      <c r="G41" s="40"/>
      <c r="H41" s="47">
        <f>SUM(H34:H40)</f>
        <v>37.577091793500003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>
        <f>SUM(U34:U40)</f>
        <v>25051.394528999997</v>
      </c>
    </row>
    <row r="42" spans="1:21">
      <c r="A42" s="145"/>
      <c r="B42" s="14" t="s">
        <v>49</v>
      </c>
      <c r="C42" s="25"/>
      <c r="D42" s="10"/>
      <c r="E42" s="32"/>
      <c r="F42" s="33"/>
      <c r="G42" s="33"/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145" t="s">
        <v>196</v>
      </c>
      <c r="B43" s="10" t="s">
        <v>170</v>
      </c>
      <c r="C43" s="25" t="s">
        <v>29</v>
      </c>
      <c r="D43" s="10" t="s">
        <v>50</v>
      </c>
      <c r="E43" s="32">
        <v>904.4</v>
      </c>
      <c r="F43" s="33">
        <f>SUM(E43*2/1000)</f>
        <v>1.8088</v>
      </c>
      <c r="G43" s="51">
        <v>865.61</v>
      </c>
      <c r="H43" s="34">
        <f t="shared" ref="H43:H52" si="13">SUM(F43*G43/1000)</f>
        <v>1.565715368</v>
      </c>
      <c r="I43" s="35">
        <v>0</v>
      </c>
      <c r="J43" s="35">
        <v>0</v>
      </c>
      <c r="K43" s="35">
        <v>0</v>
      </c>
      <c r="L43" s="35">
        <v>0</v>
      </c>
      <c r="M43" s="35">
        <f>F43/2*G43</f>
        <v>782.85768399999995</v>
      </c>
      <c r="N43" s="35">
        <v>0</v>
      </c>
      <c r="O43" s="35">
        <v>0</v>
      </c>
      <c r="P43" s="35">
        <v>0</v>
      </c>
      <c r="Q43" s="35">
        <v>0</v>
      </c>
      <c r="R43" s="35">
        <f>F43/2*G43</f>
        <v>782.85768399999995</v>
      </c>
      <c r="S43" s="35">
        <v>0</v>
      </c>
      <c r="T43" s="35">
        <v>0</v>
      </c>
      <c r="U43" s="35">
        <f>SUM(I43:P43)</f>
        <v>782.85768399999995</v>
      </c>
    </row>
    <row r="44" spans="1:21">
      <c r="A44" s="145" t="s">
        <v>197</v>
      </c>
      <c r="B44" s="10" t="s">
        <v>51</v>
      </c>
      <c r="C44" s="25" t="s">
        <v>29</v>
      </c>
      <c r="D44" s="10" t="s">
        <v>50</v>
      </c>
      <c r="E44" s="32">
        <v>27</v>
      </c>
      <c r="F44" s="33">
        <f>E44*2/1000</f>
        <v>5.3999999999999999E-2</v>
      </c>
      <c r="G44" s="51">
        <v>619.46</v>
      </c>
      <c r="H44" s="34">
        <f t="shared" si="13"/>
        <v>3.3450840000000003E-2</v>
      </c>
      <c r="I44" s="35">
        <v>0</v>
      </c>
      <c r="J44" s="35">
        <v>0</v>
      </c>
      <c r="K44" s="35">
        <v>0</v>
      </c>
      <c r="L44" s="35">
        <v>0</v>
      </c>
      <c r="M44" s="35">
        <f t="shared" ref="M44:M47" si="14">F44/2*G44</f>
        <v>16.72542</v>
      </c>
      <c r="N44" s="35">
        <v>0</v>
      </c>
      <c r="O44" s="35">
        <v>0</v>
      </c>
      <c r="P44" s="35">
        <v>0</v>
      </c>
      <c r="Q44" s="35">
        <v>0</v>
      </c>
      <c r="R44" s="35">
        <f>F44/2*G44</f>
        <v>16.72542</v>
      </c>
      <c r="S44" s="35">
        <v>0</v>
      </c>
      <c r="T44" s="35">
        <v>0</v>
      </c>
      <c r="U44" s="35">
        <f t="shared" ref="U44:U52" si="15">SUM(I44:P44)</f>
        <v>16.72542</v>
      </c>
    </row>
    <row r="45" spans="1:21" ht="12.75" customHeight="1">
      <c r="A45" s="145" t="s">
        <v>198</v>
      </c>
      <c r="B45" s="10" t="s">
        <v>52</v>
      </c>
      <c r="C45" s="25" t="s">
        <v>29</v>
      </c>
      <c r="D45" s="10" t="s">
        <v>50</v>
      </c>
      <c r="E45" s="32">
        <v>772</v>
      </c>
      <c r="F45" s="33">
        <f>SUM(E45*2/1000)</f>
        <v>1.544</v>
      </c>
      <c r="G45" s="51">
        <v>619.46</v>
      </c>
      <c r="H45" s="34">
        <f t="shared" si="13"/>
        <v>0.95644624000000011</v>
      </c>
      <c r="I45" s="35">
        <v>0</v>
      </c>
      <c r="J45" s="35">
        <v>0</v>
      </c>
      <c r="K45" s="35">
        <v>0</v>
      </c>
      <c r="L45" s="35">
        <v>0</v>
      </c>
      <c r="M45" s="35">
        <f t="shared" si="14"/>
        <v>478.22312000000005</v>
      </c>
      <c r="N45" s="35">
        <v>0</v>
      </c>
      <c r="O45" s="35">
        <v>0</v>
      </c>
      <c r="P45" s="35">
        <v>0</v>
      </c>
      <c r="Q45" s="35">
        <v>0</v>
      </c>
      <c r="R45" s="35">
        <f>F45/2*G45</f>
        <v>478.22312000000005</v>
      </c>
      <c r="S45" s="35">
        <v>0</v>
      </c>
      <c r="T45" s="35">
        <v>0</v>
      </c>
      <c r="U45" s="35">
        <f t="shared" si="15"/>
        <v>478.22312000000005</v>
      </c>
    </row>
    <row r="46" spans="1:21">
      <c r="A46" s="145" t="s">
        <v>199</v>
      </c>
      <c r="B46" s="10" t="s">
        <v>53</v>
      </c>
      <c r="C46" s="25" t="s">
        <v>29</v>
      </c>
      <c r="D46" s="10" t="s">
        <v>50</v>
      </c>
      <c r="E46" s="32">
        <v>959.35</v>
      </c>
      <c r="F46" s="33">
        <f>SUM(E46*2/1000)</f>
        <v>1.9187000000000001</v>
      </c>
      <c r="G46" s="51">
        <v>648.64</v>
      </c>
      <c r="H46" s="34">
        <f t="shared" si="13"/>
        <v>1.2445455679999999</v>
      </c>
      <c r="I46" s="35">
        <v>0</v>
      </c>
      <c r="J46" s="35">
        <v>0</v>
      </c>
      <c r="K46" s="35">
        <v>0</v>
      </c>
      <c r="L46" s="35">
        <v>0</v>
      </c>
      <c r="M46" s="35">
        <f t="shared" si="14"/>
        <v>622.272784</v>
      </c>
      <c r="N46" s="35">
        <v>0</v>
      </c>
      <c r="O46" s="35">
        <v>0</v>
      </c>
      <c r="P46" s="35">
        <v>0</v>
      </c>
      <c r="Q46" s="35">
        <v>0</v>
      </c>
      <c r="R46" s="35">
        <f>F46/2*G46</f>
        <v>622.272784</v>
      </c>
      <c r="S46" s="35">
        <v>0</v>
      </c>
      <c r="T46" s="35">
        <v>0</v>
      </c>
      <c r="U46" s="35">
        <f t="shared" si="15"/>
        <v>622.272784</v>
      </c>
    </row>
    <row r="47" spans="1:21">
      <c r="A47" s="145" t="s">
        <v>200</v>
      </c>
      <c r="B47" s="10" t="s">
        <v>106</v>
      </c>
      <c r="C47" s="25" t="s">
        <v>107</v>
      </c>
      <c r="D47" s="10" t="s">
        <v>50</v>
      </c>
      <c r="E47" s="32">
        <v>66.02</v>
      </c>
      <c r="F47" s="33">
        <f>SUM(E47*2/100)</f>
        <v>1.3204</v>
      </c>
      <c r="G47" s="51">
        <v>77.84</v>
      </c>
      <c r="H47" s="34">
        <f t="shared" si="13"/>
        <v>0.102779936</v>
      </c>
      <c r="I47" s="35">
        <v>0</v>
      </c>
      <c r="J47" s="35">
        <v>0</v>
      </c>
      <c r="K47" s="35">
        <v>0</v>
      </c>
      <c r="L47" s="35">
        <v>0</v>
      </c>
      <c r="M47" s="35">
        <f t="shared" si="14"/>
        <v>51.389968000000003</v>
      </c>
      <c r="N47" s="35">
        <v>0</v>
      </c>
      <c r="O47" s="35">
        <v>0</v>
      </c>
      <c r="P47" s="35">
        <v>0</v>
      </c>
      <c r="Q47" s="35">
        <v>0</v>
      </c>
      <c r="R47" s="35">
        <f>F47/2*G47</f>
        <v>51.389968000000003</v>
      </c>
      <c r="S47" s="35">
        <v>0</v>
      </c>
      <c r="T47" s="35">
        <v>0</v>
      </c>
      <c r="U47" s="35">
        <f t="shared" si="15"/>
        <v>51.389968000000003</v>
      </c>
    </row>
    <row r="48" spans="1:21" ht="25.5">
      <c r="A48" s="145" t="s">
        <v>201</v>
      </c>
      <c r="B48" s="10" t="s">
        <v>54</v>
      </c>
      <c r="C48" s="25" t="s">
        <v>29</v>
      </c>
      <c r="D48" s="10" t="s">
        <v>55</v>
      </c>
      <c r="E48" s="32">
        <v>702.5</v>
      </c>
      <c r="F48" s="33">
        <f>SUM(E48*5/1000)</f>
        <v>3.5125000000000002</v>
      </c>
      <c r="G48" s="51">
        <v>1297.28</v>
      </c>
      <c r="H48" s="34">
        <f t="shared" si="13"/>
        <v>4.5566959999999996</v>
      </c>
      <c r="I48" s="35">
        <f>F48/5*G48</f>
        <v>911.33920000000001</v>
      </c>
      <c r="J48" s="35">
        <f>F48/5*G48</f>
        <v>911.33920000000001</v>
      </c>
      <c r="K48" s="35">
        <v>0</v>
      </c>
      <c r="L48" s="35">
        <v>0</v>
      </c>
      <c r="M48" s="35">
        <f>F48/5*G48</f>
        <v>911.33920000000001</v>
      </c>
      <c r="N48" s="35">
        <v>0</v>
      </c>
      <c r="O48" s="35">
        <v>0</v>
      </c>
      <c r="P48" s="35">
        <v>0</v>
      </c>
      <c r="Q48" s="35">
        <f>F48/5*G48</f>
        <v>911.33920000000001</v>
      </c>
      <c r="R48" s="35">
        <v>0</v>
      </c>
      <c r="S48" s="35">
        <v>0</v>
      </c>
      <c r="T48" s="35">
        <f>F48/5*G48</f>
        <v>911.33920000000001</v>
      </c>
      <c r="U48" s="35">
        <f t="shared" si="15"/>
        <v>2734.0176000000001</v>
      </c>
    </row>
    <row r="49" spans="1:21" ht="38.25" customHeight="1">
      <c r="A49" s="145" t="s">
        <v>202</v>
      </c>
      <c r="B49" s="10" t="s">
        <v>56</v>
      </c>
      <c r="C49" s="25" t="s">
        <v>29</v>
      </c>
      <c r="D49" s="10" t="s">
        <v>50</v>
      </c>
      <c r="E49" s="32">
        <v>702.5</v>
      </c>
      <c r="F49" s="33">
        <f>SUM(E49*2/1000)</f>
        <v>1.405</v>
      </c>
      <c r="G49" s="51">
        <v>1297.28</v>
      </c>
      <c r="H49" s="34">
        <f t="shared" si="13"/>
        <v>1.8226784</v>
      </c>
      <c r="I49" s="35">
        <v>0</v>
      </c>
      <c r="J49" s="35">
        <v>0</v>
      </c>
      <c r="K49" s="35">
        <v>0</v>
      </c>
      <c r="L49" s="35">
        <v>0</v>
      </c>
      <c r="M49" s="35">
        <f>F49/2*G49</f>
        <v>911.33920000000001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f t="shared" si="15"/>
        <v>911.33920000000001</v>
      </c>
    </row>
    <row r="50" spans="1:21" ht="25.5" customHeight="1">
      <c r="A50" s="145" t="s">
        <v>203</v>
      </c>
      <c r="B50" s="10" t="s">
        <v>57</v>
      </c>
      <c r="C50" s="25" t="s">
        <v>58</v>
      </c>
      <c r="D50" s="10" t="s">
        <v>50</v>
      </c>
      <c r="E50" s="32">
        <v>9</v>
      </c>
      <c r="F50" s="33">
        <f>SUM(E50*2/100)</f>
        <v>0.18</v>
      </c>
      <c r="G50" s="51">
        <v>2918.89</v>
      </c>
      <c r="H50" s="34">
        <f t="shared" si="13"/>
        <v>0.52540019999999987</v>
      </c>
      <c r="I50" s="35">
        <v>0</v>
      </c>
      <c r="J50" s="35">
        <v>0</v>
      </c>
      <c r="K50" s="35">
        <v>0</v>
      </c>
      <c r="L50" s="35">
        <f>F50/2*G50</f>
        <v>262.70009999999996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f t="shared" si="15"/>
        <v>262.70009999999996</v>
      </c>
    </row>
    <row r="51" spans="1:21">
      <c r="A51" s="145" t="s">
        <v>204</v>
      </c>
      <c r="B51" s="10" t="s">
        <v>59</v>
      </c>
      <c r="C51" s="25" t="s">
        <v>60</v>
      </c>
      <c r="D51" s="10" t="s">
        <v>50</v>
      </c>
      <c r="E51" s="32">
        <v>1</v>
      </c>
      <c r="F51" s="33">
        <v>0.02</v>
      </c>
      <c r="G51" s="51">
        <v>6042.12</v>
      </c>
      <c r="H51" s="34">
        <f t="shared" si="13"/>
        <v>0.1208424</v>
      </c>
      <c r="I51" s="35">
        <v>0</v>
      </c>
      <c r="J51" s="35">
        <v>0</v>
      </c>
      <c r="K51" s="35">
        <v>0</v>
      </c>
      <c r="L51" s="35">
        <f>F51/2*G51</f>
        <v>60.421199999999999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f t="shared" si="15"/>
        <v>60.421199999999999</v>
      </c>
    </row>
    <row r="52" spans="1:21" ht="13.5" customHeight="1">
      <c r="A52" s="145" t="s">
        <v>62</v>
      </c>
      <c r="B52" s="10" t="s">
        <v>63</v>
      </c>
      <c r="C52" s="25" t="s">
        <v>61</v>
      </c>
      <c r="D52" s="10" t="s">
        <v>99</v>
      </c>
      <c r="E52" s="32">
        <v>53</v>
      </c>
      <c r="F52" s="33">
        <f>SUM(E52)*3</f>
        <v>159</v>
      </c>
      <c r="G52" s="52">
        <v>70.209999999999994</v>
      </c>
      <c r="H52" s="34">
        <f t="shared" si="13"/>
        <v>11.16339</v>
      </c>
      <c r="I52" s="35">
        <f>E52*G52</f>
        <v>3721.1299999999997</v>
      </c>
      <c r="J52" s="35">
        <v>0</v>
      </c>
      <c r="K52" s="35">
        <v>0</v>
      </c>
      <c r="L52" s="35">
        <f>E52*G52</f>
        <v>3721.1299999999997</v>
      </c>
      <c r="M52" s="35">
        <v>0</v>
      </c>
      <c r="N52" s="35">
        <v>0</v>
      </c>
      <c r="O52" s="35">
        <v>0</v>
      </c>
      <c r="P52" s="35">
        <f>E52*G52</f>
        <v>3721.1299999999997</v>
      </c>
      <c r="Q52" s="35">
        <v>0</v>
      </c>
      <c r="R52" s="35">
        <v>0</v>
      </c>
      <c r="S52" s="35">
        <v>0</v>
      </c>
      <c r="T52" s="35">
        <v>0</v>
      </c>
      <c r="U52" s="35">
        <f t="shared" si="15"/>
        <v>11163.39</v>
      </c>
    </row>
    <row r="53" spans="1:21" s="21" customFormat="1">
      <c r="A53" s="146"/>
      <c r="B53" s="20" t="s">
        <v>26</v>
      </c>
      <c r="C53" s="53"/>
      <c r="D53" s="20"/>
      <c r="E53" s="54"/>
      <c r="F53" s="55"/>
      <c r="G53" s="55"/>
      <c r="H53" s="47">
        <f>SUM(H43:H52)</f>
        <v>22.091944952000002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>
        <f>SUM(U43:U52)</f>
        <v>17083.337076</v>
      </c>
    </row>
    <row r="54" spans="1:21">
      <c r="A54" s="145"/>
      <c r="B54" s="12" t="s">
        <v>64</v>
      </c>
      <c r="C54" s="25"/>
      <c r="D54" s="10"/>
      <c r="E54" s="32"/>
      <c r="F54" s="33"/>
      <c r="G54" s="33"/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ht="38.25" customHeight="1">
      <c r="A55" s="145" t="s">
        <v>205</v>
      </c>
      <c r="B55" s="10" t="s">
        <v>159</v>
      </c>
      <c r="C55" s="25" t="s">
        <v>13</v>
      </c>
      <c r="D55" s="10" t="s">
        <v>65</v>
      </c>
      <c r="E55" s="32">
        <v>25</v>
      </c>
      <c r="F55" s="33">
        <f>SUM(E55*6/100)</f>
        <v>1.5</v>
      </c>
      <c r="G55" s="51">
        <v>1654.04</v>
      </c>
      <c r="H55" s="34">
        <f>SUM(F55*G55/1000)</f>
        <v>2.4810599999999998</v>
      </c>
      <c r="I55" s="35">
        <f>F55/6*G55</f>
        <v>413.51</v>
      </c>
      <c r="J55" s="35">
        <f>F55/6*G55</f>
        <v>413.51</v>
      </c>
      <c r="K55" s="35">
        <f>F55/6*G55</f>
        <v>413.51</v>
      </c>
      <c r="L55" s="35">
        <f>F55/6*G55</f>
        <v>413.51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f>F55/6*G55</f>
        <v>413.51</v>
      </c>
      <c r="T55" s="35">
        <f>F55/6*G55</f>
        <v>413.51</v>
      </c>
      <c r="U55" s="35">
        <f>SUM(I55:P55)</f>
        <v>1654.04</v>
      </c>
    </row>
    <row r="56" spans="1:21">
      <c r="A56" s="145"/>
      <c r="B56" s="11" t="s">
        <v>66</v>
      </c>
      <c r="C56" s="25"/>
      <c r="D56" s="10"/>
      <c r="E56" s="32"/>
      <c r="F56" s="33"/>
      <c r="G56" s="57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  <row r="57" spans="1:21">
      <c r="A57" s="145" t="s">
        <v>206</v>
      </c>
      <c r="B57" s="10" t="s">
        <v>100</v>
      </c>
      <c r="C57" s="25" t="s">
        <v>13</v>
      </c>
      <c r="D57" s="10" t="s">
        <v>39</v>
      </c>
      <c r="E57" s="32">
        <v>1026</v>
      </c>
      <c r="F57" s="34">
        <f>E57/100</f>
        <v>10.26</v>
      </c>
      <c r="G57" s="51">
        <v>848.37</v>
      </c>
      <c r="H57" s="58">
        <f>F57*G57/1000</f>
        <v>8.7042762000000007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f>SUM(I57:P57)</f>
        <v>0</v>
      </c>
    </row>
    <row r="58" spans="1:21">
      <c r="A58" s="155"/>
      <c r="B58" s="15" t="s">
        <v>67</v>
      </c>
      <c r="C58" s="59"/>
      <c r="D58" s="60"/>
      <c r="E58" s="61"/>
      <c r="F58" s="62"/>
      <c r="G58" s="62"/>
      <c r="H58" s="63" t="s">
        <v>43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ht="12.75" customHeight="1">
      <c r="A59" s="64" t="s">
        <v>207</v>
      </c>
      <c r="B59" s="16" t="s">
        <v>68</v>
      </c>
      <c r="C59" s="64" t="s">
        <v>61</v>
      </c>
      <c r="D59" s="8" t="s">
        <v>39</v>
      </c>
      <c r="E59" s="65">
        <v>8</v>
      </c>
      <c r="F59" s="33">
        <v>8</v>
      </c>
      <c r="G59" s="51">
        <v>237.74</v>
      </c>
      <c r="H59" s="120">
        <f t="shared" ref="H59:H72" si="16">SUM(F59*G59/1000)</f>
        <v>1.9019200000000001</v>
      </c>
      <c r="I59" s="35">
        <v>0</v>
      </c>
      <c r="J59" s="35">
        <v>0</v>
      </c>
      <c r="K59" s="35">
        <v>0</v>
      </c>
      <c r="L59" s="35">
        <f>G59</f>
        <v>237.74</v>
      </c>
      <c r="M59" s="35">
        <f>G59</f>
        <v>237.74</v>
      </c>
      <c r="N59" s="35">
        <f>G59*2</f>
        <v>475.48</v>
      </c>
      <c r="O59" s="35">
        <f>G59</f>
        <v>237.74</v>
      </c>
      <c r="P59" s="35">
        <f>G59</f>
        <v>237.74</v>
      </c>
      <c r="Q59" s="35">
        <v>0</v>
      </c>
      <c r="R59" s="35">
        <v>0</v>
      </c>
      <c r="S59" s="35">
        <v>0</v>
      </c>
      <c r="T59" s="35">
        <v>0</v>
      </c>
      <c r="U59" s="35">
        <f>SUM(I59:P59)</f>
        <v>1426.44</v>
      </c>
    </row>
    <row r="60" spans="1:21" ht="12.75" customHeight="1">
      <c r="A60" s="64" t="s">
        <v>208</v>
      </c>
      <c r="B60" s="16" t="s">
        <v>69</v>
      </c>
      <c r="C60" s="64" t="s">
        <v>61</v>
      </c>
      <c r="D60" s="8" t="s">
        <v>39</v>
      </c>
      <c r="E60" s="65">
        <v>3</v>
      </c>
      <c r="F60" s="33">
        <v>3</v>
      </c>
      <c r="G60" s="51">
        <v>81.510000000000005</v>
      </c>
      <c r="H60" s="120">
        <f t="shared" si="16"/>
        <v>0.24453000000000003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f t="shared" ref="U60:U66" si="17">SUM(I60:P60)</f>
        <v>0</v>
      </c>
    </row>
    <row r="61" spans="1:21" s="1" customFormat="1">
      <c r="A61" s="66" t="s">
        <v>209</v>
      </c>
      <c r="B61" s="16" t="s">
        <v>70</v>
      </c>
      <c r="C61" s="66" t="s">
        <v>71</v>
      </c>
      <c r="D61" s="8" t="s">
        <v>32</v>
      </c>
      <c r="E61" s="32">
        <v>6307</v>
      </c>
      <c r="F61" s="52">
        <f>SUM(E61/100)</f>
        <v>63.07</v>
      </c>
      <c r="G61" s="51">
        <v>226.79</v>
      </c>
      <c r="H61" s="120">
        <f t="shared" si="16"/>
        <v>14.303645299999999</v>
      </c>
      <c r="I61" s="50">
        <v>0</v>
      </c>
      <c r="J61" s="50">
        <v>0</v>
      </c>
      <c r="K61" s="50">
        <v>0</v>
      </c>
      <c r="L61" s="50">
        <v>0</v>
      </c>
      <c r="M61" s="50">
        <f>F61*G61</f>
        <v>14303.6453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35">
        <f t="shared" si="17"/>
        <v>14303.6453</v>
      </c>
    </row>
    <row r="62" spans="1:21" ht="12.75" customHeight="1">
      <c r="A62" s="64" t="s">
        <v>210</v>
      </c>
      <c r="B62" s="16" t="s">
        <v>72</v>
      </c>
      <c r="C62" s="64" t="s">
        <v>73</v>
      </c>
      <c r="D62" s="8"/>
      <c r="E62" s="32">
        <v>6307</v>
      </c>
      <c r="F62" s="51">
        <f>SUM(E62/1000)</f>
        <v>6.3070000000000004</v>
      </c>
      <c r="G62" s="51">
        <v>176.61</v>
      </c>
      <c r="H62" s="120">
        <f t="shared" si="16"/>
        <v>1.1138792700000002</v>
      </c>
      <c r="I62" s="35">
        <v>0</v>
      </c>
      <c r="J62" s="35">
        <v>0</v>
      </c>
      <c r="K62" s="35">
        <v>0</v>
      </c>
      <c r="L62" s="35">
        <v>0</v>
      </c>
      <c r="M62" s="35">
        <f>F62*G62</f>
        <v>1113.8792700000001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f t="shared" si="17"/>
        <v>1113.8792700000001</v>
      </c>
    </row>
    <row r="63" spans="1:21">
      <c r="A63" s="64" t="s">
        <v>211</v>
      </c>
      <c r="B63" s="16" t="s">
        <v>74</v>
      </c>
      <c r="C63" s="64" t="s">
        <v>75</v>
      </c>
      <c r="D63" s="8" t="s">
        <v>32</v>
      </c>
      <c r="E63" s="32">
        <v>1003</v>
      </c>
      <c r="F63" s="51">
        <f>SUM(E63/100)</f>
        <v>10.029999999999999</v>
      </c>
      <c r="G63" s="51">
        <v>2217.7800000000002</v>
      </c>
      <c r="H63" s="120">
        <f t="shared" si="16"/>
        <v>22.244333399999999</v>
      </c>
      <c r="I63" s="35">
        <v>0</v>
      </c>
      <c r="J63" s="35">
        <v>0</v>
      </c>
      <c r="K63" s="35">
        <v>0</v>
      </c>
      <c r="L63" s="35">
        <v>0</v>
      </c>
      <c r="M63" s="35">
        <f>F63*G63</f>
        <v>22244.3334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f t="shared" si="17"/>
        <v>22244.3334</v>
      </c>
    </row>
    <row r="64" spans="1:21">
      <c r="A64" s="64"/>
      <c r="B64" s="17" t="s">
        <v>102</v>
      </c>
      <c r="C64" s="64" t="s">
        <v>37</v>
      </c>
      <c r="D64" s="8"/>
      <c r="E64" s="32">
        <v>6.6</v>
      </c>
      <c r="F64" s="51">
        <f>SUM(E64)</f>
        <v>6.6</v>
      </c>
      <c r="G64" s="51">
        <v>42.67</v>
      </c>
      <c r="H64" s="120">
        <f t="shared" si="16"/>
        <v>0.28162200000000004</v>
      </c>
      <c r="I64" s="35">
        <v>0</v>
      </c>
      <c r="J64" s="35">
        <v>0</v>
      </c>
      <c r="K64" s="35">
        <v>0</v>
      </c>
      <c r="L64" s="35">
        <v>0</v>
      </c>
      <c r="M64" s="35">
        <f>F64*G64</f>
        <v>281.62200000000001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f t="shared" si="17"/>
        <v>281.62200000000001</v>
      </c>
    </row>
    <row r="65" spans="1:28" ht="12.75" customHeight="1">
      <c r="A65" s="148"/>
      <c r="B65" s="17" t="s">
        <v>103</v>
      </c>
      <c r="C65" s="64" t="s">
        <v>37</v>
      </c>
      <c r="D65" s="8"/>
      <c r="E65" s="32">
        <v>6.6</v>
      </c>
      <c r="F65" s="51">
        <f>SUM(E65)</f>
        <v>6.6</v>
      </c>
      <c r="G65" s="51">
        <v>39.81</v>
      </c>
      <c r="H65" s="120">
        <f t="shared" si="16"/>
        <v>0.26274599999999998</v>
      </c>
      <c r="I65" s="35">
        <v>0</v>
      </c>
      <c r="J65" s="35">
        <v>0</v>
      </c>
      <c r="K65" s="35">
        <v>0</v>
      </c>
      <c r="L65" s="35">
        <v>0</v>
      </c>
      <c r="M65" s="35">
        <f>F65*G65</f>
        <v>262.74599999999998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f t="shared" si="17"/>
        <v>262.74599999999998</v>
      </c>
    </row>
    <row r="66" spans="1:28">
      <c r="A66" s="64" t="s">
        <v>212</v>
      </c>
      <c r="B66" s="8" t="s">
        <v>76</v>
      </c>
      <c r="C66" s="64" t="s">
        <v>77</v>
      </c>
      <c r="D66" s="8" t="s">
        <v>32</v>
      </c>
      <c r="E66" s="65">
        <v>3</v>
      </c>
      <c r="F66" s="33">
        <v>3</v>
      </c>
      <c r="G66" s="51">
        <v>46.97</v>
      </c>
      <c r="H66" s="120">
        <f t="shared" si="16"/>
        <v>0.14091000000000001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f>F66*G66</f>
        <v>140.91</v>
      </c>
      <c r="R66" s="35">
        <v>0</v>
      </c>
      <c r="S66" s="35">
        <v>0</v>
      </c>
      <c r="T66" s="35">
        <v>0</v>
      </c>
      <c r="U66" s="35">
        <f t="shared" si="17"/>
        <v>0</v>
      </c>
    </row>
    <row r="67" spans="1:28">
      <c r="A67" s="148"/>
      <c r="B67" s="18" t="s">
        <v>78</v>
      </c>
      <c r="C67" s="64"/>
      <c r="D67" s="8"/>
      <c r="E67" s="65"/>
      <c r="F67" s="51"/>
      <c r="G67" s="51"/>
      <c r="H67" s="120" t="s">
        <v>43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8">
      <c r="A68" s="64" t="s">
        <v>213</v>
      </c>
      <c r="B68" s="8" t="s">
        <v>79</v>
      </c>
      <c r="C68" s="64" t="s">
        <v>80</v>
      </c>
      <c r="D68" s="8"/>
      <c r="E68" s="65">
        <v>3</v>
      </c>
      <c r="F68" s="51">
        <v>0.3</v>
      </c>
      <c r="G68" s="51">
        <v>536.23</v>
      </c>
      <c r="H68" s="120">
        <f t="shared" si="16"/>
        <v>0.16086900000000001</v>
      </c>
      <c r="I68" s="35">
        <v>0</v>
      </c>
      <c r="J68" s="35">
        <v>0</v>
      </c>
      <c r="K68" s="35">
        <v>0</v>
      </c>
      <c r="L68" s="35">
        <v>0</v>
      </c>
      <c r="M68" s="35">
        <f>G68*0.2</f>
        <v>107.24600000000001</v>
      </c>
      <c r="N68" s="35">
        <f>G68*0.2</f>
        <v>107.24600000000001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f>SUM(I68:P68)</f>
        <v>214.49200000000002</v>
      </c>
    </row>
    <row r="69" spans="1:28">
      <c r="A69" s="64" t="s">
        <v>214</v>
      </c>
      <c r="B69" s="8" t="s">
        <v>104</v>
      </c>
      <c r="C69" s="64" t="s">
        <v>34</v>
      </c>
      <c r="D69" s="8"/>
      <c r="E69" s="65">
        <v>1</v>
      </c>
      <c r="F69" s="57">
        <v>1</v>
      </c>
      <c r="G69" s="51">
        <v>911.85</v>
      </c>
      <c r="H69" s="120">
        <f>F69*G69/1000</f>
        <v>0.91185000000000005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f t="shared" ref="U69:U70" si="18">SUM(I69:P69)</f>
        <v>0</v>
      </c>
    </row>
    <row r="70" spans="1:28">
      <c r="A70" s="64" t="s">
        <v>215</v>
      </c>
      <c r="B70" s="8" t="s">
        <v>108</v>
      </c>
      <c r="C70" s="64" t="s">
        <v>34</v>
      </c>
      <c r="D70" s="8"/>
      <c r="E70" s="65">
        <v>1</v>
      </c>
      <c r="F70" s="51">
        <v>1</v>
      </c>
      <c r="G70" s="51">
        <v>383.25</v>
      </c>
      <c r="H70" s="120">
        <f>G70*F70/1000</f>
        <v>0.38324999999999998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f t="shared" si="18"/>
        <v>0</v>
      </c>
    </row>
    <row r="71" spans="1:28">
      <c r="A71" s="148"/>
      <c r="B71" s="68" t="s">
        <v>81</v>
      </c>
      <c r="C71" s="64"/>
      <c r="D71" s="8"/>
      <c r="E71" s="65"/>
      <c r="F71" s="51"/>
      <c r="G71" s="51" t="s">
        <v>43</v>
      </c>
      <c r="H71" s="120" t="s">
        <v>43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8" s="1" customFormat="1">
      <c r="A72" s="66" t="s">
        <v>82</v>
      </c>
      <c r="B72" s="69" t="s">
        <v>83</v>
      </c>
      <c r="C72" s="66" t="s">
        <v>75</v>
      </c>
      <c r="D72" s="16"/>
      <c r="E72" s="70"/>
      <c r="F72" s="52">
        <v>0.1</v>
      </c>
      <c r="G72" s="52">
        <v>2831.38</v>
      </c>
      <c r="H72" s="120">
        <f t="shared" si="16"/>
        <v>0.28313800000000006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35">
        <f>SUM(I72:P72)</f>
        <v>0</v>
      </c>
    </row>
    <row r="73" spans="1:28" s="21" customFormat="1">
      <c r="A73" s="149"/>
      <c r="B73" s="20" t="s">
        <v>26</v>
      </c>
      <c r="C73" s="71"/>
      <c r="D73" s="72"/>
      <c r="E73" s="73"/>
      <c r="F73" s="56"/>
      <c r="G73" s="56"/>
      <c r="H73" s="74">
        <f>SUM(H55:H72)</f>
        <v>53.41802916999999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>
        <f>SUM(U55:U72)</f>
        <v>41501.197970000001</v>
      </c>
    </row>
    <row r="74" spans="1:28">
      <c r="A74" s="150" t="s">
        <v>131</v>
      </c>
      <c r="B74" s="10" t="s">
        <v>132</v>
      </c>
      <c r="C74" s="75"/>
      <c r="D74" s="76"/>
      <c r="E74" s="126"/>
      <c r="F74" s="77">
        <v>1</v>
      </c>
      <c r="G74" s="78">
        <v>5637.8</v>
      </c>
      <c r="H74" s="120">
        <f>G74*F74/1000</f>
        <v>5.6378000000000004</v>
      </c>
      <c r="I74" s="35">
        <v>0</v>
      </c>
      <c r="J74" s="35">
        <v>0</v>
      </c>
      <c r="K74" s="35">
        <v>0</v>
      </c>
      <c r="L74" s="35">
        <v>0</v>
      </c>
      <c r="M74" s="36">
        <v>0</v>
      </c>
      <c r="N74" s="35">
        <v>0</v>
      </c>
      <c r="O74" s="35">
        <v>0</v>
      </c>
      <c r="P74" s="35">
        <v>0</v>
      </c>
      <c r="Q74" s="35">
        <v>0</v>
      </c>
      <c r="R74" s="35">
        <f>G74</f>
        <v>5637.8</v>
      </c>
      <c r="S74" s="35">
        <v>0</v>
      </c>
      <c r="T74" s="35">
        <v>0</v>
      </c>
      <c r="U74" s="35">
        <f>SUM(I74:P74)</f>
        <v>0</v>
      </c>
    </row>
    <row r="75" spans="1:28" ht="12.75" customHeight="1">
      <c r="A75" s="64"/>
      <c r="B75" s="11" t="s">
        <v>84</v>
      </c>
      <c r="C75" s="64" t="s">
        <v>85</v>
      </c>
      <c r="D75" s="79"/>
      <c r="E75" s="51">
        <v>1536.4</v>
      </c>
      <c r="F75" s="51">
        <f>SUM(E75*12)</f>
        <v>18436.800000000003</v>
      </c>
      <c r="G75" s="80">
        <v>2.2400000000000002</v>
      </c>
      <c r="H75" s="120">
        <f>SUM(F75*G75/1000)</f>
        <v>41.298432000000005</v>
      </c>
      <c r="I75" s="35">
        <f>F75/12*G75</f>
        <v>3441.536000000001</v>
      </c>
      <c r="J75" s="35">
        <f>F75/12*G75</f>
        <v>3441.536000000001</v>
      </c>
      <c r="K75" s="35">
        <f>F75/12*G75</f>
        <v>3441.536000000001</v>
      </c>
      <c r="L75" s="35">
        <f>F75/12*G75</f>
        <v>3441.536000000001</v>
      </c>
      <c r="M75" s="35">
        <f>F75/12*G75</f>
        <v>3441.536000000001</v>
      </c>
      <c r="N75" s="35">
        <f>F75/12*G75</f>
        <v>3441.536000000001</v>
      </c>
      <c r="O75" s="35">
        <f>F75/12*G75</f>
        <v>3441.536000000001</v>
      </c>
      <c r="P75" s="35">
        <f>F75/12*G75</f>
        <v>3441.536000000001</v>
      </c>
      <c r="Q75" s="35">
        <f>F75/12*G75</f>
        <v>3441.536000000001</v>
      </c>
      <c r="R75" s="35">
        <f>F75/12*G75</f>
        <v>3441.536000000001</v>
      </c>
      <c r="S75" s="35">
        <f>F75/12*G75</f>
        <v>3441.536000000001</v>
      </c>
      <c r="T75" s="35">
        <f>F75/12*G75</f>
        <v>3441.536000000001</v>
      </c>
      <c r="U75" s="35">
        <f>SUM(I75:P75)</f>
        <v>27532.288000000004</v>
      </c>
    </row>
    <row r="76" spans="1:28" s="19" customFormat="1">
      <c r="A76" s="81"/>
      <c r="B76" s="20" t="s">
        <v>26</v>
      </c>
      <c r="C76" s="82"/>
      <c r="D76" s="83"/>
      <c r="E76" s="84"/>
      <c r="F76" s="42"/>
      <c r="G76" s="85"/>
      <c r="H76" s="43">
        <f>SUM(H74:H75)</f>
        <v>46.936232000000004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>
        <f>SUM(U74:U75)</f>
        <v>27532.288000000004</v>
      </c>
    </row>
    <row r="77" spans="1:28" ht="25.5" customHeight="1">
      <c r="A77" s="148"/>
      <c r="B77" s="8" t="s">
        <v>86</v>
      </c>
      <c r="C77" s="64"/>
      <c r="D77" s="86"/>
      <c r="E77" s="32">
        <f>E75</f>
        <v>1536.4</v>
      </c>
      <c r="F77" s="51">
        <f>E77*12</f>
        <v>18436.800000000003</v>
      </c>
      <c r="G77" s="51">
        <v>1.74</v>
      </c>
      <c r="H77" s="120">
        <f>F77*G77/1000</f>
        <v>32.08003200000001</v>
      </c>
      <c r="I77" s="35">
        <f>F77/12*G77</f>
        <v>2673.3360000000007</v>
      </c>
      <c r="J77" s="35">
        <f>F77/12*G77</f>
        <v>2673.3360000000007</v>
      </c>
      <c r="K77" s="35">
        <f>F77/12*G77</f>
        <v>2673.3360000000007</v>
      </c>
      <c r="L77" s="35">
        <f>F77/12*G77</f>
        <v>2673.3360000000007</v>
      </c>
      <c r="M77" s="35">
        <f>F77/12*G77</f>
        <v>2673.3360000000007</v>
      </c>
      <c r="N77" s="35">
        <f>F77/12*G77</f>
        <v>2673.3360000000007</v>
      </c>
      <c r="O77" s="35">
        <f>F77/12*G77</f>
        <v>2673.3360000000007</v>
      </c>
      <c r="P77" s="35">
        <f>F77/12*G77</f>
        <v>2673.3360000000007</v>
      </c>
      <c r="Q77" s="35">
        <f>F77/12*G77</f>
        <v>2673.3360000000007</v>
      </c>
      <c r="R77" s="35">
        <f>F77/12*G77</f>
        <v>2673.3360000000007</v>
      </c>
      <c r="S77" s="35">
        <f>F77/12*G77</f>
        <v>2673.3360000000007</v>
      </c>
      <c r="T77" s="35">
        <f>F77/12*G77</f>
        <v>2673.3360000000007</v>
      </c>
      <c r="U77" s="35">
        <f>SUM(I77:P77)</f>
        <v>21386.688000000006</v>
      </c>
    </row>
    <row r="78" spans="1:28" s="19" customFormat="1">
      <c r="A78" s="81"/>
      <c r="B78" s="87" t="s">
        <v>87</v>
      </c>
      <c r="C78" s="88"/>
      <c r="D78" s="87"/>
      <c r="E78" s="42"/>
      <c r="F78" s="42"/>
      <c r="G78" s="42"/>
      <c r="H78" s="74">
        <f>H77</f>
        <v>32.08003200000001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122">
        <f>U77</f>
        <v>21386.688000000006</v>
      </c>
    </row>
    <row r="79" spans="1:28" s="19" customFormat="1">
      <c r="A79" s="81"/>
      <c r="B79" s="87" t="s">
        <v>88</v>
      </c>
      <c r="C79" s="89"/>
      <c r="D79" s="90"/>
      <c r="E79" s="91"/>
      <c r="F79" s="91"/>
      <c r="G79" s="91"/>
      <c r="H79" s="74">
        <f>SUM(H78+H76+H73+H53+H41+H32+H22)</f>
        <v>384.26813025890004</v>
      </c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122">
        <f>SUM(U78+U76+U73+U53+U41+U32+U22)*1.094</f>
        <v>284837.55953683978</v>
      </c>
    </row>
    <row r="80" spans="1:28" s="118" customFormat="1" ht="51" customHeight="1">
      <c r="A80" s="94"/>
      <c r="B80" s="68"/>
      <c r="C80" s="64"/>
      <c r="D80" s="86"/>
      <c r="E80" s="51"/>
      <c r="F80" s="51"/>
      <c r="G80" s="51"/>
      <c r="H80" s="117"/>
      <c r="I80" s="51"/>
      <c r="J80" s="51"/>
      <c r="K80" s="51"/>
      <c r="L80" s="51"/>
      <c r="M80" s="51"/>
      <c r="N80" s="51"/>
      <c r="O80" s="51"/>
      <c r="P80" s="51"/>
      <c r="Q80" s="51"/>
      <c r="R80" s="128"/>
      <c r="S80" s="128"/>
      <c r="T80" s="128"/>
      <c r="U80" s="129" t="s">
        <v>141</v>
      </c>
      <c r="X80" s="156"/>
      <c r="Y80" s="156"/>
      <c r="Z80" s="156"/>
      <c r="AA80" s="156"/>
      <c r="AB80" s="156"/>
    </row>
    <row r="81" spans="1:21">
      <c r="A81" s="148"/>
      <c r="B81" s="86" t="s">
        <v>89</v>
      </c>
      <c r="C81" s="64"/>
      <c r="D81" s="86"/>
      <c r="E81" s="51"/>
      <c r="F81" s="51"/>
      <c r="G81" s="51" t="s">
        <v>90</v>
      </c>
      <c r="H81" s="92">
        <f>E77</f>
        <v>1536.4</v>
      </c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</row>
    <row r="82" spans="1:21" s="19" customFormat="1">
      <c r="A82" s="81"/>
      <c r="B82" s="90" t="s">
        <v>91</v>
      </c>
      <c r="C82" s="89"/>
      <c r="D82" s="90"/>
      <c r="E82" s="91"/>
      <c r="F82" s="91"/>
      <c r="G82" s="91"/>
      <c r="H82" s="93">
        <f>SUM(H79/H81/12*1000)</f>
        <v>20.842452608852948</v>
      </c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123"/>
    </row>
    <row r="83" spans="1:21">
      <c r="A83" s="94"/>
      <c r="B83" s="86"/>
      <c r="C83" s="64"/>
      <c r="D83" s="86"/>
      <c r="E83" s="51"/>
      <c r="F83" s="51"/>
      <c r="G83" s="51"/>
      <c r="H83" s="9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24"/>
    </row>
    <row r="84" spans="1:21">
      <c r="A84" s="148"/>
      <c r="B84" s="68" t="s">
        <v>92</v>
      </c>
      <c r="C84" s="64"/>
      <c r="D84" s="86"/>
      <c r="E84" s="51"/>
      <c r="F84" s="51"/>
      <c r="G84" s="51"/>
      <c r="H84" s="5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</row>
    <row r="85" spans="1:21" ht="25.5">
      <c r="A85" s="130" t="s">
        <v>216</v>
      </c>
      <c r="B85" s="131" t="s">
        <v>124</v>
      </c>
      <c r="C85" s="116" t="s">
        <v>61</v>
      </c>
      <c r="D85" s="86"/>
      <c r="E85" s="51"/>
      <c r="F85" s="51">
        <v>216</v>
      </c>
      <c r="G85" s="51">
        <v>50.68</v>
      </c>
      <c r="H85" s="51">
        <f>G85*F85/1000</f>
        <v>10.946879999999998</v>
      </c>
      <c r="I85" s="35">
        <f>G85*27</f>
        <v>1368.36</v>
      </c>
      <c r="J85" s="35">
        <f>G85*27</f>
        <v>1368.36</v>
      </c>
      <c r="K85" s="35">
        <f>G85*27</f>
        <v>1368.36</v>
      </c>
      <c r="L85" s="35">
        <f>G85*27</f>
        <v>1368.36</v>
      </c>
      <c r="M85" s="35">
        <f>G85*27</f>
        <v>1368.36</v>
      </c>
      <c r="N85" s="35">
        <f>G85*27</f>
        <v>1368.36</v>
      </c>
      <c r="O85" s="35">
        <f>G85*27</f>
        <v>1368.36</v>
      </c>
      <c r="P85" s="35">
        <f>G85*27</f>
        <v>1368.36</v>
      </c>
      <c r="Q85" s="35">
        <v>0</v>
      </c>
      <c r="R85" s="35">
        <v>0</v>
      </c>
      <c r="S85" s="35">
        <v>0</v>
      </c>
      <c r="T85" s="35">
        <v>0</v>
      </c>
      <c r="U85" s="35">
        <f>SUM(I85:P85)</f>
        <v>10946.880000000001</v>
      </c>
    </row>
    <row r="86" spans="1:21">
      <c r="A86" s="132" t="s">
        <v>217</v>
      </c>
      <c r="B86" s="133" t="s">
        <v>140</v>
      </c>
      <c r="C86" s="116" t="s">
        <v>127</v>
      </c>
      <c r="D86" s="86"/>
      <c r="E86" s="51"/>
      <c r="F86" s="51">
        <v>1</v>
      </c>
      <c r="G86" s="51">
        <v>476.76</v>
      </c>
      <c r="H86" s="51">
        <f>G86*F86/1000</f>
        <v>0.47676000000000002</v>
      </c>
      <c r="I86" s="35">
        <f>G86</f>
        <v>476.76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/>
      <c r="R86" s="35"/>
      <c r="S86" s="35"/>
      <c r="T86" s="35"/>
      <c r="U86" s="35">
        <f t="shared" ref="U86:U105" si="19">SUM(I86:P86)</f>
        <v>476.76</v>
      </c>
    </row>
    <row r="87" spans="1:21" ht="38.25">
      <c r="A87" s="116" t="s">
        <v>218</v>
      </c>
      <c r="B87" s="133" t="s">
        <v>145</v>
      </c>
      <c r="C87" s="116" t="s">
        <v>146</v>
      </c>
      <c r="D87" s="86"/>
      <c r="E87" s="51"/>
      <c r="F87" s="51">
        <v>1</v>
      </c>
      <c r="G87" s="51">
        <v>51.39</v>
      </c>
      <c r="H87" s="51">
        <f>G87*F87/1000</f>
        <v>5.1389999999999998E-2</v>
      </c>
      <c r="I87" s="35">
        <v>0</v>
      </c>
      <c r="J87" s="35">
        <v>0</v>
      </c>
      <c r="K87" s="35">
        <v>0</v>
      </c>
      <c r="L87" s="35">
        <f>G87</f>
        <v>51.39</v>
      </c>
      <c r="M87" s="35">
        <v>0</v>
      </c>
      <c r="N87" s="35">
        <v>0</v>
      </c>
      <c r="O87" s="35">
        <v>0</v>
      </c>
      <c r="P87" s="35">
        <v>0</v>
      </c>
      <c r="Q87" s="35"/>
      <c r="R87" s="35"/>
      <c r="S87" s="35"/>
      <c r="T87" s="35"/>
      <c r="U87" s="35">
        <f t="shared" si="19"/>
        <v>51.39</v>
      </c>
    </row>
    <row r="88" spans="1:21">
      <c r="A88" s="130" t="s">
        <v>133</v>
      </c>
      <c r="B88" s="131" t="s">
        <v>134</v>
      </c>
      <c r="C88" s="119" t="s">
        <v>135</v>
      </c>
      <c r="D88" s="86"/>
      <c r="E88" s="51"/>
      <c r="F88" s="51">
        <v>2</v>
      </c>
      <c r="G88" s="51">
        <v>1501</v>
      </c>
      <c r="H88" s="120">
        <f>G88*F88/1000</f>
        <v>3.0019999999999998</v>
      </c>
      <c r="I88" s="35">
        <v>0</v>
      </c>
      <c r="J88" s="35">
        <v>0</v>
      </c>
      <c r="K88" s="35">
        <v>0</v>
      </c>
      <c r="L88" s="35">
        <f>G88*2</f>
        <v>3002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f t="shared" si="19"/>
        <v>3002</v>
      </c>
    </row>
    <row r="89" spans="1:21">
      <c r="A89" s="132" t="s">
        <v>148</v>
      </c>
      <c r="B89" s="131" t="s">
        <v>147</v>
      </c>
      <c r="C89" s="116" t="s">
        <v>149</v>
      </c>
      <c r="D89" s="86"/>
      <c r="E89" s="51"/>
      <c r="F89" s="51">
        <v>1</v>
      </c>
      <c r="G89" s="51">
        <v>15786</v>
      </c>
      <c r="H89" s="51">
        <f t="shared" ref="H89:H91" si="20">G89*F89/1000</f>
        <v>15.786</v>
      </c>
      <c r="I89" s="35">
        <v>0</v>
      </c>
      <c r="J89" s="35">
        <v>0</v>
      </c>
      <c r="K89" s="35">
        <v>0</v>
      </c>
      <c r="L89" s="35">
        <f>G89</f>
        <v>15786</v>
      </c>
      <c r="M89" s="35">
        <v>0</v>
      </c>
      <c r="N89" s="35">
        <v>0</v>
      </c>
      <c r="O89" s="35">
        <v>0</v>
      </c>
      <c r="P89" s="35">
        <v>0</v>
      </c>
      <c r="Q89" s="35"/>
      <c r="R89" s="35"/>
      <c r="S89" s="35"/>
      <c r="T89" s="35"/>
      <c r="U89" s="35">
        <f t="shared" si="19"/>
        <v>15786</v>
      </c>
    </row>
    <row r="90" spans="1:21" ht="25.5">
      <c r="A90" s="130" t="s">
        <v>219</v>
      </c>
      <c r="B90" s="131" t="s">
        <v>142</v>
      </c>
      <c r="C90" s="130" t="s">
        <v>128</v>
      </c>
      <c r="D90" s="86"/>
      <c r="E90" s="51"/>
      <c r="F90" s="51">
        <v>3</v>
      </c>
      <c r="G90" s="51">
        <v>851.93</v>
      </c>
      <c r="H90" s="51">
        <f t="shared" si="20"/>
        <v>2.55579</v>
      </c>
      <c r="I90" s="35">
        <v>0</v>
      </c>
      <c r="J90" s="35">
        <v>0</v>
      </c>
      <c r="K90" s="35">
        <v>0</v>
      </c>
      <c r="L90" s="35">
        <f>G90*3</f>
        <v>2555.79</v>
      </c>
      <c r="M90" s="35">
        <v>0</v>
      </c>
      <c r="N90" s="35">
        <v>0</v>
      </c>
      <c r="O90" s="35">
        <v>0</v>
      </c>
      <c r="P90" s="35">
        <v>0</v>
      </c>
      <c r="Q90" s="35"/>
      <c r="R90" s="35"/>
      <c r="S90" s="35"/>
      <c r="T90" s="35"/>
      <c r="U90" s="35">
        <f t="shared" si="19"/>
        <v>2555.79</v>
      </c>
    </row>
    <row r="91" spans="1:21" ht="25.5">
      <c r="A91" s="130" t="s">
        <v>150</v>
      </c>
      <c r="B91" s="131" t="s">
        <v>151</v>
      </c>
      <c r="C91" s="130" t="s">
        <v>34</v>
      </c>
      <c r="D91" s="86"/>
      <c r="E91" s="51"/>
      <c r="F91" s="51">
        <v>3</v>
      </c>
      <c r="G91" s="51">
        <v>160</v>
      </c>
      <c r="H91" s="120">
        <f t="shared" si="20"/>
        <v>0.48</v>
      </c>
      <c r="I91" s="35">
        <v>0</v>
      </c>
      <c r="J91" s="35">
        <v>0</v>
      </c>
      <c r="K91" s="35">
        <v>0</v>
      </c>
      <c r="L91" s="35">
        <f>G91*3</f>
        <v>480</v>
      </c>
      <c r="M91" s="35">
        <v>0</v>
      </c>
      <c r="N91" s="35">
        <v>0</v>
      </c>
      <c r="O91" s="35">
        <v>0</v>
      </c>
      <c r="P91" s="35">
        <v>0</v>
      </c>
      <c r="Q91" s="35"/>
      <c r="R91" s="35"/>
      <c r="S91" s="35"/>
      <c r="T91" s="35"/>
      <c r="U91" s="35">
        <f t="shared" si="19"/>
        <v>480</v>
      </c>
    </row>
    <row r="92" spans="1:21" ht="25.5">
      <c r="A92" s="130" t="s">
        <v>220</v>
      </c>
      <c r="B92" s="131" t="s">
        <v>126</v>
      </c>
      <c r="C92" s="119" t="s">
        <v>61</v>
      </c>
      <c r="D92" s="86"/>
      <c r="E92" s="51"/>
      <c r="F92" s="51">
        <v>4</v>
      </c>
      <c r="G92" s="51">
        <v>180.15</v>
      </c>
      <c r="H92" s="120">
        <f>G92*F92/1000</f>
        <v>0.72060000000000002</v>
      </c>
      <c r="I92" s="35">
        <v>0</v>
      </c>
      <c r="J92" s="35">
        <v>0</v>
      </c>
      <c r="K92" s="35">
        <v>0</v>
      </c>
      <c r="L92" s="35">
        <f>G92*3</f>
        <v>540.45000000000005</v>
      </c>
      <c r="M92" s="35">
        <f>G92</f>
        <v>180.15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f t="shared" si="19"/>
        <v>720.6</v>
      </c>
    </row>
    <row r="93" spans="1:21" ht="25.5">
      <c r="A93" s="134" t="s">
        <v>133</v>
      </c>
      <c r="B93" s="135" t="s">
        <v>160</v>
      </c>
      <c r="C93" s="136" t="s">
        <v>138</v>
      </c>
      <c r="D93" s="86"/>
      <c r="E93" s="51"/>
      <c r="F93" s="51">
        <v>1</v>
      </c>
      <c r="G93" s="51">
        <v>1835.8</v>
      </c>
      <c r="H93" s="120">
        <f>G93*F93/1000</f>
        <v>1.8357999999999999</v>
      </c>
      <c r="I93" s="35">
        <v>0</v>
      </c>
      <c r="J93" s="35">
        <v>0</v>
      </c>
      <c r="K93" s="35">
        <v>0</v>
      </c>
      <c r="L93" s="35">
        <v>0</v>
      </c>
      <c r="M93" s="35">
        <f>G93</f>
        <v>1835.8</v>
      </c>
      <c r="N93" s="35">
        <v>0</v>
      </c>
      <c r="O93" s="35">
        <v>0</v>
      </c>
      <c r="P93" s="35">
        <v>0</v>
      </c>
      <c r="Q93" s="35"/>
      <c r="R93" s="35"/>
      <c r="S93" s="35"/>
      <c r="T93" s="35"/>
      <c r="U93" s="35">
        <f t="shared" si="19"/>
        <v>1835.8</v>
      </c>
    </row>
    <row r="94" spans="1:21" ht="25.5">
      <c r="A94" s="130" t="s">
        <v>148</v>
      </c>
      <c r="B94" s="131" t="s">
        <v>229</v>
      </c>
      <c r="C94" s="130" t="s">
        <v>128</v>
      </c>
      <c r="D94" s="137"/>
      <c r="E94" s="138"/>
      <c r="F94" s="138">
        <v>2</v>
      </c>
      <c r="G94" s="138">
        <v>1206</v>
      </c>
      <c r="H94" s="139">
        <f t="shared" ref="H94" si="21">G94*F94/1000</f>
        <v>2.4119999999999999</v>
      </c>
      <c r="I94" s="35">
        <v>0</v>
      </c>
      <c r="J94" s="35">
        <v>0</v>
      </c>
      <c r="K94" s="35">
        <v>0</v>
      </c>
      <c r="L94" s="35">
        <v>0</v>
      </c>
      <c r="M94" s="35">
        <f>G94*2</f>
        <v>2412</v>
      </c>
      <c r="N94" s="35">
        <v>0</v>
      </c>
      <c r="O94" s="35">
        <v>0</v>
      </c>
      <c r="P94" s="35">
        <v>0</v>
      </c>
      <c r="Q94" s="35"/>
      <c r="R94" s="35"/>
      <c r="S94" s="35"/>
      <c r="T94" s="35"/>
      <c r="U94" s="35">
        <f t="shared" si="19"/>
        <v>2412</v>
      </c>
    </row>
    <row r="95" spans="1:21" ht="25.5" customHeight="1">
      <c r="A95" s="130" t="s">
        <v>203</v>
      </c>
      <c r="B95" s="131" t="s">
        <v>139</v>
      </c>
      <c r="C95" s="116" t="s">
        <v>58</v>
      </c>
      <c r="D95" s="86"/>
      <c r="E95" s="51"/>
      <c r="F95" s="51">
        <v>0.03</v>
      </c>
      <c r="G95" s="51">
        <v>3397.65</v>
      </c>
      <c r="H95" s="120">
        <f>G95*F95/1000</f>
        <v>0.10192950000000001</v>
      </c>
      <c r="I95" s="35">
        <v>0</v>
      </c>
      <c r="J95" s="35">
        <v>0</v>
      </c>
      <c r="K95" s="35">
        <v>0</v>
      </c>
      <c r="L95" s="35">
        <v>0</v>
      </c>
      <c r="M95" s="35">
        <f>G95*0.03</f>
        <v>101.9295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f t="shared" si="19"/>
        <v>101.9295</v>
      </c>
    </row>
    <row r="96" spans="1:21" ht="25.5" customHeight="1">
      <c r="A96" s="130" t="s">
        <v>202</v>
      </c>
      <c r="B96" s="131" t="s">
        <v>125</v>
      </c>
      <c r="C96" s="116" t="s">
        <v>46</v>
      </c>
      <c r="D96" s="86"/>
      <c r="E96" s="51"/>
      <c r="F96" s="140">
        <f>3/1000</f>
        <v>3.0000000000000001E-3</v>
      </c>
      <c r="G96" s="51">
        <v>1510.06</v>
      </c>
      <c r="H96" s="140">
        <f t="shared" ref="H96" si="22">G96*F96/1000</f>
        <v>4.53018E-3</v>
      </c>
      <c r="I96" s="35">
        <v>0</v>
      </c>
      <c r="J96" s="35">
        <v>0</v>
      </c>
      <c r="K96" s="35">
        <v>0</v>
      </c>
      <c r="L96" s="35">
        <v>0</v>
      </c>
      <c r="M96" s="35">
        <f>G96*0.003</f>
        <v>4.5301799999999997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f t="shared" si="19"/>
        <v>4.5301799999999997</v>
      </c>
    </row>
    <row r="97" spans="1:21" ht="25.5" customHeight="1">
      <c r="A97" s="116" t="s">
        <v>204</v>
      </c>
      <c r="B97" s="133" t="s">
        <v>144</v>
      </c>
      <c r="C97" s="116" t="s">
        <v>143</v>
      </c>
      <c r="D97" s="86"/>
      <c r="E97" s="51"/>
      <c r="F97" s="51">
        <f>3/100</f>
        <v>0.03</v>
      </c>
      <c r="G97" s="51">
        <v>7033.13</v>
      </c>
      <c r="H97" s="120">
        <f>G97*F97/1000</f>
        <v>0.21099389999999998</v>
      </c>
      <c r="I97" s="35">
        <v>0</v>
      </c>
      <c r="J97" s="35">
        <v>0</v>
      </c>
      <c r="K97" s="35">
        <v>0</v>
      </c>
      <c r="L97" s="35">
        <v>0</v>
      </c>
      <c r="M97" s="35">
        <f>G97*0.03</f>
        <v>210.9939</v>
      </c>
      <c r="N97" s="35">
        <v>0</v>
      </c>
      <c r="O97" s="35">
        <v>0</v>
      </c>
      <c r="P97" s="35">
        <v>0</v>
      </c>
      <c r="Q97" s="35"/>
      <c r="R97" s="35"/>
      <c r="S97" s="35"/>
      <c r="T97" s="35"/>
      <c r="U97" s="35">
        <f t="shared" si="19"/>
        <v>210.9939</v>
      </c>
    </row>
    <row r="98" spans="1:21" ht="12.75" customHeight="1">
      <c r="A98" s="132" t="s">
        <v>221</v>
      </c>
      <c r="B98" s="133" t="s">
        <v>161</v>
      </c>
      <c r="C98" s="116" t="s">
        <v>61</v>
      </c>
      <c r="D98" s="86"/>
      <c r="E98" s="51"/>
      <c r="F98" s="51">
        <v>1</v>
      </c>
      <c r="G98" s="51">
        <v>124.25</v>
      </c>
      <c r="H98" s="120">
        <f t="shared" ref="H98:H102" si="23">G98*F98/1000</f>
        <v>0.12425</v>
      </c>
      <c r="I98" s="35">
        <v>0</v>
      </c>
      <c r="J98" s="35">
        <v>0</v>
      </c>
      <c r="K98" s="35">
        <v>0</v>
      </c>
      <c r="L98" s="35">
        <v>0</v>
      </c>
      <c r="M98" s="35">
        <f>G98</f>
        <v>124.25</v>
      </c>
      <c r="N98" s="35">
        <v>0</v>
      </c>
      <c r="O98" s="35">
        <v>0</v>
      </c>
      <c r="P98" s="35">
        <v>0</v>
      </c>
      <c r="Q98" s="35"/>
      <c r="R98" s="35"/>
      <c r="S98" s="35"/>
      <c r="T98" s="35"/>
      <c r="U98" s="35">
        <f t="shared" si="19"/>
        <v>124.25</v>
      </c>
    </row>
    <row r="99" spans="1:21" ht="12.75" customHeight="1">
      <c r="A99" s="132" t="s">
        <v>222</v>
      </c>
      <c r="B99" s="133" t="s">
        <v>162</v>
      </c>
      <c r="C99" s="116" t="s">
        <v>163</v>
      </c>
      <c r="D99" s="86"/>
      <c r="E99" s="51"/>
      <c r="F99" s="51">
        <v>2</v>
      </c>
      <c r="G99" s="51">
        <v>83.63</v>
      </c>
      <c r="H99" s="120">
        <f t="shared" si="23"/>
        <v>0.16725999999999999</v>
      </c>
      <c r="I99" s="35">
        <v>0</v>
      </c>
      <c r="J99" s="35">
        <v>0</v>
      </c>
      <c r="K99" s="35">
        <v>0</v>
      </c>
      <c r="L99" s="35">
        <v>0</v>
      </c>
      <c r="M99" s="35">
        <f>G99*2</f>
        <v>167.26</v>
      </c>
      <c r="N99" s="35">
        <v>0</v>
      </c>
      <c r="O99" s="35">
        <v>0</v>
      </c>
      <c r="P99" s="35">
        <v>0</v>
      </c>
      <c r="Q99" s="35"/>
      <c r="R99" s="35"/>
      <c r="S99" s="35"/>
      <c r="T99" s="35"/>
      <c r="U99" s="35">
        <f t="shared" si="19"/>
        <v>167.26</v>
      </c>
    </row>
    <row r="100" spans="1:21" ht="25.5" customHeight="1">
      <c r="A100" s="141" t="s">
        <v>223</v>
      </c>
      <c r="B100" s="131" t="s">
        <v>164</v>
      </c>
      <c r="C100" s="130" t="s">
        <v>61</v>
      </c>
      <c r="D100" s="86"/>
      <c r="E100" s="51"/>
      <c r="F100" s="51">
        <v>1</v>
      </c>
      <c r="G100" s="51">
        <v>79.09</v>
      </c>
      <c r="H100" s="120">
        <f t="shared" si="23"/>
        <v>7.9090000000000008E-2</v>
      </c>
      <c r="I100" s="35">
        <v>0</v>
      </c>
      <c r="J100" s="35">
        <v>0</v>
      </c>
      <c r="K100" s="35">
        <v>0</v>
      </c>
      <c r="L100" s="35">
        <v>0</v>
      </c>
      <c r="M100" s="35">
        <f>G100</f>
        <v>79.09</v>
      </c>
      <c r="N100" s="35">
        <v>0</v>
      </c>
      <c r="O100" s="35">
        <v>0</v>
      </c>
      <c r="P100" s="35">
        <v>0</v>
      </c>
      <c r="Q100" s="35"/>
      <c r="R100" s="35"/>
      <c r="S100" s="35"/>
      <c r="T100" s="35"/>
      <c r="U100" s="35">
        <f t="shared" si="19"/>
        <v>79.09</v>
      </c>
    </row>
    <row r="101" spans="1:21" ht="12.75" customHeight="1">
      <c r="A101" s="132" t="s">
        <v>224</v>
      </c>
      <c r="B101" s="133" t="s">
        <v>165</v>
      </c>
      <c r="C101" s="116" t="s">
        <v>61</v>
      </c>
      <c r="D101" s="86"/>
      <c r="E101" s="51"/>
      <c r="F101" s="51">
        <v>1</v>
      </c>
      <c r="G101" s="51">
        <v>5692.42</v>
      </c>
      <c r="H101" s="120">
        <f t="shared" si="23"/>
        <v>5.6924200000000003</v>
      </c>
      <c r="I101" s="35">
        <v>0</v>
      </c>
      <c r="J101" s="35">
        <v>0</v>
      </c>
      <c r="K101" s="35">
        <v>0</v>
      </c>
      <c r="L101" s="35">
        <v>0</v>
      </c>
      <c r="M101" s="35">
        <f>G101</f>
        <v>5692.42</v>
      </c>
      <c r="N101" s="35">
        <v>0</v>
      </c>
      <c r="O101" s="35">
        <v>0</v>
      </c>
      <c r="P101" s="35">
        <v>0</v>
      </c>
      <c r="Q101" s="35"/>
      <c r="R101" s="35"/>
      <c r="S101" s="35"/>
      <c r="T101" s="35"/>
      <c r="U101" s="35">
        <f t="shared" si="19"/>
        <v>5692.42</v>
      </c>
    </row>
    <row r="102" spans="1:21" ht="12.75" customHeight="1">
      <c r="A102" s="132" t="s">
        <v>148</v>
      </c>
      <c r="B102" s="133" t="s">
        <v>166</v>
      </c>
      <c r="C102" s="116" t="s">
        <v>167</v>
      </c>
      <c r="D102" s="86"/>
      <c r="E102" s="51"/>
      <c r="F102" s="51">
        <v>1</v>
      </c>
      <c r="G102" s="51">
        <v>2426</v>
      </c>
      <c r="H102" s="120">
        <f t="shared" si="23"/>
        <v>2.4260000000000002</v>
      </c>
      <c r="I102" s="35">
        <v>0</v>
      </c>
      <c r="J102" s="35">
        <v>0</v>
      </c>
      <c r="K102" s="35">
        <v>0</v>
      </c>
      <c r="L102" s="35">
        <v>0</v>
      </c>
      <c r="M102" s="35">
        <f>G102</f>
        <v>2426</v>
      </c>
      <c r="N102" s="35">
        <v>0</v>
      </c>
      <c r="O102" s="35">
        <v>0</v>
      </c>
      <c r="P102" s="35">
        <v>0</v>
      </c>
      <c r="Q102" s="35"/>
      <c r="R102" s="35"/>
      <c r="S102" s="35"/>
      <c r="T102" s="35"/>
      <c r="U102" s="35">
        <f t="shared" si="19"/>
        <v>2426</v>
      </c>
    </row>
    <row r="103" spans="1:21" ht="12.75" customHeight="1">
      <c r="A103" s="130" t="s">
        <v>225</v>
      </c>
      <c r="B103" s="131" t="s">
        <v>171</v>
      </c>
      <c r="C103" s="130" t="s">
        <v>137</v>
      </c>
      <c r="D103" s="137"/>
      <c r="E103" s="138"/>
      <c r="F103" s="138">
        <v>1</v>
      </c>
      <c r="G103" s="138">
        <v>185.81</v>
      </c>
      <c r="H103" s="139">
        <f>G103*F103/1000</f>
        <v>0.18581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f>G103</f>
        <v>185.81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f t="shared" si="19"/>
        <v>185.81</v>
      </c>
    </row>
    <row r="104" spans="1:21" ht="12.75" customHeight="1">
      <c r="A104" s="130" t="s">
        <v>148</v>
      </c>
      <c r="B104" s="131" t="s">
        <v>172</v>
      </c>
      <c r="C104" s="130" t="s">
        <v>235</v>
      </c>
      <c r="D104" s="137"/>
      <c r="E104" s="138"/>
      <c r="F104" s="138">
        <v>1</v>
      </c>
      <c r="G104" s="138">
        <v>198489.78</v>
      </c>
      <c r="H104" s="139">
        <f t="shared" ref="H104:H105" si="24">G104*F104/1000</f>
        <v>198.48978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f>G104</f>
        <v>198489.78</v>
      </c>
      <c r="O104" s="35">
        <v>0</v>
      </c>
      <c r="P104" s="35">
        <v>0</v>
      </c>
      <c r="Q104" s="35"/>
      <c r="R104" s="35"/>
      <c r="S104" s="35"/>
      <c r="T104" s="35"/>
      <c r="U104" s="35">
        <f t="shared" si="19"/>
        <v>198489.78</v>
      </c>
    </row>
    <row r="105" spans="1:21" ht="12.75" customHeight="1">
      <c r="A105" s="153" t="s">
        <v>226</v>
      </c>
      <c r="B105" s="154" t="s">
        <v>173</v>
      </c>
      <c r="C105" s="130" t="s">
        <v>61</v>
      </c>
      <c r="D105" s="137"/>
      <c r="E105" s="138"/>
      <c r="F105" s="138">
        <v>1</v>
      </c>
      <c r="G105" s="138">
        <v>179.96</v>
      </c>
      <c r="H105" s="139">
        <f t="shared" si="24"/>
        <v>0.17996000000000001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f>G105</f>
        <v>179.96</v>
      </c>
      <c r="P105" s="35">
        <v>0</v>
      </c>
      <c r="Q105" s="35"/>
      <c r="R105" s="35"/>
      <c r="S105" s="35"/>
      <c r="T105" s="35"/>
      <c r="U105" s="35">
        <f t="shared" si="19"/>
        <v>179.96</v>
      </c>
    </row>
    <row r="106" spans="1:21" s="19" customFormat="1">
      <c r="A106" s="96"/>
      <c r="B106" s="97" t="s">
        <v>93</v>
      </c>
      <c r="C106" s="96"/>
      <c r="D106" s="96"/>
      <c r="E106" s="91"/>
      <c r="F106" s="91"/>
      <c r="G106" s="91"/>
      <c r="H106" s="43">
        <f>SUM(H85:H105)</f>
        <v>245.92924357999999</v>
      </c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42">
        <f>SUM(U85:U105)</f>
        <v>245929.24357999998</v>
      </c>
    </row>
    <row r="107" spans="1:21">
      <c r="A107" s="94"/>
      <c r="B107" s="98"/>
      <c r="C107" s="99"/>
      <c r="D107" s="99"/>
      <c r="E107" s="51"/>
      <c r="F107" s="51"/>
      <c r="G107" s="51"/>
      <c r="H107" s="100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125"/>
    </row>
    <row r="108" spans="1:21" ht="12" customHeight="1">
      <c r="A108" s="148"/>
      <c r="B108" s="18" t="s">
        <v>94</v>
      </c>
      <c r="C108" s="64"/>
      <c r="D108" s="86"/>
      <c r="E108" s="51"/>
      <c r="F108" s="51"/>
      <c r="G108" s="51"/>
      <c r="H108" s="101">
        <f>H106/E109/12*1000</f>
        <v>13.339041676429748</v>
      </c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125"/>
    </row>
    <row r="109" spans="1:21" s="19" customFormat="1">
      <c r="A109" s="81"/>
      <c r="B109" s="102" t="s">
        <v>95</v>
      </c>
      <c r="C109" s="103"/>
      <c r="D109" s="102"/>
      <c r="E109" s="151">
        <v>1536.4</v>
      </c>
      <c r="F109" s="104">
        <f>SUM(E109*12)</f>
        <v>18436.800000000003</v>
      </c>
      <c r="G109" s="105">
        <f>H82+H108</f>
        <v>34.181494285282696</v>
      </c>
      <c r="H109" s="106">
        <f>SUM(F109*G109/1000)</f>
        <v>630.19737383890015</v>
      </c>
      <c r="I109" s="91">
        <f t="shared" ref="I109:R109" si="25">SUM(I11:I108)</f>
        <v>34094.360578916669</v>
      </c>
      <c r="J109" s="91">
        <f t="shared" si="25"/>
        <v>29896.470578916666</v>
      </c>
      <c r="K109" s="91">
        <f t="shared" si="25"/>
        <v>28985.131378916667</v>
      </c>
      <c r="L109" s="91">
        <f t="shared" si="25"/>
        <v>55682.752678916666</v>
      </c>
      <c r="M109" s="91">
        <f t="shared" si="25"/>
        <v>82282.017011399992</v>
      </c>
      <c r="N109" s="91">
        <f t="shared" si="25"/>
        <v>223163.9910984</v>
      </c>
      <c r="O109" s="91">
        <f t="shared" si="25"/>
        <v>24323.3750984</v>
      </c>
      <c r="P109" s="91">
        <f t="shared" si="25"/>
        <v>27864.545098400002</v>
      </c>
      <c r="Q109" s="91">
        <f t="shared" si="25"/>
        <v>23589.564298399997</v>
      </c>
      <c r="R109" s="91">
        <f t="shared" si="25"/>
        <v>30126.584074399994</v>
      </c>
      <c r="S109" s="91">
        <f>SUM(S11:S108)</f>
        <v>27616.771378916666</v>
      </c>
      <c r="T109" s="91">
        <f>SUM(T11:T108)</f>
        <v>28485.457578916667</v>
      </c>
      <c r="U109" s="42">
        <f>U79+U106</f>
        <v>530766.80311683973</v>
      </c>
    </row>
    <row r="110" spans="1:21">
      <c r="A110" s="67"/>
      <c r="B110" s="67"/>
      <c r="C110" s="67"/>
      <c r="D110" s="67"/>
      <c r="E110" s="107"/>
      <c r="F110" s="107"/>
      <c r="G110" s="107"/>
      <c r="H110" s="107"/>
      <c r="I110" s="107"/>
      <c r="J110" s="107"/>
      <c r="K110" s="107"/>
      <c r="L110" s="107"/>
      <c r="M110" s="67"/>
      <c r="N110" s="107"/>
      <c r="O110" s="67"/>
      <c r="P110" s="67"/>
      <c r="Q110" s="67"/>
      <c r="R110" s="67"/>
      <c r="S110" s="67"/>
      <c r="T110" s="67"/>
      <c r="U110" s="67"/>
    </row>
    <row r="111" spans="1:21">
      <c r="A111" s="67"/>
      <c r="B111" s="67"/>
      <c r="C111" s="67"/>
      <c r="D111" s="67"/>
      <c r="E111" s="107"/>
      <c r="F111" s="107"/>
      <c r="G111" s="107"/>
      <c r="H111" s="107"/>
      <c r="I111" s="107"/>
      <c r="J111" s="108"/>
      <c r="K111" s="109"/>
      <c r="L111" s="108"/>
      <c r="M111" s="107"/>
      <c r="N111" s="67"/>
      <c r="O111" s="67"/>
      <c r="P111" s="67"/>
      <c r="Q111" s="67"/>
      <c r="R111" s="67"/>
      <c r="S111" s="67"/>
      <c r="T111" s="67"/>
      <c r="U111" s="67"/>
    </row>
    <row r="112" spans="1:21" ht="45">
      <c r="A112" s="67"/>
      <c r="B112" s="110" t="s">
        <v>136</v>
      </c>
      <c r="C112" s="161">
        <v>12616.56</v>
      </c>
      <c r="D112" s="162"/>
      <c r="E112" s="162"/>
      <c r="F112" s="163"/>
      <c r="G112" s="107"/>
      <c r="H112" s="107"/>
      <c r="I112" s="107"/>
      <c r="J112" s="108"/>
      <c r="K112" s="109"/>
      <c r="L112" s="108"/>
      <c r="M112" s="107"/>
      <c r="N112" s="67"/>
      <c r="O112" s="67"/>
      <c r="P112" s="67"/>
      <c r="Q112" s="67"/>
      <c r="R112" s="67"/>
      <c r="S112" s="67"/>
      <c r="T112" s="67"/>
      <c r="U112" s="67"/>
    </row>
    <row r="113" spans="1:21" ht="30">
      <c r="A113" s="67"/>
      <c r="B113" s="22" t="s">
        <v>231</v>
      </c>
      <c r="C113" s="165">
        <f>35014.57*8</f>
        <v>280116.56</v>
      </c>
      <c r="D113" s="166"/>
      <c r="E113" s="166"/>
      <c r="F113" s="167"/>
      <c r="G113" s="107"/>
      <c r="H113" s="107"/>
      <c r="I113" s="107"/>
      <c r="J113" s="108"/>
      <c r="K113" s="109"/>
      <c r="L113" s="108"/>
      <c r="M113" s="107"/>
      <c r="N113" s="67"/>
      <c r="O113" s="67"/>
      <c r="P113" s="67"/>
      <c r="Q113" s="67"/>
      <c r="R113" s="67"/>
      <c r="S113" s="67"/>
      <c r="T113" s="67"/>
      <c r="U113" s="67"/>
    </row>
    <row r="114" spans="1:21" ht="30">
      <c r="A114" s="67"/>
      <c r="B114" s="22" t="s">
        <v>232</v>
      </c>
      <c r="C114" s="165">
        <f>SUM(U109-U106)</f>
        <v>284837.55953683972</v>
      </c>
      <c r="D114" s="166"/>
      <c r="E114" s="166"/>
      <c r="F114" s="167"/>
      <c r="G114" s="107"/>
      <c r="H114" s="107"/>
      <c r="I114" s="107"/>
      <c r="J114" s="108"/>
      <c r="K114" s="109"/>
      <c r="L114" s="108"/>
      <c r="M114" s="107"/>
      <c r="N114" s="67"/>
      <c r="O114" s="67"/>
      <c r="P114" s="67"/>
      <c r="Q114" s="67"/>
      <c r="R114" s="67"/>
      <c r="S114" s="67"/>
      <c r="T114" s="67"/>
      <c r="U114" s="67"/>
    </row>
    <row r="115" spans="1:21" ht="30">
      <c r="A115" s="67"/>
      <c r="B115" s="22" t="s">
        <v>233</v>
      </c>
      <c r="C115" s="165">
        <f>SUM(U106)</f>
        <v>245929.24357999998</v>
      </c>
      <c r="D115" s="166"/>
      <c r="E115" s="166"/>
      <c r="F115" s="167"/>
      <c r="G115" s="107"/>
      <c r="H115" s="107"/>
      <c r="I115" s="107"/>
      <c r="J115" s="108"/>
      <c r="K115" s="109"/>
      <c r="L115" s="108"/>
      <c r="M115" s="107"/>
      <c r="N115" s="67"/>
      <c r="O115" s="67"/>
      <c r="P115" s="67"/>
      <c r="Q115" s="67"/>
      <c r="R115" s="67"/>
      <c r="S115" s="67"/>
      <c r="T115" s="67"/>
      <c r="U115" s="67"/>
    </row>
    <row r="116" spans="1:21" ht="30">
      <c r="A116" s="67"/>
      <c r="B116" s="121" t="s">
        <v>234</v>
      </c>
      <c r="C116" s="161">
        <f>31892.95+25201.32+36912.8+37088.87+47460.24+32371.72+30878.43+28553.35</f>
        <v>270359.67999999999</v>
      </c>
      <c r="D116" s="162"/>
      <c r="E116" s="162"/>
      <c r="F116" s="163"/>
      <c r="G116" s="67"/>
      <c r="I116" s="111" t="s">
        <v>105</v>
      </c>
      <c r="J116" s="112"/>
      <c r="K116" s="113"/>
      <c r="L116" s="114"/>
      <c r="M116" s="111"/>
      <c r="N116" s="111"/>
      <c r="O116" s="67"/>
      <c r="P116" s="67"/>
      <c r="Q116" s="67"/>
      <c r="R116" s="67"/>
      <c r="S116" s="67"/>
      <c r="T116" s="67"/>
      <c r="U116" s="67"/>
    </row>
    <row r="117" spans="1:21" ht="78.75">
      <c r="A117" s="67"/>
      <c r="B117" s="23" t="s">
        <v>227</v>
      </c>
      <c r="C117" s="168">
        <v>56749.279999999999</v>
      </c>
      <c r="D117" s="169"/>
      <c r="E117" s="169"/>
      <c r="F117" s="170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</row>
    <row r="118" spans="1:21" ht="45">
      <c r="A118" s="67"/>
      <c r="B118" s="115" t="s">
        <v>228</v>
      </c>
      <c r="C118" s="164">
        <f>SUM(U109-C113)+C112</f>
        <v>263266.80311683973</v>
      </c>
      <c r="D118" s="162"/>
      <c r="E118" s="162"/>
      <c r="F118" s="163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</row>
    <row r="120" spans="1:21">
      <c r="J120" s="3"/>
      <c r="K120" s="4"/>
      <c r="L120" s="4"/>
      <c r="M120" s="2"/>
    </row>
    <row r="121" spans="1:21">
      <c r="G121" s="5"/>
      <c r="H121" s="5"/>
    </row>
    <row r="122" spans="1:21">
      <c r="G122" s="6"/>
    </row>
  </sheetData>
  <mergeCells count="12">
    <mergeCell ref="C112:F112"/>
    <mergeCell ref="C118:F118"/>
    <mergeCell ref="C113:F113"/>
    <mergeCell ref="C114:F114"/>
    <mergeCell ref="C115:F115"/>
    <mergeCell ref="C116:F116"/>
    <mergeCell ref="C117:F117"/>
    <mergeCell ref="X80:AB80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Окт.,49</vt:lpstr>
      <vt:lpstr>'Окт.,49'!Область_печати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2018-02-26T12:21:33Z</dcterms:modified>
</cp:coreProperties>
</file>