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-45" windowWidth="15480" windowHeight="11280" activeTab="11"/>
  </bookViews>
  <sheets>
    <sheet name="01.19" sheetId="32" r:id="rId1"/>
    <sheet name="02.19" sheetId="33" r:id="rId2"/>
    <sheet name="03.18" sheetId="34" r:id="rId3"/>
    <sheet name="04.19" sheetId="35" r:id="rId4"/>
    <sheet name="05.19" sheetId="36" r:id="rId5"/>
    <sheet name="06.19" sheetId="23" r:id="rId6"/>
    <sheet name="07.19" sheetId="37" r:id="rId7"/>
    <sheet name="08.19" sheetId="27" r:id="rId8"/>
    <sheet name="09.19" sheetId="28" r:id="rId9"/>
    <sheet name="10.19" sheetId="29" r:id="rId10"/>
    <sheet name="11.19" sheetId="30" r:id="rId11"/>
    <sheet name="12.19" sheetId="31" r:id="rId12"/>
  </sheets>
  <definedNames>
    <definedName name="_xlnm._FilterDatabase" localSheetId="0" hidden="1">'01.19'!$I$12:$I$61</definedName>
    <definedName name="_xlnm._FilterDatabase" localSheetId="1" hidden="1">'02.19'!$I$12:$I$61</definedName>
    <definedName name="_xlnm._FilterDatabase" localSheetId="2" hidden="1">'03.18'!$I$12:$I$61</definedName>
    <definedName name="_xlnm._FilterDatabase" localSheetId="5" hidden="1">'06.19'!$I$12:$I$60</definedName>
    <definedName name="_xlnm._FilterDatabase" localSheetId="7" hidden="1">'08.19'!$I$12:$I$60</definedName>
    <definedName name="_xlnm._FilterDatabase" localSheetId="8" hidden="1">'09.19'!$I$12:$I$60</definedName>
    <definedName name="_xlnm._FilterDatabase" localSheetId="9" hidden="1">'10.19'!$I$12:$I$60</definedName>
    <definedName name="_xlnm._FilterDatabase" localSheetId="10" hidden="1">'11.19'!$I$12:$I$62</definedName>
    <definedName name="_xlnm._FilterDatabase" localSheetId="11" hidden="1">'12.19'!$I$12:$I$62</definedName>
    <definedName name="_xlnm.Print_Area" localSheetId="0">'01.19'!$A$1:$I$114</definedName>
    <definedName name="_xlnm.Print_Area" localSheetId="1">'02.19'!$A$1:$I$114</definedName>
    <definedName name="_xlnm.Print_Area" localSheetId="2">'03.18'!$A$1:$I$116</definedName>
    <definedName name="_xlnm.Print_Area" localSheetId="5">'06.19'!$A$1:$I$117</definedName>
    <definedName name="_xlnm.Print_Area" localSheetId="7">'08.19'!$A$1:$I$117</definedName>
    <definedName name="_xlnm.Print_Area" localSheetId="8">'09.19'!$A$1:$I$112</definedName>
    <definedName name="_xlnm.Print_Area" localSheetId="9">'10.19'!$A$1:$I$114</definedName>
    <definedName name="_xlnm.Print_Area" localSheetId="10">'11.19'!$A$1:$I$116</definedName>
    <definedName name="_xlnm.Print_Area" localSheetId="11">'12.19'!$A$1:$I$117</definedName>
  </definedNames>
  <calcPr calcId="124519"/>
</workbook>
</file>

<file path=xl/calcChain.xml><?xml version="1.0" encoding="utf-8"?>
<calcChain xmlns="http://schemas.openxmlformats.org/spreadsheetml/2006/main">
  <c r="I91" i="29"/>
  <c r="I90"/>
  <c r="I89"/>
  <c r="I94" i="31"/>
  <c r="I93"/>
  <c r="I92"/>
  <c r="I91"/>
  <c r="I90"/>
  <c r="F90"/>
  <c r="H90" s="1"/>
  <c r="I42"/>
  <c r="I45"/>
  <c r="H45"/>
  <c r="F44"/>
  <c r="H44" s="1"/>
  <c r="F43"/>
  <c r="I43" s="1"/>
  <c r="H42"/>
  <c r="F41"/>
  <c r="I41" s="1"/>
  <c r="F40"/>
  <c r="H40" s="1"/>
  <c r="I39"/>
  <c r="F27"/>
  <c r="H27" s="1"/>
  <c r="F26"/>
  <c r="H26" s="1"/>
  <c r="F25"/>
  <c r="H25" s="1"/>
  <c r="F24"/>
  <c r="H24" s="1"/>
  <c r="F23"/>
  <c r="H23" s="1"/>
  <c r="F22"/>
  <c r="H22" s="1"/>
  <c r="H21"/>
  <c r="F21"/>
  <c r="I21" s="1"/>
  <c r="F20"/>
  <c r="H20" s="1"/>
  <c r="F19"/>
  <c r="H19" s="1"/>
  <c r="H18"/>
  <c r="F18"/>
  <c r="I18" s="1"/>
  <c r="F17"/>
  <c r="H17" s="1"/>
  <c r="H16"/>
  <c r="F16"/>
  <c r="I16" s="1"/>
  <c r="I88" i="30"/>
  <c r="I40" i="31" l="1"/>
  <c r="H41"/>
  <c r="H43"/>
  <c r="I44"/>
  <c r="I17"/>
  <c r="I20"/>
  <c r="I27"/>
  <c r="I93" i="30"/>
  <c r="I92"/>
  <c r="I91"/>
  <c r="I90"/>
  <c r="I39"/>
  <c r="F27"/>
  <c r="H27" s="1"/>
  <c r="F26"/>
  <c r="H26" s="1"/>
  <c r="F25"/>
  <c r="H25" s="1"/>
  <c r="F24"/>
  <c r="H24" s="1"/>
  <c r="F23"/>
  <c r="H23" s="1"/>
  <c r="F22"/>
  <c r="H22" s="1"/>
  <c r="H21"/>
  <c r="F21"/>
  <c r="I21" s="1"/>
  <c r="F20"/>
  <c r="H20" s="1"/>
  <c r="F19"/>
  <c r="H19" s="1"/>
  <c r="H18"/>
  <c r="F18"/>
  <c r="I18" s="1"/>
  <c r="F17"/>
  <c r="H17" s="1"/>
  <c r="H16"/>
  <c r="F16"/>
  <c r="I16" s="1"/>
  <c r="I17" l="1"/>
  <c r="I20"/>
  <c r="I27"/>
  <c r="I88" i="29" l="1"/>
  <c r="I33"/>
  <c r="H33"/>
  <c r="F32"/>
  <c r="H32" s="1"/>
  <c r="F31"/>
  <c r="I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9" i="28"/>
  <c r="I88"/>
  <c r="I53"/>
  <c r="I33"/>
  <c r="H33"/>
  <c r="F32"/>
  <c r="H32" s="1"/>
  <c r="F31"/>
  <c r="I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I20" s="1"/>
  <c r="F19"/>
  <c r="H19" s="1"/>
  <c r="F18"/>
  <c r="I18" s="1"/>
  <c r="F17"/>
  <c r="I17" s="1"/>
  <c r="F16"/>
  <c r="I16" s="1"/>
  <c r="I93" i="27"/>
  <c r="I86"/>
  <c r="I92"/>
  <c r="I91"/>
  <c r="I90"/>
  <c r="I89"/>
  <c r="I88"/>
  <c r="F85"/>
  <c r="H85" s="1"/>
  <c r="F84"/>
  <c r="I84" s="1"/>
  <c r="I78"/>
  <c r="F78"/>
  <c r="H78" s="1"/>
  <c r="I77"/>
  <c r="F77"/>
  <c r="H77" s="1"/>
  <c r="I61"/>
  <c r="H61"/>
  <c r="I33"/>
  <c r="H33"/>
  <c r="F32"/>
  <c r="H32" s="1"/>
  <c r="F31"/>
  <c r="I31" s="1"/>
  <c r="F30"/>
  <c r="H30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90" i="37"/>
  <c r="I89"/>
  <c r="I88"/>
  <c r="I91" s="1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F18"/>
  <c r="I18" s="1"/>
  <c r="F17"/>
  <c r="H17" s="1"/>
  <c r="F16"/>
  <c r="I16" s="1"/>
  <c r="I86" i="23"/>
  <c r="F27"/>
  <c r="H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H18"/>
  <c r="F18"/>
  <c r="I18" s="1"/>
  <c r="F17"/>
  <c r="H17" s="1"/>
  <c r="F16"/>
  <c r="I16" s="1"/>
  <c r="I86" i="36"/>
  <c r="F27"/>
  <c r="H27" s="1"/>
  <c r="F27" i="35"/>
  <c r="H27" s="1"/>
  <c r="F26"/>
  <c r="H26" s="1"/>
  <c r="F25"/>
  <c r="H25" s="1"/>
  <c r="F24"/>
  <c r="H24" s="1"/>
  <c r="F23"/>
  <c r="H23" s="1"/>
  <c r="F22"/>
  <c r="H22" s="1"/>
  <c r="H21"/>
  <c r="F21"/>
  <c r="I21" s="1"/>
  <c r="F20"/>
  <c r="H20" s="1"/>
  <c r="F19"/>
  <c r="H19" s="1"/>
  <c r="H18"/>
  <c r="F18"/>
  <c r="I18" s="1"/>
  <c r="F17"/>
  <c r="H17" s="1"/>
  <c r="H16"/>
  <c r="F16"/>
  <c r="I16" s="1"/>
  <c r="H27" i="34"/>
  <c r="F27"/>
  <c r="I27" s="1"/>
  <c r="H26"/>
  <c r="F26"/>
  <c r="H25"/>
  <c r="F25"/>
  <c r="H24"/>
  <c r="F24"/>
  <c r="H23"/>
  <c r="F23"/>
  <c r="H22"/>
  <c r="F22"/>
  <c r="F21"/>
  <c r="I21" s="1"/>
  <c r="H20"/>
  <c r="F20"/>
  <c r="I20" s="1"/>
  <c r="H19"/>
  <c r="F19"/>
  <c r="F18"/>
  <c r="I18" s="1"/>
  <c r="H17"/>
  <c r="F17"/>
  <c r="I17" s="1"/>
  <c r="F16"/>
  <c r="I16" s="1"/>
  <c r="F27" i="33"/>
  <c r="H27" s="1"/>
  <c r="F26"/>
  <c r="H26" s="1"/>
  <c r="F25"/>
  <c r="H25" s="1"/>
  <c r="F24"/>
  <c r="H24" s="1"/>
  <c r="F23"/>
  <c r="H23" s="1"/>
  <c r="F22"/>
  <c r="H22" s="1"/>
  <c r="H21"/>
  <c r="F21"/>
  <c r="I21" s="1"/>
  <c r="F20"/>
  <c r="H20" s="1"/>
  <c r="F19"/>
  <c r="H19" s="1"/>
  <c r="H18"/>
  <c r="F18"/>
  <c r="I18" s="1"/>
  <c r="F17"/>
  <c r="H17" s="1"/>
  <c r="H16"/>
  <c r="F16"/>
  <c r="I16" s="1"/>
  <c r="F27" i="32"/>
  <c r="H16" i="29" l="1"/>
  <c r="H18"/>
  <c r="H21"/>
  <c r="I30"/>
  <c r="H31"/>
  <c r="I32"/>
  <c r="I17"/>
  <c r="I20"/>
  <c r="I27"/>
  <c r="H20" i="28"/>
  <c r="H17"/>
  <c r="I30"/>
  <c r="H31"/>
  <c r="I32"/>
  <c r="H16"/>
  <c r="H18"/>
  <c r="H21"/>
  <c r="I27"/>
  <c r="H84" i="27"/>
  <c r="I85"/>
  <c r="H16"/>
  <c r="H18"/>
  <c r="H21"/>
  <c r="I30"/>
  <c r="H31"/>
  <c r="I32"/>
  <c r="I17"/>
  <c r="I20"/>
  <c r="I27"/>
  <c r="H18" i="37"/>
  <c r="H21"/>
  <c r="H16"/>
  <c r="I17"/>
  <c r="I20"/>
  <c r="I27"/>
  <c r="H21" i="23"/>
  <c r="H16"/>
  <c r="I17"/>
  <c r="I20"/>
  <c r="I27"/>
  <c r="I27" i="36"/>
  <c r="I17" i="35"/>
  <c r="I20"/>
  <c r="I27"/>
  <c r="H16" i="34"/>
  <c r="H18"/>
  <c r="H21"/>
  <c r="I17" i="33"/>
  <c r="I20"/>
  <c r="I27"/>
  <c r="I93" i="23" l="1"/>
  <c r="I92"/>
  <c r="I91"/>
  <c r="I90"/>
  <c r="I89"/>
  <c r="I88"/>
  <c r="I89" i="36"/>
  <c r="I88"/>
  <c r="I94" i="23" l="1"/>
  <c r="I94" i="35"/>
  <c r="I93"/>
  <c r="I87" l="1"/>
  <c r="I41"/>
  <c r="I92" l="1"/>
  <c r="I91"/>
  <c r="I90"/>
  <c r="I89"/>
  <c r="I64"/>
  <c r="I38"/>
  <c r="I92" i="34"/>
  <c r="I91"/>
  <c r="I90"/>
  <c r="I89"/>
  <c r="I93" s="1"/>
  <c r="I38"/>
  <c r="I90" i="33"/>
  <c r="I89"/>
  <c r="I91" s="1"/>
  <c r="I58"/>
  <c r="I59"/>
  <c r="I38"/>
  <c r="I91" i="32"/>
  <c r="I90"/>
  <c r="I38" l="1"/>
  <c r="I89" l="1"/>
  <c r="I65" i="31"/>
  <c r="I63"/>
  <c r="I88" s="1"/>
  <c r="H63"/>
  <c r="I45" i="30" l="1"/>
  <c r="I53" i="29"/>
  <c r="I63" i="28" l="1"/>
  <c r="I58" i="37" l="1"/>
  <c r="H88"/>
  <c r="F85"/>
  <c r="I85" s="1"/>
  <c r="F84"/>
  <c r="I84" s="1"/>
  <c r="I82"/>
  <c r="H82"/>
  <c r="H80"/>
  <c r="I78"/>
  <c r="F78"/>
  <c r="H78" s="1"/>
  <c r="I77"/>
  <c r="F77"/>
  <c r="H77" s="1"/>
  <c r="H76"/>
  <c r="F75"/>
  <c r="H75" s="1"/>
  <c r="F74"/>
  <c r="H74" s="1"/>
  <c r="H73"/>
  <c r="F72"/>
  <c r="H72" s="1"/>
  <c r="F70"/>
  <c r="I70" s="1"/>
  <c r="F69"/>
  <c r="H69" s="1"/>
  <c r="F68"/>
  <c r="H68" s="1"/>
  <c r="F67"/>
  <c r="H67" s="1"/>
  <c r="F66"/>
  <c r="H66" s="1"/>
  <c r="F65"/>
  <c r="H65" s="1"/>
  <c r="F64"/>
  <c r="H64" s="1"/>
  <c r="I63"/>
  <c r="F63"/>
  <c r="H63" s="1"/>
  <c r="I61"/>
  <c r="H61"/>
  <c r="F60"/>
  <c r="H60" s="1"/>
  <c r="H58"/>
  <c r="F57"/>
  <c r="I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I41" s="1"/>
  <c r="H40"/>
  <c r="F39"/>
  <c r="I39" s="1"/>
  <c r="F38"/>
  <c r="I38" s="1"/>
  <c r="I37"/>
  <c r="H37"/>
  <c r="H35"/>
  <c r="H34"/>
  <c r="I33"/>
  <c r="H33"/>
  <c r="F32"/>
  <c r="I32" s="1"/>
  <c r="F31"/>
  <c r="I31" s="1"/>
  <c r="F30"/>
  <c r="I30" s="1"/>
  <c r="I63" i="23"/>
  <c r="I86" i="37" l="1"/>
  <c r="I93" s="1"/>
  <c r="H30"/>
  <c r="H85"/>
  <c r="H86" s="1"/>
  <c r="H70"/>
  <c r="H50"/>
  <c r="H41"/>
  <c r="H39"/>
  <c r="H32"/>
  <c r="H31"/>
  <c r="H38"/>
  <c r="H42"/>
  <c r="H57"/>
  <c r="H81" s="1"/>
  <c r="H84"/>
  <c r="I21" i="36" l="1"/>
  <c r="F21"/>
  <c r="I90"/>
  <c r="H88"/>
  <c r="F85"/>
  <c r="H85" s="1"/>
  <c r="H86" s="1"/>
  <c r="F84"/>
  <c r="I84" s="1"/>
  <c r="I82"/>
  <c r="H82"/>
  <c r="H80"/>
  <c r="I78"/>
  <c r="F78"/>
  <c r="H78" s="1"/>
  <c r="I77"/>
  <c r="F77"/>
  <c r="H77" s="1"/>
  <c r="H76"/>
  <c r="F75"/>
  <c r="H75" s="1"/>
  <c r="I74"/>
  <c r="F74"/>
  <c r="H74" s="1"/>
  <c r="H73"/>
  <c r="F72"/>
  <c r="H72" s="1"/>
  <c r="F70"/>
  <c r="I70" s="1"/>
  <c r="F69"/>
  <c r="H69" s="1"/>
  <c r="F68"/>
  <c r="H68" s="1"/>
  <c r="F67"/>
  <c r="H67" s="1"/>
  <c r="F66"/>
  <c r="H66" s="1"/>
  <c r="F65"/>
  <c r="H65" s="1"/>
  <c r="F64"/>
  <c r="H64" s="1"/>
  <c r="I63"/>
  <c r="F63"/>
  <c r="H63" s="1"/>
  <c r="F61"/>
  <c r="I61" s="1"/>
  <c r="F60"/>
  <c r="H60" s="1"/>
  <c r="H58"/>
  <c r="I57"/>
  <c r="F57"/>
  <c r="H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H40"/>
  <c r="F39"/>
  <c r="H39" s="1"/>
  <c r="F38"/>
  <c r="I38" s="1"/>
  <c r="I37"/>
  <c r="H37"/>
  <c r="H35"/>
  <c r="H34"/>
  <c r="I33"/>
  <c r="H33"/>
  <c r="F32"/>
  <c r="H32" s="1"/>
  <c r="F31"/>
  <c r="I31" s="1"/>
  <c r="F30"/>
  <c r="H30" s="1"/>
  <c r="F26"/>
  <c r="H26" s="1"/>
  <c r="F25"/>
  <c r="H25" s="1"/>
  <c r="F24"/>
  <c r="H24" s="1"/>
  <c r="F23"/>
  <c r="I23" s="1"/>
  <c r="F22"/>
  <c r="I22" s="1"/>
  <c r="F20"/>
  <c r="I20" s="1"/>
  <c r="F19"/>
  <c r="I19" s="1"/>
  <c r="F18"/>
  <c r="I18" s="1"/>
  <c r="F17"/>
  <c r="I17" s="1"/>
  <c r="F16"/>
  <c r="I16" s="1"/>
  <c r="H42" l="1"/>
  <c r="H19"/>
  <c r="H20"/>
  <c r="H48"/>
  <c r="H17"/>
  <c r="H22"/>
  <c r="H23"/>
  <c r="H46"/>
  <c r="H50"/>
  <c r="I25"/>
  <c r="I65"/>
  <c r="I67"/>
  <c r="I69"/>
  <c r="I24"/>
  <c r="I26"/>
  <c r="I66"/>
  <c r="I68"/>
  <c r="H52"/>
  <c r="H16"/>
  <c r="H18"/>
  <c r="H21"/>
  <c r="I30"/>
  <c r="H31"/>
  <c r="I32"/>
  <c r="H38"/>
  <c r="I39"/>
  <c r="I41"/>
  <c r="I45"/>
  <c r="I47"/>
  <c r="I49"/>
  <c r="I51"/>
  <c r="H61"/>
  <c r="H70"/>
  <c r="H84"/>
  <c r="I85"/>
  <c r="H81" l="1"/>
  <c r="I92"/>
  <c r="I58" i="35" l="1"/>
  <c r="H90"/>
  <c r="H89"/>
  <c r="F86"/>
  <c r="H86" s="1"/>
  <c r="H87" s="1"/>
  <c r="F85"/>
  <c r="I85" s="1"/>
  <c r="I83"/>
  <c r="H83"/>
  <c r="H81"/>
  <c r="I79"/>
  <c r="F79"/>
  <c r="H79" s="1"/>
  <c r="I78"/>
  <c r="F78"/>
  <c r="H78" s="1"/>
  <c r="H77"/>
  <c r="F76"/>
  <c r="H76" s="1"/>
  <c r="I75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H41"/>
  <c r="F40"/>
  <c r="H40" s="1"/>
  <c r="F39"/>
  <c r="I39" s="1"/>
  <c r="H38"/>
  <c r="H36"/>
  <c r="H35"/>
  <c r="F34"/>
  <c r="H34" s="1"/>
  <c r="E34"/>
  <c r="I33"/>
  <c r="H33"/>
  <c r="F32"/>
  <c r="H32" s="1"/>
  <c r="F31"/>
  <c r="I31" s="1"/>
  <c r="F30"/>
  <c r="H30" s="1"/>
  <c r="H92" i="34"/>
  <c r="H91"/>
  <c r="H90"/>
  <c r="I64"/>
  <c r="I44"/>
  <c r="H89"/>
  <c r="F86"/>
  <c r="H86" s="1"/>
  <c r="H87" s="1"/>
  <c r="F85"/>
  <c r="I85" s="1"/>
  <c r="I83"/>
  <c r="H83"/>
  <c r="H81"/>
  <c r="I79"/>
  <c r="F79"/>
  <c r="H79" s="1"/>
  <c r="I78"/>
  <c r="F78"/>
  <c r="H78" s="1"/>
  <c r="H77"/>
  <c r="F76"/>
  <c r="H76" s="1"/>
  <c r="I75"/>
  <c r="F75"/>
  <c r="H75" s="1"/>
  <c r="H74"/>
  <c r="F73"/>
  <c r="H73" s="1"/>
  <c r="F71"/>
  <c r="I71" s="1"/>
  <c r="F70"/>
  <c r="H70" s="1"/>
  <c r="F69"/>
  <c r="H69" s="1"/>
  <c r="F68"/>
  <c r="H68" s="1"/>
  <c r="F67"/>
  <c r="H67" s="1"/>
  <c r="F66"/>
  <c r="H66" s="1"/>
  <c r="F65"/>
  <c r="H65" s="1"/>
  <c r="F64"/>
  <c r="H64" s="1"/>
  <c r="F62"/>
  <c r="I62" s="1"/>
  <c r="F61"/>
  <c r="H61" s="1"/>
  <c r="H59"/>
  <c r="F58"/>
  <c r="I58" s="1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I43" s="1"/>
  <c r="F42"/>
  <c r="H42" s="1"/>
  <c r="H41"/>
  <c r="F40"/>
  <c r="H40" s="1"/>
  <c r="F39"/>
  <c r="I39" s="1"/>
  <c r="H38"/>
  <c r="H36"/>
  <c r="H35"/>
  <c r="F34"/>
  <c r="H34" s="1"/>
  <c r="E34"/>
  <c r="I33"/>
  <c r="H33"/>
  <c r="F32"/>
  <c r="H32" s="1"/>
  <c r="F31"/>
  <c r="I31" s="1"/>
  <c r="F30"/>
  <c r="H30" s="1"/>
  <c r="H90" i="33"/>
  <c r="I75"/>
  <c r="H89"/>
  <c r="F86"/>
  <c r="H86" s="1"/>
  <c r="H87" s="1"/>
  <c r="F85"/>
  <c r="I85" s="1"/>
  <c r="I83"/>
  <c r="H83"/>
  <c r="H81"/>
  <c r="I79"/>
  <c r="F79"/>
  <c r="H79" s="1"/>
  <c r="I78"/>
  <c r="F78"/>
  <c r="H78" s="1"/>
  <c r="H77"/>
  <c r="F76"/>
  <c r="H76" s="1"/>
  <c r="F75"/>
  <c r="H75" s="1"/>
  <c r="H74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F62"/>
  <c r="H62" s="1"/>
  <c r="F61"/>
  <c r="H61" s="1"/>
  <c r="H59"/>
  <c r="F58"/>
  <c r="H58" s="1"/>
  <c r="I55"/>
  <c r="F55"/>
  <c r="H55" s="1"/>
  <c r="I54"/>
  <c r="H54"/>
  <c r="F53"/>
  <c r="H53" s="1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H41"/>
  <c r="F40"/>
  <c r="I40" s="1"/>
  <c r="F39"/>
  <c r="H39" s="1"/>
  <c r="H38"/>
  <c r="H36"/>
  <c r="H35"/>
  <c r="F34"/>
  <c r="I34" s="1"/>
  <c r="E34"/>
  <c r="I33"/>
  <c r="H33"/>
  <c r="F32"/>
  <c r="I32" s="1"/>
  <c r="F31"/>
  <c r="H31" s="1"/>
  <c r="F30"/>
  <c r="I30" s="1"/>
  <c r="H53" i="34" l="1"/>
  <c r="H82" i="33"/>
  <c r="H58" i="34"/>
  <c r="H39" i="35"/>
  <c r="H85"/>
  <c r="H43"/>
  <c r="H58"/>
  <c r="H62"/>
  <c r="H71"/>
  <c r="H47"/>
  <c r="H49"/>
  <c r="H51"/>
  <c r="H53"/>
  <c r="H31"/>
  <c r="I30"/>
  <c r="I32"/>
  <c r="I34"/>
  <c r="I40"/>
  <c r="I42"/>
  <c r="I46"/>
  <c r="I48"/>
  <c r="I50"/>
  <c r="I52"/>
  <c r="I86"/>
  <c r="H51" i="34"/>
  <c r="I30"/>
  <c r="H31"/>
  <c r="I32"/>
  <c r="I34"/>
  <c r="H39"/>
  <c r="I40"/>
  <c r="I42"/>
  <c r="H43"/>
  <c r="I46"/>
  <c r="H47"/>
  <c r="I48"/>
  <c r="H49"/>
  <c r="I50"/>
  <c r="I52"/>
  <c r="H62"/>
  <c r="H71"/>
  <c r="H85"/>
  <c r="I86"/>
  <c r="I87" s="1"/>
  <c r="H30" i="33"/>
  <c r="I31"/>
  <c r="H32"/>
  <c r="H34"/>
  <c r="I39"/>
  <c r="H40"/>
  <c r="H42"/>
  <c r="I43"/>
  <c r="H46"/>
  <c r="I47"/>
  <c r="H48"/>
  <c r="I49"/>
  <c r="H50"/>
  <c r="I51"/>
  <c r="H52"/>
  <c r="I53"/>
  <c r="I62"/>
  <c r="I71"/>
  <c r="H85"/>
  <c r="I86"/>
  <c r="I87" s="1"/>
  <c r="H82" i="35" l="1"/>
  <c r="I95" i="34"/>
  <c r="I93" i="33"/>
  <c r="I96" i="35"/>
  <c r="H82" i="34"/>
  <c r="F62" i="32" l="1"/>
  <c r="I44"/>
  <c r="H89" l="1"/>
  <c r="F86"/>
  <c r="H86" s="1"/>
  <c r="H87" s="1"/>
  <c r="F85"/>
  <c r="I85" s="1"/>
  <c r="I83"/>
  <c r="H83"/>
  <c r="H81"/>
  <c r="I79"/>
  <c r="F79"/>
  <c r="H79" s="1"/>
  <c r="I78"/>
  <c r="F78"/>
  <c r="H78" s="1"/>
  <c r="H77"/>
  <c r="F76"/>
  <c r="H76" s="1"/>
  <c r="F75"/>
  <c r="H75" s="1"/>
  <c r="H74"/>
  <c r="F73"/>
  <c r="H73" s="1"/>
  <c r="F71"/>
  <c r="H71" s="1"/>
  <c r="F70"/>
  <c r="H70" s="1"/>
  <c r="F69"/>
  <c r="H69" s="1"/>
  <c r="F68"/>
  <c r="H68" s="1"/>
  <c r="F67"/>
  <c r="H67" s="1"/>
  <c r="F66"/>
  <c r="H66" s="1"/>
  <c r="F65"/>
  <c r="H65" s="1"/>
  <c r="I64"/>
  <c r="F64"/>
  <c r="H64" s="1"/>
  <c r="H62"/>
  <c r="F61"/>
  <c r="H61" s="1"/>
  <c r="H59"/>
  <c r="F58"/>
  <c r="H58" s="1"/>
  <c r="I55"/>
  <c r="F55"/>
  <c r="H55" s="1"/>
  <c r="I54"/>
  <c r="H54"/>
  <c r="F53"/>
  <c r="H53" s="1"/>
  <c r="F52"/>
  <c r="I52" s="1"/>
  <c r="F51"/>
  <c r="H51" s="1"/>
  <c r="H50"/>
  <c r="F50"/>
  <c r="I50" s="1"/>
  <c r="F49"/>
  <c r="H49" s="1"/>
  <c r="F48"/>
  <c r="I48" s="1"/>
  <c r="F47"/>
  <c r="H47" s="1"/>
  <c r="F46"/>
  <c r="I46" s="1"/>
  <c r="H44"/>
  <c r="F43"/>
  <c r="F42"/>
  <c r="I42" s="1"/>
  <c r="H41"/>
  <c r="F40"/>
  <c r="I40" s="1"/>
  <c r="F39"/>
  <c r="H39" s="1"/>
  <c r="H38"/>
  <c r="H36"/>
  <c r="H35"/>
  <c r="F34"/>
  <c r="I34" s="1"/>
  <c r="E34"/>
  <c r="I33"/>
  <c r="H33"/>
  <c r="H32"/>
  <c r="F32"/>
  <c r="I32" s="1"/>
  <c r="F31"/>
  <c r="H31" s="1"/>
  <c r="F30"/>
  <c r="I30" s="1"/>
  <c r="I27"/>
  <c r="F26"/>
  <c r="H26" s="1"/>
  <c r="F25"/>
  <c r="H25" s="1"/>
  <c r="F24"/>
  <c r="H24" s="1"/>
  <c r="F23"/>
  <c r="H23" s="1"/>
  <c r="F22"/>
  <c r="H22" s="1"/>
  <c r="F21"/>
  <c r="H21" s="1"/>
  <c r="F20"/>
  <c r="I20" s="1"/>
  <c r="F19"/>
  <c r="H19" s="1"/>
  <c r="F18"/>
  <c r="H18" s="1"/>
  <c r="F17"/>
  <c r="I17" s="1"/>
  <c r="F16"/>
  <c r="H16" s="1"/>
  <c r="H91" i="31"/>
  <c r="F87"/>
  <c r="I87" s="1"/>
  <c r="F86"/>
  <c r="H86" s="1"/>
  <c r="I84"/>
  <c r="H84"/>
  <c r="H82"/>
  <c r="I80"/>
  <c r="F80"/>
  <c r="H80" s="1"/>
  <c r="I79"/>
  <c r="F79"/>
  <c r="H79" s="1"/>
  <c r="H78"/>
  <c r="F77"/>
  <c r="H77" s="1"/>
  <c r="F76"/>
  <c r="H76" s="1"/>
  <c r="H75"/>
  <c r="F74"/>
  <c r="H74" s="1"/>
  <c r="F72"/>
  <c r="I72" s="1"/>
  <c r="F71"/>
  <c r="H71" s="1"/>
  <c r="F70"/>
  <c r="H70" s="1"/>
  <c r="F69"/>
  <c r="H69" s="1"/>
  <c r="F68"/>
  <c r="H68" s="1"/>
  <c r="F67"/>
  <c r="H67" s="1"/>
  <c r="F66"/>
  <c r="H66" s="1"/>
  <c r="F65"/>
  <c r="H65" s="1"/>
  <c r="F62"/>
  <c r="H62" s="1"/>
  <c r="H60"/>
  <c r="F59"/>
  <c r="I59" s="1"/>
  <c r="I56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F47"/>
  <c r="H47" s="1"/>
  <c r="H39"/>
  <c r="H37"/>
  <c r="H36"/>
  <c r="F35"/>
  <c r="H35" s="1"/>
  <c r="E35"/>
  <c r="I34"/>
  <c r="H34"/>
  <c r="F33"/>
  <c r="H33" s="1"/>
  <c r="F32"/>
  <c r="I32" s="1"/>
  <c r="F31"/>
  <c r="H31" s="1"/>
  <c r="F28"/>
  <c r="I28" s="1"/>
  <c r="F90" i="30"/>
  <c r="H90" s="1"/>
  <c r="H43" i="32" l="1"/>
  <c r="I43"/>
  <c r="H17"/>
  <c r="H27"/>
  <c r="H40"/>
  <c r="H48"/>
  <c r="H85"/>
  <c r="H20"/>
  <c r="H30"/>
  <c r="H34"/>
  <c r="H42"/>
  <c r="H46"/>
  <c r="H82"/>
  <c r="H52"/>
  <c r="I86"/>
  <c r="I16"/>
  <c r="I18"/>
  <c r="I21"/>
  <c r="I31"/>
  <c r="I39"/>
  <c r="I47"/>
  <c r="I49"/>
  <c r="I51"/>
  <c r="I53"/>
  <c r="I58"/>
  <c r="I62"/>
  <c r="I71"/>
  <c r="H28" i="31"/>
  <c r="I31"/>
  <c r="H32"/>
  <c r="I33"/>
  <c r="I35"/>
  <c r="I47"/>
  <c r="H48"/>
  <c r="I49"/>
  <c r="H50"/>
  <c r="I51"/>
  <c r="H52"/>
  <c r="I53"/>
  <c r="H54"/>
  <c r="H59"/>
  <c r="H72"/>
  <c r="I86"/>
  <c r="H87"/>
  <c r="H88" s="1"/>
  <c r="I87" i="32" l="1"/>
  <c r="I93" s="1"/>
  <c r="I96" i="31"/>
  <c r="H83"/>
  <c r="I55" i="30" l="1"/>
  <c r="F87"/>
  <c r="H87" s="1"/>
  <c r="H88" s="1"/>
  <c r="F86"/>
  <c r="I86" s="1"/>
  <c r="I84"/>
  <c r="H84"/>
  <c r="H82"/>
  <c r="I80"/>
  <c r="F80"/>
  <c r="H80" s="1"/>
  <c r="I79"/>
  <c r="F79"/>
  <c r="H79" s="1"/>
  <c r="H78"/>
  <c r="F77"/>
  <c r="H77" s="1"/>
  <c r="F76"/>
  <c r="H76" s="1"/>
  <c r="H75"/>
  <c r="F74"/>
  <c r="H74" s="1"/>
  <c r="F72"/>
  <c r="H72" s="1"/>
  <c r="F71"/>
  <c r="H71" s="1"/>
  <c r="F70"/>
  <c r="H70" s="1"/>
  <c r="F69"/>
  <c r="H69" s="1"/>
  <c r="F68"/>
  <c r="H68" s="1"/>
  <c r="F67"/>
  <c r="H67" s="1"/>
  <c r="F66"/>
  <c r="H66" s="1"/>
  <c r="I65"/>
  <c r="F65"/>
  <c r="H65" s="1"/>
  <c r="H63"/>
  <c r="F62"/>
  <c r="H62" s="1"/>
  <c r="H60"/>
  <c r="F59"/>
  <c r="H59" s="1"/>
  <c r="I56"/>
  <c r="F56"/>
  <c r="H56" s="1"/>
  <c r="H55"/>
  <c r="F54"/>
  <c r="H54" s="1"/>
  <c r="F53"/>
  <c r="H53" s="1"/>
  <c r="F52"/>
  <c r="I52" s="1"/>
  <c r="F51"/>
  <c r="H51" s="1"/>
  <c r="F50"/>
  <c r="I50" s="1"/>
  <c r="F49"/>
  <c r="H49" s="1"/>
  <c r="F48"/>
  <c r="I48" s="1"/>
  <c r="F47"/>
  <c r="H47" s="1"/>
  <c r="H45"/>
  <c r="F44"/>
  <c r="I44" s="1"/>
  <c r="F43"/>
  <c r="H43" s="1"/>
  <c r="H42"/>
  <c r="F41"/>
  <c r="H41" s="1"/>
  <c r="F40"/>
  <c r="I40" s="1"/>
  <c r="H39"/>
  <c r="H37"/>
  <c r="H36"/>
  <c r="F35"/>
  <c r="H35" s="1"/>
  <c r="E35"/>
  <c r="I34"/>
  <c r="H34"/>
  <c r="F33"/>
  <c r="H33" s="1"/>
  <c r="F32"/>
  <c r="I32" s="1"/>
  <c r="F31"/>
  <c r="H31" s="1"/>
  <c r="F28"/>
  <c r="I28" s="1"/>
  <c r="I63" i="29"/>
  <c r="I54" i="30" l="1"/>
  <c r="I53"/>
  <c r="H83"/>
  <c r="H28"/>
  <c r="I31"/>
  <c r="H32"/>
  <c r="I33"/>
  <c r="I35"/>
  <c r="H40"/>
  <c r="I41"/>
  <c r="I43"/>
  <c r="H44"/>
  <c r="I47"/>
  <c r="H48"/>
  <c r="I49"/>
  <c r="H50"/>
  <c r="I51"/>
  <c r="H52"/>
  <c r="I59"/>
  <c r="I63"/>
  <c r="I72"/>
  <c r="H86"/>
  <c r="I87"/>
  <c r="I95" l="1"/>
  <c r="F85" i="29" l="1"/>
  <c r="H85" s="1"/>
  <c r="H86" s="1"/>
  <c r="F84"/>
  <c r="I84" s="1"/>
  <c r="I82"/>
  <c r="H82"/>
  <c r="H80"/>
  <c r="I78"/>
  <c r="F78"/>
  <c r="H78" s="1"/>
  <c r="I77"/>
  <c r="F77"/>
  <c r="H77" s="1"/>
  <c r="H76"/>
  <c r="F75"/>
  <c r="H75" s="1"/>
  <c r="F74"/>
  <c r="H74" s="1"/>
  <c r="H73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H61"/>
  <c r="F60"/>
  <c r="H60" s="1"/>
  <c r="H58"/>
  <c r="F57"/>
  <c r="H57" s="1"/>
  <c r="I54"/>
  <c r="F54"/>
  <c r="H54" s="1"/>
  <c r="H53"/>
  <c r="F52"/>
  <c r="F51"/>
  <c r="F50"/>
  <c r="I50" s="1"/>
  <c r="F49"/>
  <c r="H49" s="1"/>
  <c r="F48"/>
  <c r="I48" s="1"/>
  <c r="F47"/>
  <c r="H47" s="1"/>
  <c r="F46"/>
  <c r="I46" s="1"/>
  <c r="F45"/>
  <c r="H45" s="1"/>
  <c r="I43"/>
  <c r="H43"/>
  <c r="F42"/>
  <c r="I42" s="1"/>
  <c r="F41"/>
  <c r="H41" s="1"/>
  <c r="H40"/>
  <c r="F39"/>
  <c r="H39" s="1"/>
  <c r="F38"/>
  <c r="I38" s="1"/>
  <c r="I37"/>
  <c r="H37"/>
  <c r="H35"/>
  <c r="H34"/>
  <c r="H88" i="28"/>
  <c r="F85"/>
  <c r="H85" s="1"/>
  <c r="H86" s="1"/>
  <c r="F84"/>
  <c r="I84" s="1"/>
  <c r="I82"/>
  <c r="H82"/>
  <c r="H80"/>
  <c r="I78"/>
  <c r="F78"/>
  <c r="H78" s="1"/>
  <c r="I77"/>
  <c r="F77"/>
  <c r="H77" s="1"/>
  <c r="H76"/>
  <c r="F75"/>
  <c r="H75" s="1"/>
  <c r="F74"/>
  <c r="H74" s="1"/>
  <c r="H73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I61"/>
  <c r="F60"/>
  <c r="H60" s="1"/>
  <c r="H58"/>
  <c r="F57"/>
  <c r="I57" s="1"/>
  <c r="I54"/>
  <c r="F54"/>
  <c r="H54" s="1"/>
  <c r="H53"/>
  <c r="F52"/>
  <c r="F51"/>
  <c r="F50"/>
  <c r="H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H40"/>
  <c r="F39"/>
  <c r="H39" s="1"/>
  <c r="F38"/>
  <c r="I38" s="1"/>
  <c r="I37"/>
  <c r="H37"/>
  <c r="H35"/>
  <c r="H34"/>
  <c r="I63" i="27"/>
  <c r="H88"/>
  <c r="I82"/>
  <c r="H82"/>
  <c r="H80"/>
  <c r="H76"/>
  <c r="F75"/>
  <c r="H75" s="1"/>
  <c r="F74"/>
  <c r="H74" s="1"/>
  <c r="H73"/>
  <c r="F72"/>
  <c r="H72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F60"/>
  <c r="H60" s="1"/>
  <c r="H58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89" i="23"/>
  <c r="H88"/>
  <c r="F85"/>
  <c r="H85" s="1"/>
  <c r="F84"/>
  <c r="H84" s="1"/>
  <c r="H82"/>
  <c r="H80"/>
  <c r="I78"/>
  <c r="I77"/>
  <c r="F78"/>
  <c r="H78" s="1"/>
  <c r="F77"/>
  <c r="H77" s="1"/>
  <c r="H76"/>
  <c r="F75"/>
  <c r="H75" s="1"/>
  <c r="F74"/>
  <c r="H74" s="1"/>
  <c r="H73"/>
  <c r="F72"/>
  <c r="H72" s="1"/>
  <c r="F70"/>
  <c r="F69"/>
  <c r="F68"/>
  <c r="F67"/>
  <c r="F66"/>
  <c r="F65"/>
  <c r="F64"/>
  <c r="H64" s="1"/>
  <c r="F63"/>
  <c r="H63" s="1"/>
  <c r="H61"/>
  <c r="F60"/>
  <c r="H60" s="1"/>
  <c r="H58"/>
  <c r="F57"/>
  <c r="H57" s="1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H43"/>
  <c r="F42"/>
  <c r="H42" s="1"/>
  <c r="F41"/>
  <c r="H41" s="1"/>
  <c r="H40"/>
  <c r="F39"/>
  <c r="H39" s="1"/>
  <c r="F38"/>
  <c r="H38" s="1"/>
  <c r="H37"/>
  <c r="H35"/>
  <c r="H34"/>
  <c r="H33"/>
  <c r="F32"/>
  <c r="H32" s="1"/>
  <c r="F31"/>
  <c r="H31" s="1"/>
  <c r="F30"/>
  <c r="H30" s="1"/>
  <c r="H51" i="28" l="1"/>
  <c r="I51"/>
  <c r="H52"/>
  <c r="I52"/>
  <c r="H66" i="23"/>
  <c r="I66"/>
  <c r="H68"/>
  <c r="I68"/>
  <c r="H65"/>
  <c r="I65"/>
  <c r="H67"/>
  <c r="I67"/>
  <c r="H69"/>
  <c r="I69"/>
  <c r="H52" i="29"/>
  <c r="I52"/>
  <c r="H51"/>
  <c r="I51"/>
  <c r="H81"/>
  <c r="I48" i="28"/>
  <c r="I46"/>
  <c r="I70"/>
  <c r="I49"/>
  <c r="I47"/>
  <c r="I45"/>
  <c r="H70" i="23"/>
  <c r="I70"/>
  <c r="H38" i="29"/>
  <c r="I39"/>
  <c r="I41"/>
  <c r="H42"/>
  <c r="I45"/>
  <c r="H46"/>
  <c r="I47"/>
  <c r="H48"/>
  <c r="I49"/>
  <c r="H50"/>
  <c r="I57"/>
  <c r="I61"/>
  <c r="I70"/>
  <c r="H84"/>
  <c r="I85"/>
  <c r="H38" i="28"/>
  <c r="I39"/>
  <c r="I41"/>
  <c r="H42"/>
  <c r="I50"/>
  <c r="H57"/>
  <c r="H61"/>
  <c r="H84"/>
  <c r="I85"/>
  <c r="I86" s="1"/>
  <c r="H81" i="27"/>
  <c r="I38"/>
  <c r="H39"/>
  <c r="H41"/>
  <c r="I42"/>
  <c r="H50"/>
  <c r="I57"/>
  <c r="H86"/>
  <c r="I61" i="23"/>
  <c r="I86" i="29" l="1"/>
  <c r="I93" s="1"/>
  <c r="H81" i="28"/>
  <c r="I91"/>
  <c r="I95" i="27"/>
  <c r="I84" i="23" l="1"/>
  <c r="I82"/>
  <c r="I57"/>
  <c r="I54"/>
  <c r="I43"/>
  <c r="I42"/>
  <c r="I39"/>
  <c r="I37"/>
  <c r="I33"/>
  <c r="I31"/>
  <c r="H86" l="1"/>
  <c r="I85"/>
  <c r="I30"/>
  <c r="I32"/>
  <c r="I38"/>
  <c r="I41"/>
  <c r="I50"/>
  <c r="H81"/>
  <c r="I96" l="1"/>
</calcChain>
</file>

<file path=xl/sharedStrings.xml><?xml version="1.0" encoding="utf-8"?>
<sst xmlns="http://schemas.openxmlformats.org/spreadsheetml/2006/main" count="2757" uniqueCount="258">
  <si>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</si>
  <si>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</si>
  <si>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</si>
  <si>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</si>
  <si>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</si>
  <si>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</si>
  <si>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</si>
  <si>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</si>
  <si>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</si>
  <si>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</si>
  <si>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</si>
  <si>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</si>
  <si>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</si>
  <si>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</si>
  <si>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</si>
  <si>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</si>
  <si>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</si>
  <si>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</si>
  <si>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</si>
  <si>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</si>
  <si>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</si>
  <si>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</si>
  <si>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</si>
  <si>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</si>
  <si>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</si>
  <si>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</si>
  <si>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</si>
  <si>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</si>
  <si>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</si>
  <si>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</si>
  <si>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</si>
  <si>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</si>
  <si>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</si>
  <si>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</si>
  <si>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</si>
  <si>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</si>
  <si>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</si>
  <si>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</si>
  <si>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</si>
  <si>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</si>
  <si>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</si>
  <si>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</si>
  <si>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</si>
  <si>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</si>
  <si>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</si>
  <si>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</si>
  <si>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</si>
  <si>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</si>
  <si>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</si>
  <si>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</si>
  <si>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</si>
  <si>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</si>
  <si>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</si>
  <si>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</si>
  <si>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</si>
  <si>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</si>
  <si>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</si>
  <si>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</si>
  <si>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</si>
  <si>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</si>
  <si>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</si>
  <si>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</si>
  <si>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</si>
  <si>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</si>
  <si>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</si>
  <si>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</si>
  <si>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</si>
  <si>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</si>
  <si>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</si>
  <si>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</si>
  <si>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</si>
  <si>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</si>
  <si>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</si>
  <si>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</si>
  <si>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</si>
  <si>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</si>
  <si>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</si>
  <si>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</si>
  <si>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</si>
  <si>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</si>
  <si>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II. Уборка земельного участка </t>
  </si>
  <si>
    <t>Влажное подметание лестничных клеток 1 этажа</t>
  </si>
  <si>
    <t>100м2</t>
  </si>
  <si>
    <t>30 раз за сезон</t>
  </si>
  <si>
    <t>155 раз за сезон</t>
  </si>
  <si>
    <t>1000м2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</si>
  <si>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</si>
  <si>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</si>
  <si>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</si>
  <si>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</si>
  <si>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</si>
  <si>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</si>
  <si>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</si>
  <si>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</si>
  <si>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</si>
  <si>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</si>
  <si>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</si>
  <si>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</si>
  <si>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</si>
  <si>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</si>
  <si>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</si>
  <si>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</si>
  <si>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</si>
  <si>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</si>
  <si>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</si>
  <si>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</si>
  <si>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</si>
  <si>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</si>
  <si>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</si>
  <si>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</si>
  <si>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</si>
  <si>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</si>
  <si>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</si>
  <si>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 xml:space="preserve"> </t>
  </si>
  <si>
    <t>Прочистка каналов</t>
  </si>
  <si>
    <t>35 раз за сезон</t>
  </si>
  <si>
    <t xml:space="preserve">Пескопосыпка территории: крыльца и тротуары </t>
  </si>
  <si>
    <t>Очистка чердака, подвала от мусора</t>
  </si>
  <si>
    <t>Смена арматуры - вентилей и клапанов обратных муфтовых диаметром до 20 мм</t>
  </si>
  <si>
    <t>1 шт</t>
  </si>
  <si>
    <t xml:space="preserve">приемки оказанных услуг и выполненных работ по содержанию и текущему ремонту
общего имущества в многоквартирном доме №53 по ул.Октябрьская пгт.Ярега
</t>
  </si>
  <si>
    <t>V. Прочие услуги</t>
  </si>
  <si>
    <t>IV. Содержание общего имущества МКД</t>
  </si>
  <si>
    <t>III. Проведение технических осмотров</t>
  </si>
  <si>
    <t>генеральный директор Куканов Ю.Л.</t>
  </si>
  <si>
    <t>АКТ №1</t>
  </si>
  <si>
    <t>Влажное подметание лестничных клеток 2-5 этажа</t>
  </si>
  <si>
    <t>Мытье лестничных  площадок и маршей 1-5 этаж.</t>
  </si>
  <si>
    <t>Очистка урн от мусора</t>
  </si>
  <si>
    <t>5 раз в год</t>
  </si>
  <si>
    <t>АКТ №2</t>
  </si>
  <si>
    <t>АКТ №3</t>
  </si>
  <si>
    <t>III. Содержание общего имущества МКД</t>
  </si>
  <si>
    <t>IV. Прочие услуги</t>
  </si>
  <si>
    <t>АКТ №8</t>
  </si>
  <si>
    <t>АКТ №9</t>
  </si>
  <si>
    <t>АКТ №10</t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</si>
  <si>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д.53</t>
    </r>
  </si>
  <si>
    <t>Ремонт групповых щитков на лестничной клетке без ремонта автоматов</t>
  </si>
  <si>
    <t>Итого затраты за месяц</t>
  </si>
  <si>
    <t>52 раза в сезон</t>
  </si>
  <si>
    <t>78 раз за сезон</t>
  </si>
  <si>
    <t>Сдвигание снега в дни снегопада</t>
  </si>
  <si>
    <t>Вывоз снега с придомовой территории</t>
  </si>
  <si>
    <t>1м3</t>
  </si>
  <si>
    <t>Работа автовышки</t>
  </si>
  <si>
    <t>маш-час</t>
  </si>
  <si>
    <t>Дератизация</t>
  </si>
  <si>
    <t>м2</t>
  </si>
  <si>
    <t>12 раз в год</t>
  </si>
  <si>
    <t>Смена светодиодных светильников в.о.</t>
  </si>
  <si>
    <t>1 шт.</t>
  </si>
  <si>
    <t>Стоимость светодиодного светильника</t>
  </si>
  <si>
    <t>руб.</t>
  </si>
  <si>
    <t>Смена плвкой вставки в электрощитке</t>
  </si>
  <si>
    <t>Смена светильника РКУ</t>
  </si>
  <si>
    <t>Снятие показаний с общедомовых приборов учёта электрической энергии и холодной воды</t>
  </si>
  <si>
    <t>Обслуживание общедомового прибора учета тепловой энергии</t>
  </si>
  <si>
    <t xml:space="preserve">183 раза </t>
  </si>
  <si>
    <t>АКТ №11</t>
  </si>
  <si>
    <t>II. Уборка земельного участка</t>
  </si>
  <si>
    <t>АКТ №12</t>
  </si>
  <si>
    <t>АКТ №4</t>
  </si>
  <si>
    <t>100 кв.</t>
  </si>
  <si>
    <t>28м2</t>
  </si>
  <si>
    <t>АКТ №6</t>
  </si>
  <si>
    <t>Подключение и отключение сварочного аппарата</t>
  </si>
  <si>
    <t>ООО «Движение»</t>
  </si>
  <si>
    <t>АКТ №7</t>
  </si>
  <si>
    <r>
      <t xml:space="preserve">    Собственники помещений в многоквартирном доме, расположенном по адресу: пгт.Ярега, ул.Октябрьская, д.53,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27.06.2017г.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</si>
  <si>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АКТ №5</t>
  </si>
  <si>
    <t>Очистка канализационной сети внутренней</t>
  </si>
  <si>
    <t>м</t>
  </si>
  <si>
    <t>Очистка вручную от снега и наледи люков каналиационных и водопроводных колодцев</t>
  </si>
  <si>
    <t>за период с 01.01.2019 г. по 31.01.2019 г.</t>
  </si>
  <si>
    <t>Внеплановый осмотр водопроводов, канализации, отопления в квартирах</t>
  </si>
  <si>
    <t>за период с 01.02.2019 г. по 28.02.2019 г.</t>
  </si>
  <si>
    <t>Очистка чердака от снега</t>
  </si>
  <si>
    <t>2. Всего за период с 01.02.2019 по 28.02.2019 выполнено работ (оказано услуг) на общую сумму: 41889,10 руб.</t>
  </si>
  <si>
    <t>(сорок одна тысяча восмьсот восемьдесят девять рублей 10 копеек)</t>
  </si>
  <si>
    <t>за период с 01.03.2019 г. по 31.03.2019 г.</t>
  </si>
  <si>
    <t>Внеплановый осмотр электросетей, армазуры и электрооборудования на лестничных клетках</t>
  </si>
  <si>
    <t>Смена внутренних трубопроводов на полипропиленовые трубы PN 25 Dу 20</t>
  </si>
  <si>
    <t>Ремонт силового предохранительного шкафа (без стоимости материалов)</t>
  </si>
  <si>
    <t>за период с 01.04.2019 г. по 30.04.2019 г.</t>
  </si>
  <si>
    <t>1 раз</t>
  </si>
  <si>
    <t>Смена внутренних трубопроводов на полипропиленовые трубы PN 25 Dу 25</t>
  </si>
  <si>
    <t>Осмотр кровель из штучных материалов</t>
  </si>
  <si>
    <t>39 м3</t>
  </si>
  <si>
    <t>100 м</t>
  </si>
  <si>
    <t>Устройство ходов</t>
  </si>
  <si>
    <t>за период с 01.05.2019 г. по 31.05.2019 г.</t>
  </si>
  <si>
    <t>Смена арматуры - вентилей и клапанов обратных муфтовых диаметром до 32 мм</t>
  </si>
  <si>
    <t>за период с 01.06.2019 г. по 30.06.2019 г.</t>
  </si>
  <si>
    <t>Сварочные работы</t>
  </si>
  <si>
    <t>час</t>
  </si>
  <si>
    <t>Закрыли слуховое окно</t>
  </si>
  <si>
    <t>2ч</t>
  </si>
  <si>
    <t>Организация и содержание мест накопления ТКО</t>
  </si>
  <si>
    <t>13 раз</t>
  </si>
  <si>
    <t>8 раз</t>
  </si>
  <si>
    <t>2 раза</t>
  </si>
  <si>
    <t xml:space="preserve">1 раз </t>
  </si>
  <si>
    <t>5 раз</t>
  </si>
  <si>
    <t>25 раз</t>
  </si>
  <si>
    <t>7 раз</t>
  </si>
  <si>
    <t>2. Всего за период с 01.01.2019 по 31.01.2019 выполнено работ (оказано услуг) на общую сумму: 36480,43 руб.</t>
  </si>
  <si>
    <t>(тридцать шесть тысяч четыреста восемьдесят рублей 43 копейки)</t>
  </si>
  <si>
    <t>21 раз</t>
  </si>
  <si>
    <t>6 раз</t>
  </si>
  <si>
    <t>(тридцать три тысячи сто двадцать восемь рублей 42 копейки)</t>
  </si>
  <si>
    <t>2. Всего за период с 01.04.2019 по 30.04.2019 выполнено работ (оказано услуг) на общую сумму: 47190,51 руб.</t>
  </si>
  <si>
    <t>(сорок семь тысяч сто девяносто рублей 51 копеек)</t>
  </si>
  <si>
    <t xml:space="preserve">1 раз      </t>
  </si>
  <si>
    <t xml:space="preserve">1 раз    </t>
  </si>
  <si>
    <t xml:space="preserve">1 раз     </t>
  </si>
  <si>
    <t xml:space="preserve">1 раз  </t>
  </si>
  <si>
    <t>2. Всего за период с 01.05.2019 по 31.05.2019 выполнено работ (оказано услуг) на общую сумму: 45691,96 руб.</t>
  </si>
  <si>
    <t>(сорок пять тысяч шестьсот девяносто один рубль 96 копеек)</t>
  </si>
  <si>
    <t>2. Всего за период с 01.06.2019 по 30.06.2019 выполнено работ (оказано услуг) на общую сумму: 105227,42 руб.</t>
  </si>
  <si>
    <t>(сто пять тысяч двести двадцать семь рублей 42 копейки)</t>
  </si>
  <si>
    <t>за период с 01.07.2019 г. по 31.07.2019 г.</t>
  </si>
  <si>
    <t>3 маш/час</t>
  </si>
  <si>
    <t>Открыли окна в подъезде</t>
  </si>
  <si>
    <t>2. Всего за период с 01.07.2019 по 31.07.2019 выполнено работ (оказано услуг) на общую сумму: 25519,44 руб.</t>
  </si>
  <si>
    <t>(двадцать пять тысяч пятьсот девятнадцать рублей 44 копейки)</t>
  </si>
  <si>
    <t>за период с 01.08.2019 г. по 31.08.2019 г.</t>
  </si>
  <si>
    <t>Ремонт разделки к слуховому окну</t>
  </si>
  <si>
    <t>10 м</t>
  </si>
  <si>
    <t>Ремонт отдельных мест покрытия из асбоцементных листов обыкновенного профиля</t>
  </si>
  <si>
    <t>10 м2</t>
  </si>
  <si>
    <t xml:space="preserve">Шифер </t>
  </si>
  <si>
    <t>Ремонт и регулировка доводчика (со стоимостью доводчика)</t>
  </si>
  <si>
    <t>1шт.</t>
  </si>
  <si>
    <t>Смена дверных приборов /замки навесные)</t>
  </si>
  <si>
    <t>подвал</t>
  </si>
  <si>
    <t>4,5 м2</t>
  </si>
  <si>
    <t>3 шт</t>
  </si>
  <si>
    <t>2. Всего за период с 01.08.2019 по 31.08.2019 выполнено работ (оказано услуг) на общую сумму: 37761,74 руб.</t>
  </si>
  <si>
    <t>(тридцать семь тысяч семьсот шестьдесят один рубль 74 копейки)</t>
  </si>
  <si>
    <t>за период с 01.09.2019 г. по 30.09.2019 г.</t>
  </si>
  <si>
    <t>2. Всего за период с 01.09.2019 по 30.09.2019 выполнено работ (оказано услуг) на общую сумму: 36098,16 руб.</t>
  </si>
  <si>
    <t>(тридцать шесть тысяч девяносто восемь рублей 16 копеек)</t>
  </si>
  <si>
    <t>за период с 01.10.2019 г. по 31.10.2019 г.</t>
  </si>
  <si>
    <t>за период с 01.11.2019 г. по 30.11.2019 г.</t>
  </si>
  <si>
    <t>Установка хомута диаметром до 50 мм</t>
  </si>
  <si>
    <t>место</t>
  </si>
  <si>
    <t>2. Всего за период с 01.11.2019 по 30.11.2019 выполнено работ (оказано услуг) на общую сумму: 31814,26 руб.</t>
  </si>
  <si>
    <t>(тридцать одна тысяча восемьсот четырнадцать рублей 26 копеек)</t>
  </si>
  <si>
    <t>за период с 01.12.2019 г. по 31.12.2019 г.</t>
  </si>
  <si>
    <t>104м3</t>
  </si>
  <si>
    <t>Перекрыли вентиль</t>
  </si>
  <si>
    <t>2. Всего за период с 01.12.2019 по 31.12.2019 выполнено работ (оказано услуг) на общую сумму: 67901,81 руб.</t>
  </si>
  <si>
    <t>(шестьдесят семь тысяч девятьсот один рубль 81 копейка)</t>
  </si>
  <si>
    <t>ХВС подвал</t>
  </si>
  <si>
    <t>2. Всего за период с 01.10.2019 по 31.10.2019 выполнено работ (оказано услуг) на общую сумму: 26715,96 руб.</t>
  </si>
  <si>
    <t>(двадцать шесть тысяч семьсот пятнадцать рублей 96 копеек)</t>
  </si>
  <si>
    <t>2. Всего за период с 01.03.2019 по 31.03.2019 выполнено работ (оказано услуг) на общую сумму: 33128,42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</si>
</sst>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0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0" borderId="3" xfId="0" applyFont="1" applyBorder="1"/>
    <xf numFmtId="0" fontId="11" fillId="3" borderId="8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17" fillId="2" borderId="8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4" fontId="11" fillId="3" borderId="12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0" fontId="14" fillId="0" borderId="0" xfId="0" applyFont="1" applyFill="1"/>
    <xf numFmtId="4" fontId="11" fillId="3" borderId="3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left" vertical="center" wrapText="1"/>
    </xf>
    <xf numFmtId="4" fontId="11" fillId="4" borderId="12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wrapText="1"/>
    </xf>
    <xf numFmtId="4" fontId="11" fillId="2" borderId="16" xfId="0" applyNumberFormat="1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14" fontId="11" fillId="2" borderId="10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3" fillId="0" borderId="6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6" xfId="0" applyFont="1" applyBorder="1" applyAlignment="1"/>
    <xf numFmtId="0" fontId="0" fillId="0" borderId="6" xfId="0" applyBorder="1" applyAlignment="1"/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J99" sqref="J9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90" t="s">
        <v>125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13" ht="15.75">
      <c r="A5" s="190" t="s">
        <v>174</v>
      </c>
      <c r="B5" s="192"/>
      <c r="C5" s="192"/>
      <c r="D5" s="192"/>
      <c r="E5" s="192"/>
      <c r="F5" s="192"/>
      <c r="G5" s="192"/>
      <c r="H5" s="192"/>
      <c r="I5" s="192"/>
      <c r="J5" s="2"/>
      <c r="K5" s="2"/>
      <c r="L5" s="2"/>
      <c r="M5" s="2"/>
    </row>
    <row r="6" spans="1:13" ht="15.75">
      <c r="A6" s="2"/>
      <c r="B6" s="129"/>
      <c r="C6" s="129"/>
      <c r="D6" s="129"/>
      <c r="E6" s="129"/>
      <c r="F6" s="129"/>
      <c r="G6" s="129"/>
      <c r="H6" s="129"/>
      <c r="I6" s="31">
        <v>43496</v>
      </c>
      <c r="J6" s="2"/>
      <c r="K6" s="2"/>
      <c r="L6" s="2"/>
      <c r="M6" s="2"/>
    </row>
    <row r="7" spans="1:13" ht="15.75">
      <c r="B7" s="133"/>
      <c r="C7" s="133"/>
      <c r="D7" s="13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89</v>
      </c>
      <c r="C19" s="46" t="s">
        <v>90</v>
      </c>
      <c r="D19" s="35" t="s">
        <v>91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93</v>
      </c>
      <c r="C21" s="46" t="s">
        <v>82</v>
      </c>
      <c r="D21" s="35" t="s">
        <v>42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94</v>
      </c>
      <c r="C22" s="46" t="s">
        <v>52</v>
      </c>
      <c r="D22" s="35" t="s">
        <v>91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95</v>
      </c>
      <c r="C23" s="46" t="s">
        <v>52</v>
      </c>
      <c r="D23" s="35" t="s">
        <v>91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96</v>
      </c>
      <c r="C24" s="46" t="s">
        <v>52</v>
      </c>
      <c r="D24" s="35" t="s">
        <v>97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98</v>
      </c>
      <c r="C25" s="46" t="s">
        <v>52</v>
      </c>
      <c r="D25" s="35" t="s">
        <v>53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99</v>
      </c>
      <c r="C26" s="46" t="s">
        <v>52</v>
      </c>
      <c r="D26" s="35" t="s">
        <v>91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196" t="s">
        <v>160</v>
      </c>
      <c r="B28" s="197"/>
      <c r="C28" s="197"/>
      <c r="D28" s="197"/>
      <c r="E28" s="197"/>
      <c r="F28" s="197"/>
      <c r="G28" s="197"/>
      <c r="H28" s="197"/>
      <c r="I28" s="198"/>
      <c r="J28" s="23"/>
      <c r="K28" s="8"/>
      <c r="L28" s="8"/>
      <c r="M28" s="8"/>
    </row>
    <row r="29" spans="1:13" ht="15.75" hidden="1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hidden="1" customHeight="1">
      <c r="A30" s="30">
        <v>7</v>
      </c>
      <c r="B30" s="81" t="s">
        <v>102</v>
      </c>
      <c r="C30" s="46" t="s">
        <v>85</v>
      </c>
      <c r="D30" s="35" t="s">
        <v>140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  <c r="J30" s="23"/>
      <c r="K30" s="8"/>
      <c r="L30" s="8"/>
      <c r="M30" s="8"/>
    </row>
    <row r="31" spans="1:13" ht="31.5" hidden="1" customHeight="1">
      <c r="A31" s="30">
        <v>8</v>
      </c>
      <c r="B31" s="81" t="s">
        <v>101</v>
      </c>
      <c r="C31" s="46" t="s">
        <v>85</v>
      </c>
      <c r="D31" s="35" t="s">
        <v>141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85</v>
      </c>
      <c r="D32" s="35" t="s">
        <v>53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hidden="1" customHeight="1">
      <c r="A33" s="30">
        <v>9</v>
      </c>
      <c r="B33" s="81" t="s">
        <v>128</v>
      </c>
      <c r="C33" s="46" t="s">
        <v>40</v>
      </c>
      <c r="D33" s="35" t="s">
        <v>63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>
        <v>10</v>
      </c>
      <c r="B34" s="81" t="s">
        <v>100</v>
      </c>
      <c r="C34" s="46" t="s">
        <v>30</v>
      </c>
      <c r="D34" s="35" t="s">
        <v>63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  <c r="J34" s="24"/>
    </row>
    <row r="35" spans="1:14" ht="15.75" hidden="1" customHeight="1">
      <c r="A35" s="30"/>
      <c r="B35" s="35" t="s">
        <v>64</v>
      </c>
      <c r="C35" s="46" t="s">
        <v>32</v>
      </c>
      <c r="D35" s="35" t="s">
        <v>66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35" t="s">
        <v>65</v>
      </c>
      <c r="C36" s="46" t="s">
        <v>31</v>
      </c>
      <c r="D36" s="35" t="s">
        <v>66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  <c r="J36" s="24"/>
    </row>
    <row r="37" spans="1:14" ht="15.75" customHeight="1">
      <c r="A37" s="30"/>
      <c r="B37" s="92" t="s">
        <v>5</v>
      </c>
      <c r="C37" s="82"/>
      <c r="D37" s="81"/>
      <c r="E37" s="83"/>
      <c r="F37" s="84"/>
      <c r="G37" s="84"/>
      <c r="H37" s="85" t="s">
        <v>113</v>
      </c>
      <c r="I37" s="13"/>
      <c r="J37" s="24"/>
    </row>
    <row r="38" spans="1:14" ht="15.75" customHeight="1">
      <c r="A38" s="30">
        <v>6</v>
      </c>
      <c r="B38" s="36" t="s">
        <v>25</v>
      </c>
      <c r="C38" s="46" t="s">
        <v>31</v>
      </c>
      <c r="D38" s="35"/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G38*2.31</f>
        <v>4626.93</v>
      </c>
      <c r="J38" s="24"/>
      <c r="L38" s="19"/>
      <c r="M38" s="20"/>
      <c r="N38" s="21"/>
    </row>
    <row r="39" spans="1:14" ht="15.75" customHeight="1">
      <c r="A39" s="30">
        <v>7</v>
      </c>
      <c r="B39" s="36" t="s">
        <v>142</v>
      </c>
      <c r="C39" s="55" t="s">
        <v>28</v>
      </c>
      <c r="D39" s="35" t="s">
        <v>203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  <c r="J39" s="24"/>
      <c r="L39" s="19"/>
      <c r="M39" s="20"/>
      <c r="N39" s="21"/>
    </row>
    <row r="40" spans="1:14" ht="15.75" customHeight="1">
      <c r="A40" s="30">
        <v>8</v>
      </c>
      <c r="B40" s="35" t="s">
        <v>67</v>
      </c>
      <c r="C40" s="46" t="s">
        <v>28</v>
      </c>
      <c r="D40" s="35" t="s">
        <v>204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  <c r="J40" s="24"/>
      <c r="L40" s="19"/>
      <c r="M40" s="20"/>
      <c r="N40" s="21"/>
    </row>
    <row r="41" spans="1:14" ht="15.75" hidden="1" customHeight="1">
      <c r="A41" s="30"/>
      <c r="B41" s="35" t="s">
        <v>143</v>
      </c>
      <c r="C41" s="46" t="s">
        <v>144</v>
      </c>
      <c r="D41" s="35" t="s">
        <v>66</v>
      </c>
      <c r="E41" s="100"/>
      <c r="F41" s="37">
        <v>39</v>
      </c>
      <c r="G41" s="34">
        <v>314</v>
      </c>
      <c r="H41" s="101">
        <f t="shared" si="4"/>
        <v>12.246</v>
      </c>
      <c r="I41" s="13"/>
      <c r="J41" s="24"/>
      <c r="L41" s="19"/>
      <c r="M41" s="20"/>
      <c r="N41" s="21"/>
    </row>
    <row r="42" spans="1:14" ht="47.25" customHeight="1">
      <c r="A42" s="30">
        <v>9</v>
      </c>
      <c r="B42" s="35" t="s">
        <v>79</v>
      </c>
      <c r="C42" s="46" t="s">
        <v>85</v>
      </c>
      <c r="D42" s="35" t="s">
        <v>209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  <c r="J42" s="24"/>
      <c r="L42" s="19"/>
      <c r="M42" s="20"/>
      <c r="N42" s="21"/>
    </row>
    <row r="43" spans="1:14" ht="15.75" customHeight="1">
      <c r="A43" s="30">
        <v>10</v>
      </c>
      <c r="B43" s="35" t="s">
        <v>116</v>
      </c>
      <c r="C43" s="46" t="s">
        <v>85</v>
      </c>
      <c r="D43" s="35" t="s">
        <v>205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F43/7.5*G43</f>
        <v>367.37414999999999</v>
      </c>
      <c r="J43" s="24"/>
      <c r="L43" s="19"/>
      <c r="M43" s="20"/>
      <c r="N43" s="21"/>
    </row>
    <row r="44" spans="1:14" ht="15.75" customHeight="1">
      <c r="A44" s="30">
        <v>11</v>
      </c>
      <c r="B44" s="36" t="s">
        <v>69</v>
      </c>
      <c r="C44" s="55" t="s">
        <v>32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F44/7.5*G44</f>
        <v>64.988666666666674</v>
      </c>
      <c r="J44" s="24"/>
      <c r="L44" s="19"/>
      <c r="M44" s="20"/>
      <c r="N44" s="21"/>
    </row>
    <row r="45" spans="1:14" ht="15.75" customHeight="1">
      <c r="A45" s="196" t="s">
        <v>123</v>
      </c>
      <c r="B45" s="197"/>
      <c r="C45" s="197"/>
      <c r="D45" s="197"/>
      <c r="E45" s="197"/>
      <c r="F45" s="197"/>
      <c r="G45" s="197"/>
      <c r="H45" s="197"/>
      <c r="I45" s="198"/>
      <c r="J45" s="24"/>
      <c r="L45" s="19"/>
      <c r="M45" s="20"/>
      <c r="N45" s="21"/>
    </row>
    <row r="46" spans="1:14" ht="15.75" hidden="1" customHeight="1">
      <c r="A46" s="30">
        <v>12</v>
      </c>
      <c r="B46" s="35" t="s">
        <v>103</v>
      </c>
      <c r="C46" s="46" t="s">
        <v>85</v>
      </c>
      <c r="D46" s="35" t="s">
        <v>42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  <c r="J46" s="24"/>
      <c r="L46" s="19"/>
      <c r="M46" s="20"/>
      <c r="N46" s="21"/>
    </row>
    <row r="47" spans="1:14" ht="15.75" hidden="1" customHeight="1">
      <c r="A47" s="30">
        <v>13</v>
      </c>
      <c r="B47" s="35" t="s">
        <v>35</v>
      </c>
      <c r="C47" s="46" t="s">
        <v>85</v>
      </c>
      <c r="D47" s="35" t="s">
        <v>42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  <c r="J47" s="24"/>
      <c r="L47" s="19"/>
      <c r="M47" s="20"/>
      <c r="N47" s="21"/>
    </row>
    <row r="48" spans="1:14" ht="15.75" hidden="1" customHeight="1">
      <c r="A48" s="30">
        <v>14</v>
      </c>
      <c r="B48" s="35" t="s">
        <v>36</v>
      </c>
      <c r="C48" s="46" t="s">
        <v>85</v>
      </c>
      <c r="D48" s="35" t="s">
        <v>42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35" t="s">
        <v>37</v>
      </c>
      <c r="C49" s="46" t="s">
        <v>85</v>
      </c>
      <c r="D49" s="35" t="s">
        <v>42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  <c r="J49" s="24"/>
      <c r="L49" s="19"/>
      <c r="M49" s="20"/>
      <c r="N49" s="21"/>
    </row>
    <row r="50" spans="1:22" ht="15.75" hidden="1" customHeight="1">
      <c r="A50" s="30">
        <v>16</v>
      </c>
      <c r="B50" s="35" t="s">
        <v>33</v>
      </c>
      <c r="C50" s="46" t="s">
        <v>34</v>
      </c>
      <c r="D50" s="35" t="s">
        <v>42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  <c r="J50" s="24"/>
      <c r="L50" s="19"/>
      <c r="M50" s="20"/>
      <c r="N50" s="21"/>
    </row>
    <row r="51" spans="1:22" ht="15.75" customHeight="1">
      <c r="A51" s="30">
        <v>12</v>
      </c>
      <c r="B51" s="35" t="s">
        <v>56</v>
      </c>
      <c r="C51" s="46" t="s">
        <v>85</v>
      </c>
      <c r="D51" s="35" t="s">
        <v>185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  <c r="J51" s="24"/>
      <c r="L51" s="19"/>
      <c r="M51" s="20"/>
      <c r="N51" s="21"/>
    </row>
    <row r="52" spans="1:22" ht="31.5" hidden="1" customHeight="1">
      <c r="A52" s="30">
        <v>14</v>
      </c>
      <c r="B52" s="35" t="s">
        <v>86</v>
      </c>
      <c r="C52" s="46" t="s">
        <v>85</v>
      </c>
      <c r="D52" s="35" t="s">
        <v>42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  <c r="J52" s="24"/>
      <c r="L52" s="19"/>
      <c r="M52" s="20"/>
      <c r="N52" s="21"/>
    </row>
    <row r="53" spans="1:22" ht="31.5" hidden="1" customHeight="1">
      <c r="A53" s="30">
        <v>15</v>
      </c>
      <c r="B53" s="35" t="s">
        <v>87</v>
      </c>
      <c r="C53" s="46" t="s">
        <v>38</v>
      </c>
      <c r="D53" s="35" t="s">
        <v>42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  <c r="J53" s="24"/>
      <c r="L53" s="19"/>
      <c r="M53" s="20"/>
      <c r="N53" s="21"/>
    </row>
    <row r="54" spans="1:22" ht="15.75" hidden="1" customHeight="1">
      <c r="A54" s="30">
        <v>16</v>
      </c>
      <c r="B54" s="35" t="s">
        <v>39</v>
      </c>
      <c r="C54" s="46" t="s">
        <v>40</v>
      </c>
      <c r="D54" s="35" t="s">
        <v>42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  <c r="J54" s="24"/>
      <c r="L54" s="19"/>
      <c r="M54" s="20"/>
      <c r="N54" s="21"/>
    </row>
    <row r="55" spans="1:22" ht="15.75" hidden="1" customHeight="1">
      <c r="A55" s="109">
        <v>14</v>
      </c>
      <c r="B55" s="105" t="s">
        <v>41</v>
      </c>
      <c r="C55" s="106" t="s">
        <v>104</v>
      </c>
      <c r="D55" s="105" t="s">
        <v>70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  <c r="J55" s="24"/>
      <c r="L55" s="19"/>
      <c r="M55" s="20"/>
      <c r="N55" s="21"/>
    </row>
    <row r="56" spans="1:22" ht="15.75" customHeight="1">
      <c r="A56" s="189" t="s">
        <v>122</v>
      </c>
      <c r="B56" s="189"/>
      <c r="C56" s="189"/>
      <c r="D56" s="189"/>
      <c r="E56" s="189"/>
      <c r="F56" s="189"/>
      <c r="G56" s="189"/>
      <c r="H56" s="189"/>
      <c r="I56" s="189"/>
      <c r="J56" s="24"/>
      <c r="L56" s="19"/>
      <c r="M56" s="20"/>
      <c r="N56" s="21"/>
    </row>
    <row r="57" spans="1:22" ht="15.75" hidden="1" customHeight="1">
      <c r="A57" s="30"/>
      <c r="B57" s="130" t="s">
        <v>43</v>
      </c>
      <c r="C57" s="16"/>
      <c r="D57" s="14"/>
      <c r="E57" s="18"/>
      <c r="F57" s="13"/>
      <c r="G57" s="13"/>
      <c r="H57" s="13"/>
      <c r="I57" s="13"/>
      <c r="J57" s="24"/>
      <c r="L57" s="19"/>
      <c r="M57" s="20"/>
      <c r="N57" s="21"/>
    </row>
    <row r="58" spans="1:22" ht="31.5" hidden="1" customHeight="1">
      <c r="A58" s="30">
        <v>15</v>
      </c>
      <c r="B58" s="41" t="s">
        <v>105</v>
      </c>
      <c r="C58" s="42" t="s">
        <v>82</v>
      </c>
      <c r="D58" s="41" t="s">
        <v>106</v>
      </c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F58/6*G58</f>
        <v>1115.9116199999996</v>
      </c>
      <c r="J58" s="24"/>
      <c r="L58" s="19"/>
    </row>
    <row r="59" spans="1:22" ht="15.75" hidden="1" customHeight="1">
      <c r="A59" s="30"/>
      <c r="B59" s="41" t="s">
        <v>145</v>
      </c>
      <c r="C59" s="42" t="s">
        <v>146</v>
      </c>
      <c r="D59" s="41" t="s">
        <v>66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v>0</v>
      </c>
      <c r="J59" s="24"/>
      <c r="L59" s="19"/>
    </row>
    <row r="60" spans="1:22" ht="15.75" customHeight="1">
      <c r="A60" s="30"/>
      <c r="B60" s="130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41" t="s">
        <v>117</v>
      </c>
      <c r="C61" s="42" t="s">
        <v>82</v>
      </c>
      <c r="D61" s="41" t="s">
        <v>53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22" ht="15.75" customHeight="1">
      <c r="A62" s="30">
        <v>13</v>
      </c>
      <c r="B62" s="41" t="s">
        <v>147</v>
      </c>
      <c r="C62" s="42" t="s">
        <v>148</v>
      </c>
      <c r="D62" s="105" t="s">
        <v>185</v>
      </c>
      <c r="E62" s="107">
        <v>100</v>
      </c>
      <c r="F62" s="101">
        <f>E62*12</f>
        <v>1200</v>
      </c>
      <c r="G62" s="108">
        <v>1.4</v>
      </c>
      <c r="H62" s="39">
        <f>F62*G62/1000</f>
        <v>1.68</v>
      </c>
      <c r="I62" s="13">
        <f>F62/12*G62</f>
        <v>140</v>
      </c>
    </row>
    <row r="63" spans="1:22" ht="15.75" hidden="1" customHeight="1">
      <c r="A63" s="113"/>
      <c r="B63" s="114" t="s">
        <v>45</v>
      </c>
      <c r="C63" s="115"/>
      <c r="D63" s="116"/>
      <c r="E63" s="86"/>
      <c r="F63" s="117"/>
      <c r="G63" s="117"/>
      <c r="H63" s="118" t="s">
        <v>113</v>
      </c>
      <c r="I63" s="119"/>
    </row>
    <row r="64" spans="1:22" ht="15.75" hidden="1" customHeight="1">
      <c r="A64" s="30">
        <v>12</v>
      </c>
      <c r="B64" s="58" t="s">
        <v>46</v>
      </c>
      <c r="C64" s="42" t="s">
        <v>104</v>
      </c>
      <c r="D64" s="41" t="s">
        <v>66</v>
      </c>
      <c r="E64" s="17">
        <v>5</v>
      </c>
      <c r="F64" s="34">
        <f>E64</f>
        <v>5</v>
      </c>
      <c r="G64" s="39">
        <v>291.68</v>
      </c>
      <c r="H64" s="79">
        <f t="shared" ref="H64:H71" si="9">SUM(F64*G64/1000)</f>
        <v>1.4584000000000001</v>
      </c>
      <c r="I64" s="13">
        <f>G64*2</f>
        <v>583.36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58" t="s">
        <v>47</v>
      </c>
      <c r="C65" s="42" t="s">
        <v>104</v>
      </c>
      <c r="D65" s="41" t="s">
        <v>66</v>
      </c>
      <c r="E65" s="17">
        <v>5</v>
      </c>
      <c r="F65" s="34">
        <f>E65</f>
        <v>5</v>
      </c>
      <c r="G65" s="39">
        <v>100.01</v>
      </c>
      <c r="H65" s="79">
        <f t="shared" si="9"/>
        <v>0.50004999999999999</v>
      </c>
      <c r="I65" s="13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/>
      <c r="B66" s="58" t="s">
        <v>48</v>
      </c>
      <c r="C66" s="44" t="s">
        <v>107</v>
      </c>
      <c r="D66" s="41" t="s">
        <v>53</v>
      </c>
      <c r="E66" s="100">
        <v>10348</v>
      </c>
      <c r="F66" s="40">
        <f>SUM(E66/100)</f>
        <v>103.48</v>
      </c>
      <c r="G66" s="39">
        <v>278.24</v>
      </c>
      <c r="H66" s="79">
        <f t="shared" si="9"/>
        <v>28.792275200000002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58" t="s">
        <v>49</v>
      </c>
      <c r="C67" s="42" t="s">
        <v>108</v>
      </c>
      <c r="D67" s="41" t="s">
        <v>53</v>
      </c>
      <c r="E67" s="100">
        <v>10348</v>
      </c>
      <c r="F67" s="39">
        <f>SUM(E67/1000)</f>
        <v>10.348000000000001</v>
      </c>
      <c r="G67" s="39">
        <v>216.68</v>
      </c>
      <c r="H67" s="79">
        <f t="shared" si="9"/>
        <v>2.2422046400000002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77"/>
      <c r="S67" s="177"/>
      <c r="T67" s="177"/>
      <c r="U67" s="177"/>
    </row>
    <row r="68" spans="1:21" ht="15.75" hidden="1" customHeight="1">
      <c r="A68" s="30"/>
      <c r="B68" s="58" t="s">
        <v>50</v>
      </c>
      <c r="C68" s="42" t="s">
        <v>75</v>
      </c>
      <c r="D68" s="41" t="s">
        <v>53</v>
      </c>
      <c r="E68" s="100">
        <v>1645</v>
      </c>
      <c r="F68" s="39">
        <f>SUM(E68/100)</f>
        <v>16.45</v>
      </c>
      <c r="G68" s="39">
        <v>2720.94</v>
      </c>
      <c r="H68" s="79">
        <f t="shared" si="9"/>
        <v>44.759462999999997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/>
      <c r="B69" s="53" t="s">
        <v>109</v>
      </c>
      <c r="C69" s="42" t="s">
        <v>32</v>
      </c>
      <c r="D69" s="41"/>
      <c r="E69" s="100">
        <v>9</v>
      </c>
      <c r="F69" s="39">
        <f>E69</f>
        <v>9</v>
      </c>
      <c r="G69" s="39">
        <v>42.61</v>
      </c>
      <c r="H69" s="79">
        <f t="shared" si="9"/>
        <v>0.38349</v>
      </c>
      <c r="I69" s="13">
        <v>0</v>
      </c>
    </row>
    <row r="70" spans="1:21" ht="15.75" hidden="1" customHeight="1">
      <c r="A70" s="30"/>
      <c r="B70" s="53" t="s">
        <v>110</v>
      </c>
      <c r="C70" s="42" t="s">
        <v>32</v>
      </c>
      <c r="D70" s="41"/>
      <c r="E70" s="100">
        <v>9</v>
      </c>
      <c r="F70" s="39">
        <f t="shared" ref="F70:F71" si="10">E70</f>
        <v>9</v>
      </c>
      <c r="G70" s="39">
        <v>46.04</v>
      </c>
      <c r="H70" s="79">
        <f t="shared" si="9"/>
        <v>0.41436000000000001</v>
      </c>
      <c r="I70" s="13">
        <v>0</v>
      </c>
    </row>
    <row r="71" spans="1:21" ht="15.75" hidden="1" customHeight="1">
      <c r="A71" s="30">
        <v>21</v>
      </c>
      <c r="B71" s="41" t="s">
        <v>57</v>
      </c>
      <c r="C71" s="42" t="s">
        <v>58</v>
      </c>
      <c r="D71" s="41" t="s">
        <v>53</v>
      </c>
      <c r="E71" s="17">
        <v>2</v>
      </c>
      <c r="F71" s="39">
        <f t="shared" si="10"/>
        <v>2</v>
      </c>
      <c r="G71" s="39">
        <v>65.42</v>
      </c>
      <c r="H71" s="79">
        <f t="shared" si="9"/>
        <v>0.13084000000000001</v>
      </c>
      <c r="I71" s="13">
        <f>F71*G71</f>
        <v>130.84</v>
      </c>
    </row>
    <row r="72" spans="1:21" ht="15.75" customHeight="1">
      <c r="A72" s="30"/>
      <c r="B72" s="130" t="s">
        <v>71</v>
      </c>
      <c r="C72" s="16"/>
      <c r="D72" s="14"/>
      <c r="E72" s="18"/>
      <c r="F72" s="13"/>
      <c r="G72" s="13"/>
      <c r="H72" s="80" t="s">
        <v>113</v>
      </c>
      <c r="I72" s="13"/>
    </row>
    <row r="73" spans="1:21" ht="15.75" hidden="1" customHeight="1">
      <c r="A73" s="30"/>
      <c r="B73" s="14" t="s">
        <v>150</v>
      </c>
      <c r="C73" s="16" t="s">
        <v>151</v>
      </c>
      <c r="D73" s="41" t="s">
        <v>66</v>
      </c>
      <c r="E73" s="18">
        <v>1</v>
      </c>
      <c r="F73" s="13">
        <f>E73</f>
        <v>1</v>
      </c>
      <c r="G73" s="13">
        <v>1029.1199999999999</v>
      </c>
      <c r="H73" s="80">
        <f t="shared" ref="H73:H74" si="11">SUM(F73*G73/1000)</f>
        <v>1.0291199999999998</v>
      </c>
      <c r="I73" s="13">
        <v>0</v>
      </c>
    </row>
    <row r="74" spans="1:21" ht="15.75" hidden="1" customHeight="1">
      <c r="A74" s="30"/>
      <c r="B74" s="14" t="s">
        <v>152</v>
      </c>
      <c r="C74" s="16" t="s">
        <v>153</v>
      </c>
      <c r="D74" s="120"/>
      <c r="E74" s="18">
        <v>1</v>
      </c>
      <c r="F74" s="13">
        <v>1</v>
      </c>
      <c r="G74" s="13">
        <v>735</v>
      </c>
      <c r="H74" s="80">
        <f t="shared" si="11"/>
        <v>0.73499999999999999</v>
      </c>
      <c r="I74" s="13">
        <v>0</v>
      </c>
    </row>
    <row r="75" spans="1:21" ht="15.75" hidden="1" customHeight="1">
      <c r="A75" s="30"/>
      <c r="B75" s="14" t="s">
        <v>72</v>
      </c>
      <c r="C75" s="16" t="s">
        <v>73</v>
      </c>
      <c r="D75" s="41" t="s">
        <v>66</v>
      </c>
      <c r="E75" s="18">
        <v>2</v>
      </c>
      <c r="F75" s="84">
        <f>SUM(E75/10)</f>
        <v>0.2</v>
      </c>
      <c r="G75" s="13">
        <v>657.87</v>
      </c>
      <c r="H75" s="80">
        <f>SUM(F75*G75/1000)</f>
        <v>0.13157400000000002</v>
      </c>
      <c r="I75" s="13">
        <v>0</v>
      </c>
    </row>
    <row r="76" spans="1:21" ht="15.75" hidden="1" customHeight="1">
      <c r="A76" s="30"/>
      <c r="B76" s="14" t="s">
        <v>154</v>
      </c>
      <c r="C76" s="16" t="s">
        <v>104</v>
      </c>
      <c r="D76" s="41" t="s">
        <v>66</v>
      </c>
      <c r="E76" s="18">
        <v>2</v>
      </c>
      <c r="F76" s="13">
        <f>E76</f>
        <v>2</v>
      </c>
      <c r="G76" s="13">
        <v>1118.72</v>
      </c>
      <c r="H76" s="80">
        <f>SUM(F76*G76/1000)</f>
        <v>2.2374399999999999</v>
      </c>
      <c r="I76" s="13">
        <v>0</v>
      </c>
    </row>
    <row r="77" spans="1:21" ht="15.75" hidden="1" customHeight="1">
      <c r="A77" s="30"/>
      <c r="B77" s="56" t="s">
        <v>155</v>
      </c>
      <c r="C77" s="57" t="s">
        <v>104</v>
      </c>
      <c r="D77" s="41" t="s">
        <v>66</v>
      </c>
      <c r="E77" s="18">
        <v>1</v>
      </c>
      <c r="F77" s="75">
        <v>1</v>
      </c>
      <c r="G77" s="13">
        <v>1605.83</v>
      </c>
      <c r="H77" s="80">
        <f>SUM(F77*G77/1000)</f>
        <v>1.6058299999999999</v>
      </c>
      <c r="I77" s="13">
        <v>0</v>
      </c>
    </row>
    <row r="78" spans="1:21" ht="31.5" customHeight="1">
      <c r="A78" s="30">
        <v>14</v>
      </c>
      <c r="B78" s="56" t="s">
        <v>156</v>
      </c>
      <c r="C78" s="57" t="s">
        <v>104</v>
      </c>
      <c r="D78" s="14" t="s">
        <v>202</v>
      </c>
      <c r="E78" s="18">
        <v>2</v>
      </c>
      <c r="F78" s="84">
        <f>E78*12</f>
        <v>24</v>
      </c>
      <c r="G78" s="13">
        <v>53.42</v>
      </c>
      <c r="H78" s="80">
        <f t="shared" ref="H78:H79" si="12">SUM(F78*G78/1000)</f>
        <v>1.2820799999999999</v>
      </c>
      <c r="I78" s="13">
        <f>G78*2</f>
        <v>106.84</v>
      </c>
    </row>
    <row r="79" spans="1:21" ht="31.5" customHeight="1">
      <c r="A79" s="30">
        <v>15</v>
      </c>
      <c r="B79" s="56" t="s">
        <v>157</v>
      </c>
      <c r="C79" s="57" t="s">
        <v>104</v>
      </c>
      <c r="D79" s="14" t="s">
        <v>202</v>
      </c>
      <c r="E79" s="18">
        <v>1</v>
      </c>
      <c r="F79" s="84">
        <f>E79*12</f>
        <v>12</v>
      </c>
      <c r="G79" s="13">
        <v>1194</v>
      </c>
      <c r="H79" s="80">
        <f t="shared" si="12"/>
        <v>14.327999999999999</v>
      </c>
      <c r="I79" s="13">
        <f>G79</f>
        <v>1194</v>
      </c>
    </row>
    <row r="80" spans="1:21" ht="15.75" hidden="1" customHeight="1">
      <c r="A80" s="30"/>
      <c r="B80" s="90" t="s">
        <v>74</v>
      </c>
      <c r="C80" s="16"/>
      <c r="D80" s="14"/>
      <c r="E80" s="18"/>
      <c r="F80" s="13"/>
      <c r="G80" s="13" t="s">
        <v>113</v>
      </c>
      <c r="H80" s="80" t="s">
        <v>113</v>
      </c>
      <c r="I80" s="13"/>
    </row>
    <row r="81" spans="1:9" ht="15.75" hidden="1" customHeight="1">
      <c r="A81" s="30"/>
      <c r="B81" s="43" t="s">
        <v>114</v>
      </c>
      <c r="C81" s="44" t="s">
        <v>75</v>
      </c>
      <c r="D81" s="58"/>
      <c r="E81" s="121"/>
      <c r="F81" s="40">
        <v>0.6</v>
      </c>
      <c r="G81" s="40">
        <v>3619.09</v>
      </c>
      <c r="H81" s="79">
        <f t="shared" ref="H81" si="13">SUM(F81*G81/1000)</f>
        <v>2.1714540000000002</v>
      </c>
      <c r="I81" s="13">
        <v>0</v>
      </c>
    </row>
    <row r="82" spans="1:9" ht="15.75" hidden="1" customHeight="1">
      <c r="A82" s="30"/>
      <c r="B82" s="93" t="s">
        <v>88</v>
      </c>
      <c r="C82" s="90"/>
      <c r="D82" s="32"/>
      <c r="E82" s="33"/>
      <c r="F82" s="87"/>
      <c r="G82" s="87"/>
      <c r="H82" s="91">
        <f>SUM(H58:H81)</f>
        <v>115.48976176000001</v>
      </c>
      <c r="I82" s="87"/>
    </row>
    <row r="83" spans="1:9" ht="15.75" hidden="1" customHeight="1">
      <c r="A83" s="109">
        <v>17</v>
      </c>
      <c r="B83" s="123" t="s">
        <v>111</v>
      </c>
      <c r="C83" s="124"/>
      <c r="D83" s="125"/>
      <c r="E83" s="122"/>
      <c r="F83" s="126">
        <v>1</v>
      </c>
      <c r="G83" s="126">
        <v>7005.5</v>
      </c>
      <c r="H83" s="127">
        <f>G83*F83/1000</f>
        <v>7.0054999999999996</v>
      </c>
      <c r="I83" s="112">
        <f>G83</f>
        <v>7005.5</v>
      </c>
    </row>
    <row r="84" spans="1:9" ht="15.75" customHeight="1">
      <c r="A84" s="189" t="s">
        <v>121</v>
      </c>
      <c r="B84" s="189"/>
      <c r="C84" s="189"/>
      <c r="D84" s="189"/>
      <c r="E84" s="189"/>
      <c r="F84" s="189"/>
      <c r="G84" s="189"/>
      <c r="H84" s="189"/>
      <c r="I84" s="189"/>
    </row>
    <row r="85" spans="1:9" ht="15.75" customHeight="1">
      <c r="A85" s="30">
        <v>16</v>
      </c>
      <c r="B85" s="41" t="s">
        <v>112</v>
      </c>
      <c r="C85" s="42" t="s">
        <v>54</v>
      </c>
      <c r="D85" s="59"/>
      <c r="E85" s="39">
        <v>2135.1999999999998</v>
      </c>
      <c r="F85" s="39">
        <f>SUM(E85*12)</f>
        <v>25622.399999999998</v>
      </c>
      <c r="G85" s="39">
        <v>3.1</v>
      </c>
      <c r="H85" s="39">
        <f>SUM(F85*G85/1000)</f>
        <v>79.42944</v>
      </c>
      <c r="I85" s="13">
        <f>F85/12*G85</f>
        <v>6619.12</v>
      </c>
    </row>
    <row r="86" spans="1:9" ht="31.5" customHeight="1">
      <c r="A86" s="30">
        <v>17</v>
      </c>
      <c r="B86" s="14" t="s">
        <v>76</v>
      </c>
      <c r="C86" s="16"/>
      <c r="D86" s="59"/>
      <c r="E86" s="83">
        <v>2135.1999999999998</v>
      </c>
      <c r="F86" s="13">
        <f>E86*12</f>
        <v>25622.399999999998</v>
      </c>
      <c r="G86" s="13">
        <v>3.5</v>
      </c>
      <c r="H86" s="80">
        <f>F86*G86/1000</f>
        <v>89.678399999999996</v>
      </c>
      <c r="I86" s="13">
        <f>F86/12*G86</f>
        <v>7473.1999999999989</v>
      </c>
    </row>
    <row r="87" spans="1:9" ht="15.75" customHeight="1">
      <c r="A87" s="30"/>
      <c r="B87" s="45" t="s">
        <v>78</v>
      </c>
      <c r="C87" s="90"/>
      <c r="D87" s="89"/>
      <c r="E87" s="87"/>
      <c r="F87" s="87"/>
      <c r="G87" s="87"/>
      <c r="H87" s="91">
        <f>H86</f>
        <v>89.678399999999996</v>
      </c>
      <c r="I87" s="87">
        <f>I86+I85+I79+I78+I62+I51+I44+I43+I42+I40+I39+I38+I27+I20+I18+I17+I16</f>
        <v>36148.469898333336</v>
      </c>
    </row>
    <row r="88" spans="1:9" ht="15.75" customHeight="1">
      <c r="A88" s="178" t="s">
        <v>60</v>
      </c>
      <c r="B88" s="179"/>
      <c r="C88" s="179"/>
      <c r="D88" s="179"/>
      <c r="E88" s="179"/>
      <c r="F88" s="179"/>
      <c r="G88" s="179"/>
      <c r="H88" s="179"/>
      <c r="I88" s="180"/>
    </row>
    <row r="89" spans="1:9" ht="29.25" customHeight="1">
      <c r="A89" s="30">
        <v>18</v>
      </c>
      <c r="B89" s="134" t="s">
        <v>173</v>
      </c>
      <c r="C89" s="61" t="s">
        <v>28</v>
      </c>
      <c r="D89" s="60"/>
      <c r="E89" s="39"/>
      <c r="F89" s="39">
        <v>120</v>
      </c>
      <c r="G89" s="39">
        <v>19757.060000000001</v>
      </c>
      <c r="H89" s="79">
        <f>G89*F89/1000</f>
        <v>2370.8472000000002</v>
      </c>
      <c r="I89" s="13">
        <f>G89*0.599*6/1000</f>
        <v>71.006873640000009</v>
      </c>
    </row>
    <row r="90" spans="1:9" ht="29.25" customHeight="1">
      <c r="A90" s="30">
        <v>19</v>
      </c>
      <c r="B90" s="134" t="s">
        <v>175</v>
      </c>
      <c r="C90" s="61" t="s">
        <v>163</v>
      </c>
      <c r="D90" s="41"/>
      <c r="E90" s="17"/>
      <c r="F90" s="39">
        <v>0.01</v>
      </c>
      <c r="G90" s="39">
        <v>26095.37</v>
      </c>
      <c r="H90" s="79"/>
      <c r="I90" s="13">
        <f>G90*0.01</f>
        <v>260.95369999999997</v>
      </c>
    </row>
    <row r="91" spans="1:9" ht="15.75" customHeight="1">
      <c r="A91" s="30"/>
      <c r="B91" s="50" t="s">
        <v>51</v>
      </c>
      <c r="C91" s="57"/>
      <c r="D91" s="52"/>
      <c r="E91" s="13"/>
      <c r="F91" s="13"/>
      <c r="G91" s="13"/>
      <c r="H91" s="80"/>
      <c r="I91" s="87">
        <f>SUM(I89:I90)</f>
        <v>331.96057364000001</v>
      </c>
    </row>
    <row r="92" spans="1:9">
      <c r="A92" s="30"/>
      <c r="B92" s="52" t="s">
        <v>77</v>
      </c>
      <c r="C92" s="15"/>
      <c r="D92" s="15"/>
      <c r="E92" s="47"/>
      <c r="F92" s="47"/>
      <c r="G92" s="48"/>
      <c r="H92" s="48"/>
      <c r="I92" s="17">
        <v>0</v>
      </c>
    </row>
    <row r="93" spans="1:9">
      <c r="A93" s="54"/>
      <c r="B93" s="51" t="s">
        <v>139</v>
      </c>
      <c r="C93" s="38"/>
      <c r="D93" s="38"/>
      <c r="E93" s="38"/>
      <c r="F93" s="38"/>
      <c r="G93" s="38"/>
      <c r="H93" s="38"/>
      <c r="I93" s="49">
        <f>I87+I91</f>
        <v>36480.430471973334</v>
      </c>
    </row>
    <row r="94" spans="1:9" ht="15.75" customHeight="1">
      <c r="A94" s="181" t="s">
        <v>206</v>
      </c>
      <c r="B94" s="181"/>
      <c r="C94" s="181"/>
      <c r="D94" s="181"/>
      <c r="E94" s="181"/>
      <c r="F94" s="181"/>
      <c r="G94" s="181"/>
      <c r="H94" s="181"/>
      <c r="I94" s="181"/>
    </row>
    <row r="95" spans="1:9" ht="15.75" customHeight="1">
      <c r="A95" s="68"/>
      <c r="B95" s="182" t="s">
        <v>207</v>
      </c>
      <c r="C95" s="182"/>
      <c r="D95" s="182"/>
      <c r="E95" s="182"/>
      <c r="F95" s="182"/>
      <c r="G95" s="182"/>
      <c r="H95" s="78"/>
      <c r="I95" s="3"/>
    </row>
    <row r="96" spans="1:9">
      <c r="A96" s="128"/>
      <c r="B96" s="183" t="s">
        <v>6</v>
      </c>
      <c r="C96" s="183"/>
      <c r="D96" s="183"/>
      <c r="E96" s="183"/>
      <c r="F96" s="183"/>
      <c r="G96" s="183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84" t="s">
        <v>7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185" t="s">
        <v>61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>
      <c r="A101" s="11"/>
    </row>
    <row r="102" spans="1:9" ht="15.75" customHeight="1">
      <c r="A102" s="186" t="s">
        <v>9</v>
      </c>
      <c r="B102" s="186"/>
      <c r="C102" s="186"/>
      <c r="D102" s="186"/>
      <c r="E102" s="186"/>
      <c r="F102" s="186"/>
      <c r="G102" s="186"/>
      <c r="H102" s="186"/>
      <c r="I102" s="186"/>
    </row>
    <row r="103" spans="1:9" ht="15.75" customHeight="1">
      <c r="A103" s="4"/>
    </row>
    <row r="104" spans="1:9" ht="15.75" customHeight="1">
      <c r="B104" s="133" t="s">
        <v>10</v>
      </c>
      <c r="C104" s="187" t="s">
        <v>124</v>
      </c>
      <c r="D104" s="187"/>
      <c r="E104" s="187"/>
      <c r="F104" s="76"/>
      <c r="I104" s="132"/>
    </row>
    <row r="105" spans="1:9" ht="15.75" customHeight="1">
      <c r="A105" s="128"/>
      <c r="C105" s="183" t="s">
        <v>11</v>
      </c>
      <c r="D105" s="183"/>
      <c r="E105" s="183"/>
      <c r="F105" s="25"/>
      <c r="I105" s="131" t="s">
        <v>12</v>
      </c>
    </row>
    <row r="106" spans="1:9" ht="15.75" customHeight="1">
      <c r="A106" s="26"/>
      <c r="C106" s="12"/>
      <c r="D106" s="12"/>
      <c r="G106" s="12"/>
      <c r="H106" s="12"/>
    </row>
    <row r="107" spans="1:9" ht="15.75" customHeight="1">
      <c r="B107" s="133" t="s">
        <v>13</v>
      </c>
      <c r="C107" s="188"/>
      <c r="D107" s="188"/>
      <c r="E107" s="188"/>
      <c r="F107" s="77"/>
      <c r="I107" s="132"/>
    </row>
    <row r="108" spans="1:9">
      <c r="A108" s="128"/>
      <c r="C108" s="177" t="s">
        <v>11</v>
      </c>
      <c r="D108" s="177"/>
      <c r="E108" s="177"/>
      <c r="F108" s="128"/>
      <c r="I108" s="131" t="s">
        <v>12</v>
      </c>
    </row>
    <row r="109" spans="1:9" ht="15.75">
      <c r="A109" s="4" t="s">
        <v>14</v>
      </c>
    </row>
    <row r="110" spans="1:9">
      <c r="A110" s="175" t="s">
        <v>15</v>
      </c>
      <c r="B110" s="175"/>
      <c r="C110" s="175"/>
      <c r="D110" s="175"/>
      <c r="E110" s="175"/>
      <c r="F110" s="175"/>
      <c r="G110" s="175"/>
      <c r="H110" s="175"/>
      <c r="I110" s="175"/>
    </row>
    <row r="111" spans="1:9" ht="45" customHeight="1">
      <c r="A111" s="176" t="s">
        <v>16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30" customHeight="1">
      <c r="A112" s="176" t="s">
        <v>17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30" customHeight="1">
      <c r="A113" s="176" t="s">
        <v>21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15" customHeight="1">
      <c r="A114" s="176" t="s">
        <v>20</v>
      </c>
      <c r="B114" s="176"/>
      <c r="C114" s="176"/>
      <c r="D114" s="176"/>
      <c r="E114" s="176"/>
      <c r="F114" s="176"/>
      <c r="G114" s="176"/>
      <c r="H114" s="176"/>
      <c r="I114" s="176"/>
    </row>
  </sheetData>
  <autoFilter ref="I12:I61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67:U67"/>
    <mergeCell ref="C108:E108"/>
    <mergeCell ref="A88:I8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4:I84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J97" sqref="J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90" t="s">
        <v>136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13" ht="15.75">
      <c r="A5" s="190" t="s">
        <v>243</v>
      </c>
      <c r="B5" s="192"/>
      <c r="C5" s="192"/>
      <c r="D5" s="192"/>
      <c r="E5" s="192"/>
      <c r="F5" s="192"/>
      <c r="G5" s="192"/>
      <c r="H5" s="192"/>
      <c r="I5" s="192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43769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89</v>
      </c>
      <c r="C19" s="46" t="s">
        <v>90</v>
      </c>
      <c r="D19" s="35" t="s">
        <v>91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93</v>
      </c>
      <c r="C21" s="46" t="s">
        <v>82</v>
      </c>
      <c r="D21" s="35" t="s">
        <v>42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94</v>
      </c>
      <c r="C22" s="46" t="s">
        <v>52</v>
      </c>
      <c r="D22" s="35" t="s">
        <v>91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95</v>
      </c>
      <c r="C23" s="46" t="s">
        <v>52</v>
      </c>
      <c r="D23" s="35" t="s">
        <v>91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96</v>
      </c>
      <c r="C24" s="46" t="s">
        <v>52</v>
      </c>
      <c r="D24" s="35" t="s">
        <v>97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98</v>
      </c>
      <c r="C25" s="46" t="s">
        <v>52</v>
      </c>
      <c r="D25" s="35" t="s">
        <v>53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99</v>
      </c>
      <c r="C26" s="46" t="s">
        <v>52</v>
      </c>
      <c r="D26" s="35" t="s">
        <v>91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customHeight="1">
      <c r="A28" s="196" t="s">
        <v>80</v>
      </c>
      <c r="B28" s="197"/>
      <c r="C28" s="197"/>
      <c r="D28" s="197"/>
      <c r="E28" s="197"/>
      <c r="F28" s="197"/>
      <c r="G28" s="197"/>
      <c r="H28" s="197"/>
      <c r="I28" s="198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6</v>
      </c>
      <c r="B30" s="81" t="s">
        <v>102</v>
      </c>
      <c r="C30" s="46" t="s">
        <v>85</v>
      </c>
      <c r="D30" s="35" t="s">
        <v>200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3" si="1">SUM(F30*G30/1000)</f>
        <v>3.528389072</v>
      </c>
      <c r="I30" s="13">
        <f t="shared" ref="I30:I33" si="2">F30/6*G30</f>
        <v>588.06484533333344</v>
      </c>
      <c r="J30" s="23"/>
      <c r="K30" s="8"/>
      <c r="L30" s="8"/>
      <c r="M30" s="8"/>
    </row>
    <row r="31" spans="1:13" ht="31.5" customHeight="1">
      <c r="A31" s="30">
        <v>7</v>
      </c>
      <c r="B31" s="81" t="s">
        <v>101</v>
      </c>
      <c r="C31" s="46" t="s">
        <v>85</v>
      </c>
      <c r="D31" s="35" t="s">
        <v>199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1"/>
        <v>2.8813175820000003</v>
      </c>
      <c r="I31" s="13">
        <f t="shared" si="2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85</v>
      </c>
      <c r="D32" s="35" t="s">
        <v>53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1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8</v>
      </c>
      <c r="B33" s="81" t="s">
        <v>128</v>
      </c>
      <c r="C33" s="46" t="s">
        <v>40</v>
      </c>
      <c r="D33" s="35" t="s">
        <v>204</v>
      </c>
      <c r="E33" s="34">
        <v>2</v>
      </c>
      <c r="F33" s="34">
        <v>3.1</v>
      </c>
      <c r="G33" s="34">
        <v>1707.63</v>
      </c>
      <c r="H33" s="101">
        <f t="shared" si="1"/>
        <v>5.2936529999999999</v>
      </c>
      <c r="I33" s="13">
        <f t="shared" si="2"/>
        <v>882.27550000000019</v>
      </c>
      <c r="J33" s="23"/>
      <c r="K33" s="8"/>
    </row>
    <row r="34" spans="1:14" ht="15.75" hidden="1" customHeight="1">
      <c r="A34" s="30"/>
      <c r="B34" s="35" t="s">
        <v>64</v>
      </c>
      <c r="C34" s="46" t="s">
        <v>32</v>
      </c>
      <c r="D34" s="35" t="s">
        <v>66</v>
      </c>
      <c r="E34" s="100"/>
      <c r="F34" s="34">
        <v>2</v>
      </c>
      <c r="G34" s="34">
        <v>250.92</v>
      </c>
      <c r="H34" s="101">
        <f t="shared" ref="H34:H35" si="3">SUM(F34*G34/1000)</f>
        <v>0.50183999999999995</v>
      </c>
      <c r="I34" s="13">
        <v>0</v>
      </c>
      <c r="J34" s="24"/>
    </row>
    <row r="35" spans="1:14" ht="15.75" hidden="1" customHeight="1">
      <c r="A35" s="30"/>
      <c r="B35" s="35" t="s">
        <v>65</v>
      </c>
      <c r="C35" s="46" t="s">
        <v>31</v>
      </c>
      <c r="D35" s="35" t="s">
        <v>66</v>
      </c>
      <c r="E35" s="100"/>
      <c r="F35" s="34">
        <v>1</v>
      </c>
      <c r="G35" s="34">
        <v>1490.31</v>
      </c>
      <c r="H35" s="101">
        <f t="shared" si="3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113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31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142</v>
      </c>
      <c r="C38" s="55" t="s">
        <v>28</v>
      </c>
      <c r="D38" s="35" t="s">
        <v>83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67</v>
      </c>
      <c r="C39" s="46" t="s">
        <v>28</v>
      </c>
      <c r="D39" s="35" t="s">
        <v>84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143</v>
      </c>
      <c r="C40" s="46" t="s">
        <v>144</v>
      </c>
      <c r="D40" s="35" t="s">
        <v>66</v>
      </c>
      <c r="E40" s="100"/>
      <c r="F40" s="37">
        <v>39</v>
      </c>
      <c r="G40" s="34">
        <v>314</v>
      </c>
      <c r="H40" s="101">
        <f t="shared" si="4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79</v>
      </c>
      <c r="C41" s="46" t="s">
        <v>85</v>
      </c>
      <c r="D41" s="35" t="s">
        <v>115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116</v>
      </c>
      <c r="C42" s="46" t="s">
        <v>85</v>
      </c>
      <c r="D42" s="35" t="s">
        <v>68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69</v>
      </c>
      <c r="C43" s="55" t="s">
        <v>32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  <c r="J43" s="24"/>
      <c r="L43" s="19"/>
      <c r="M43" s="20"/>
      <c r="N43" s="21"/>
    </row>
    <row r="44" spans="1:14" ht="18.75" hidden="1" customHeight="1">
      <c r="A44" s="196" t="s">
        <v>123</v>
      </c>
      <c r="B44" s="197"/>
      <c r="C44" s="197"/>
      <c r="D44" s="197"/>
      <c r="E44" s="197"/>
      <c r="F44" s="197"/>
      <c r="G44" s="197"/>
      <c r="H44" s="197"/>
      <c r="I44" s="198"/>
      <c r="J44" s="24"/>
      <c r="L44" s="19"/>
      <c r="M44" s="20"/>
      <c r="N44" s="21"/>
    </row>
    <row r="45" spans="1:14" ht="16.5" hidden="1" customHeight="1">
      <c r="A45" s="30">
        <v>12</v>
      </c>
      <c r="B45" s="35" t="s">
        <v>103</v>
      </c>
      <c r="C45" s="46" t="s">
        <v>85</v>
      </c>
      <c r="D45" s="35" t="s">
        <v>42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f t="shared" ref="I45:I48" si="7">F45/2*G45</f>
        <v>890.89055999999994</v>
      </c>
      <c r="J45" s="24"/>
      <c r="L45" s="19"/>
      <c r="M45" s="20"/>
      <c r="N45" s="21"/>
    </row>
    <row r="46" spans="1:14" ht="18.75" hidden="1" customHeight="1">
      <c r="A46" s="30">
        <v>13</v>
      </c>
      <c r="B46" s="35" t="s">
        <v>35</v>
      </c>
      <c r="C46" s="46" t="s">
        <v>85</v>
      </c>
      <c r="D46" s="35" t="s">
        <v>42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f t="shared" si="7"/>
        <v>19.75948</v>
      </c>
      <c r="J46" s="24"/>
      <c r="L46" s="19"/>
      <c r="M46" s="20"/>
      <c r="N46" s="21"/>
    </row>
    <row r="47" spans="1:14" ht="16.5" hidden="1" customHeight="1">
      <c r="A47" s="30">
        <v>14</v>
      </c>
      <c r="B47" s="35" t="s">
        <v>36</v>
      </c>
      <c r="C47" s="46" t="s">
        <v>85</v>
      </c>
      <c r="D47" s="35" t="s">
        <v>42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f t="shared" si="7"/>
        <v>668.02242000000001</v>
      </c>
      <c r="J47" s="24"/>
      <c r="L47" s="19"/>
      <c r="M47" s="20"/>
      <c r="N47" s="21"/>
    </row>
    <row r="48" spans="1:14" ht="18.75" hidden="1" customHeight="1">
      <c r="A48" s="30">
        <v>15</v>
      </c>
      <c r="B48" s="35" t="s">
        <v>37</v>
      </c>
      <c r="C48" s="46" t="s">
        <v>85</v>
      </c>
      <c r="D48" s="35" t="s">
        <v>42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f t="shared" si="7"/>
        <v>1186.3686650000002</v>
      </c>
      <c r="J48" s="24"/>
      <c r="L48" s="19"/>
      <c r="M48" s="20"/>
      <c r="N48" s="21"/>
    </row>
    <row r="49" spans="1:22" ht="25.5" hidden="1" customHeight="1">
      <c r="A49" s="30">
        <v>16</v>
      </c>
      <c r="B49" s="35" t="s">
        <v>33</v>
      </c>
      <c r="C49" s="46" t="s">
        <v>34</v>
      </c>
      <c r="D49" s="35" t="s">
        <v>42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f>F49/2*G49</f>
        <v>58.287095999999991</v>
      </c>
      <c r="J49" s="24"/>
      <c r="L49" s="19"/>
      <c r="M49" s="20"/>
      <c r="N49" s="21"/>
    </row>
    <row r="50" spans="1:22" ht="21" hidden="1" customHeight="1">
      <c r="A50" s="30">
        <v>17</v>
      </c>
      <c r="B50" s="35" t="s">
        <v>56</v>
      </c>
      <c r="C50" s="46" t="s">
        <v>85</v>
      </c>
      <c r="D50" s="35" t="s">
        <v>129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2.25" hidden="1" customHeight="1">
      <c r="A51" s="30">
        <v>11</v>
      </c>
      <c r="B51" s="35" t="s">
        <v>86</v>
      </c>
      <c r="C51" s="46" t="s">
        <v>85</v>
      </c>
      <c r="D51" s="35" t="s">
        <v>42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f>G51*F51/2</f>
        <v>3398.3843199999992</v>
      </c>
      <c r="J51" s="24"/>
      <c r="L51" s="19"/>
      <c r="M51" s="20"/>
      <c r="N51" s="21"/>
    </row>
    <row r="52" spans="1:22" ht="33" hidden="1" customHeight="1">
      <c r="A52" s="30">
        <v>12</v>
      </c>
      <c r="B52" s="35" t="s">
        <v>87</v>
      </c>
      <c r="C52" s="46" t="s">
        <v>38</v>
      </c>
      <c r="D52" s="35" t="s">
        <v>42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f>G52*F52/2</f>
        <v>358.11300000000006</v>
      </c>
      <c r="J52" s="24"/>
      <c r="L52" s="19"/>
      <c r="M52" s="20"/>
      <c r="N52" s="21"/>
    </row>
    <row r="53" spans="1:22" ht="18" hidden="1" customHeight="1">
      <c r="A53" s="30">
        <v>13</v>
      </c>
      <c r="B53" s="35" t="s">
        <v>39</v>
      </c>
      <c r="C53" s="46" t="s">
        <v>40</v>
      </c>
      <c r="D53" s="35" t="s">
        <v>42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f>G53*F53/2</f>
        <v>74.129199999999997</v>
      </c>
      <c r="J53" s="24"/>
      <c r="L53" s="19"/>
      <c r="M53" s="20"/>
      <c r="N53" s="21"/>
    </row>
    <row r="54" spans="1:22" ht="18" hidden="1" customHeight="1">
      <c r="A54" s="109">
        <v>18</v>
      </c>
      <c r="B54" s="105" t="s">
        <v>41</v>
      </c>
      <c r="C54" s="106" t="s">
        <v>104</v>
      </c>
      <c r="D54" s="105" t="s">
        <v>70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89" t="s">
        <v>132</v>
      </c>
      <c r="B55" s="189"/>
      <c r="C55" s="189"/>
      <c r="D55" s="189"/>
      <c r="E55" s="189"/>
      <c r="F55" s="189"/>
      <c r="G55" s="189"/>
      <c r="H55" s="189"/>
      <c r="I55" s="189"/>
      <c r="J55" s="24"/>
      <c r="L55" s="19"/>
      <c r="M55" s="20"/>
      <c r="N55" s="21"/>
    </row>
    <row r="56" spans="1:22" ht="15.75" hidden="1" customHeight="1">
      <c r="A56" s="30"/>
      <c r="B56" s="69" t="s">
        <v>43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105</v>
      </c>
      <c r="C57" s="42" t="s">
        <v>82</v>
      </c>
      <c r="D57" s="41" t="s">
        <v>106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145</v>
      </c>
      <c r="C58" s="42" t="s">
        <v>146</v>
      </c>
      <c r="D58" s="41" t="s">
        <v>66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44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117</v>
      </c>
      <c r="C60" s="42" t="s">
        <v>82</v>
      </c>
      <c r="D60" s="41" t="s">
        <v>53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9</v>
      </c>
      <c r="B61" s="41" t="s">
        <v>147</v>
      </c>
      <c r="C61" s="42" t="s">
        <v>148</v>
      </c>
      <c r="D61" s="41" t="s">
        <v>185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5.75" hidden="1" customHeight="1">
      <c r="A62" s="113"/>
      <c r="B62" s="114" t="s">
        <v>45</v>
      </c>
      <c r="C62" s="115"/>
      <c r="D62" s="116"/>
      <c r="E62" s="86"/>
      <c r="F62" s="117"/>
      <c r="G62" s="117"/>
      <c r="H62" s="118" t="s">
        <v>113</v>
      </c>
      <c r="I62" s="119"/>
    </row>
    <row r="63" spans="1:22" ht="15.75" hidden="1" customHeight="1">
      <c r="A63" s="30">
        <v>12</v>
      </c>
      <c r="B63" s="58" t="s">
        <v>46</v>
      </c>
      <c r="C63" s="42" t="s">
        <v>104</v>
      </c>
      <c r="D63" s="41" t="s">
        <v>66</v>
      </c>
      <c r="E63" s="17">
        <v>5</v>
      </c>
      <c r="F63" s="34">
        <f>E63</f>
        <v>5</v>
      </c>
      <c r="G63" s="39">
        <v>291.68</v>
      </c>
      <c r="H63" s="79">
        <f t="shared" ref="H63:H70" si="8">SUM(F63*G63/1000)</f>
        <v>1.4584000000000001</v>
      </c>
      <c r="I63" s="13">
        <f>G63*2</f>
        <v>583.36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0"/>
      <c r="B64" s="58" t="s">
        <v>47</v>
      </c>
      <c r="C64" s="42" t="s">
        <v>104</v>
      </c>
      <c r="D64" s="41" t="s">
        <v>66</v>
      </c>
      <c r="E64" s="17">
        <v>5</v>
      </c>
      <c r="F64" s="34">
        <f>E64</f>
        <v>5</v>
      </c>
      <c r="G64" s="39">
        <v>100.01</v>
      </c>
      <c r="H64" s="79">
        <f t="shared" si="8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0"/>
      <c r="B65" s="58" t="s">
        <v>48</v>
      </c>
      <c r="C65" s="44" t="s">
        <v>107</v>
      </c>
      <c r="D65" s="41" t="s">
        <v>53</v>
      </c>
      <c r="E65" s="100">
        <v>10348</v>
      </c>
      <c r="F65" s="40">
        <f>SUM(E65/100)</f>
        <v>103.48</v>
      </c>
      <c r="G65" s="39">
        <v>278.24</v>
      </c>
      <c r="H65" s="79">
        <f t="shared" si="8"/>
        <v>28.792275200000002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0"/>
      <c r="B66" s="58" t="s">
        <v>49</v>
      </c>
      <c r="C66" s="42" t="s">
        <v>108</v>
      </c>
      <c r="D66" s="41" t="s">
        <v>53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8"/>
        <v>2.2422046400000002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77"/>
      <c r="S66" s="177"/>
      <c r="T66" s="177"/>
      <c r="U66" s="177"/>
    </row>
    <row r="67" spans="1:21" ht="15.75" hidden="1" customHeight="1">
      <c r="A67" s="30"/>
      <c r="B67" s="58" t="s">
        <v>50</v>
      </c>
      <c r="C67" s="42" t="s">
        <v>75</v>
      </c>
      <c r="D67" s="41" t="s">
        <v>53</v>
      </c>
      <c r="E67" s="100">
        <v>1645</v>
      </c>
      <c r="F67" s="39">
        <f>SUM(E67/100)</f>
        <v>16.45</v>
      </c>
      <c r="G67" s="39">
        <v>2720.94</v>
      </c>
      <c r="H67" s="79">
        <f t="shared" si="8"/>
        <v>44.759462999999997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0"/>
      <c r="B68" s="53" t="s">
        <v>109</v>
      </c>
      <c r="C68" s="42" t="s">
        <v>32</v>
      </c>
      <c r="D68" s="41"/>
      <c r="E68" s="100">
        <v>9</v>
      </c>
      <c r="F68" s="39">
        <f>E68</f>
        <v>9</v>
      </c>
      <c r="G68" s="39">
        <v>42.61</v>
      </c>
      <c r="H68" s="79">
        <f t="shared" si="8"/>
        <v>0.38349</v>
      </c>
      <c r="I68" s="13">
        <v>0</v>
      </c>
    </row>
    <row r="69" spans="1:21" ht="15.75" hidden="1" customHeight="1">
      <c r="A69" s="30"/>
      <c r="B69" s="53" t="s">
        <v>110</v>
      </c>
      <c r="C69" s="42" t="s">
        <v>32</v>
      </c>
      <c r="D69" s="41"/>
      <c r="E69" s="100">
        <v>9</v>
      </c>
      <c r="F69" s="39">
        <f t="shared" ref="F69:F70" si="9">E69</f>
        <v>9</v>
      </c>
      <c r="G69" s="39">
        <v>46.04</v>
      </c>
      <c r="H69" s="79">
        <f t="shared" si="8"/>
        <v>0.41436000000000001</v>
      </c>
      <c r="I69" s="13">
        <v>0</v>
      </c>
    </row>
    <row r="70" spans="1:21" ht="15.75" hidden="1" customHeight="1">
      <c r="A70" s="30">
        <v>21</v>
      </c>
      <c r="B70" s="41" t="s">
        <v>57</v>
      </c>
      <c r="C70" s="42" t="s">
        <v>58</v>
      </c>
      <c r="D70" s="41" t="s">
        <v>53</v>
      </c>
      <c r="E70" s="17">
        <v>2</v>
      </c>
      <c r="F70" s="39">
        <f t="shared" si="9"/>
        <v>2</v>
      </c>
      <c r="G70" s="39">
        <v>65.42</v>
      </c>
      <c r="H70" s="79">
        <f t="shared" si="8"/>
        <v>0.13084000000000001</v>
      </c>
      <c r="I70" s="13">
        <f>F70*G70</f>
        <v>130.84</v>
      </c>
    </row>
    <row r="71" spans="1:21" ht="15.75" customHeight="1">
      <c r="A71" s="30"/>
      <c r="B71" s="69" t="s">
        <v>71</v>
      </c>
      <c r="C71" s="16"/>
      <c r="D71" s="14"/>
      <c r="E71" s="18"/>
      <c r="F71" s="13"/>
      <c r="G71" s="13"/>
      <c r="H71" s="80" t="s">
        <v>113</v>
      </c>
      <c r="I71" s="13"/>
    </row>
    <row r="72" spans="1:21" ht="15.75" hidden="1" customHeight="1">
      <c r="A72" s="30"/>
      <c r="B72" s="14" t="s">
        <v>150</v>
      </c>
      <c r="C72" s="16" t="s">
        <v>151</v>
      </c>
      <c r="D72" s="41" t="s">
        <v>66</v>
      </c>
      <c r="E72" s="18">
        <v>1</v>
      </c>
      <c r="F72" s="13">
        <f>E72</f>
        <v>1</v>
      </c>
      <c r="G72" s="13">
        <v>1029.1199999999999</v>
      </c>
      <c r="H72" s="80">
        <f t="shared" ref="H72:H73" si="10">SUM(F72*G72/1000)</f>
        <v>1.0291199999999998</v>
      </c>
      <c r="I72" s="13">
        <v>0</v>
      </c>
    </row>
    <row r="73" spans="1:21" ht="15.75" hidden="1" customHeight="1">
      <c r="A73" s="30"/>
      <c r="B73" s="14" t="s">
        <v>152</v>
      </c>
      <c r="C73" s="16" t="s">
        <v>153</v>
      </c>
      <c r="D73" s="120"/>
      <c r="E73" s="18">
        <v>1</v>
      </c>
      <c r="F73" s="13">
        <v>1</v>
      </c>
      <c r="G73" s="13">
        <v>735</v>
      </c>
      <c r="H73" s="80">
        <f t="shared" si="10"/>
        <v>0.73499999999999999</v>
      </c>
      <c r="I73" s="13">
        <v>0</v>
      </c>
    </row>
    <row r="74" spans="1:21" ht="15.75" hidden="1" customHeight="1">
      <c r="A74" s="30"/>
      <c r="B74" s="14" t="s">
        <v>72</v>
      </c>
      <c r="C74" s="16" t="s">
        <v>73</v>
      </c>
      <c r="D74" s="41" t="s">
        <v>66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154</v>
      </c>
      <c r="C75" s="16" t="s">
        <v>104</v>
      </c>
      <c r="D75" s="41" t="s">
        <v>66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155</v>
      </c>
      <c r="C76" s="57" t="s">
        <v>104</v>
      </c>
      <c r="D76" s="41" t="s">
        <v>66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1.5" customHeight="1">
      <c r="A77" s="30">
        <v>10</v>
      </c>
      <c r="B77" s="56" t="s">
        <v>156</v>
      </c>
      <c r="C77" s="57" t="s">
        <v>104</v>
      </c>
      <c r="D77" s="14" t="s">
        <v>202</v>
      </c>
      <c r="E77" s="18">
        <v>2</v>
      </c>
      <c r="F77" s="84">
        <f>E77*12</f>
        <v>24</v>
      </c>
      <c r="G77" s="13">
        <v>53.42</v>
      </c>
      <c r="H77" s="80">
        <f t="shared" ref="H77:H78" si="11">SUM(F77*G77/1000)</f>
        <v>1.2820799999999999</v>
      </c>
      <c r="I77" s="13">
        <f>G77*2</f>
        <v>106.84</v>
      </c>
    </row>
    <row r="78" spans="1:21" ht="31.5" customHeight="1">
      <c r="A78" s="30">
        <v>11</v>
      </c>
      <c r="B78" s="56" t="s">
        <v>157</v>
      </c>
      <c r="C78" s="57" t="s">
        <v>104</v>
      </c>
      <c r="D78" s="14" t="s">
        <v>202</v>
      </c>
      <c r="E78" s="18">
        <v>1</v>
      </c>
      <c r="F78" s="84">
        <f>E78*12</f>
        <v>12</v>
      </c>
      <c r="G78" s="13">
        <v>1194</v>
      </c>
      <c r="H78" s="80">
        <f t="shared" si="11"/>
        <v>14.327999999999999</v>
      </c>
      <c r="I78" s="13">
        <f>G78</f>
        <v>1194</v>
      </c>
    </row>
    <row r="79" spans="1:21" ht="15.75" hidden="1" customHeight="1">
      <c r="A79" s="30"/>
      <c r="B79" s="90" t="s">
        <v>74</v>
      </c>
      <c r="C79" s="16"/>
      <c r="D79" s="14"/>
      <c r="E79" s="18"/>
      <c r="F79" s="13"/>
      <c r="G79" s="13" t="s">
        <v>113</v>
      </c>
      <c r="H79" s="80" t="s">
        <v>113</v>
      </c>
      <c r="I79" s="13"/>
    </row>
    <row r="80" spans="1:21" ht="15.75" hidden="1" customHeight="1">
      <c r="A80" s="30"/>
      <c r="B80" s="43" t="s">
        <v>114</v>
      </c>
      <c r="C80" s="44" t="s">
        <v>75</v>
      </c>
      <c r="D80" s="58"/>
      <c r="E80" s="121"/>
      <c r="F80" s="40">
        <v>0.6</v>
      </c>
      <c r="G80" s="40">
        <v>3619.09</v>
      </c>
      <c r="H80" s="79">
        <f t="shared" ref="H80" si="12">SUM(F80*G80/1000)</f>
        <v>2.1714540000000002</v>
      </c>
      <c r="I80" s="13">
        <v>0</v>
      </c>
    </row>
    <row r="81" spans="1:9" ht="15.75" hidden="1" customHeight="1">
      <c r="A81" s="30"/>
      <c r="B81" s="93" t="s">
        <v>88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111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89" t="s">
        <v>133</v>
      </c>
      <c r="B83" s="189"/>
      <c r="C83" s="189"/>
      <c r="D83" s="189"/>
      <c r="E83" s="189"/>
      <c r="F83" s="189"/>
      <c r="G83" s="189"/>
      <c r="H83" s="189"/>
      <c r="I83" s="189"/>
    </row>
    <row r="84" spans="1:9" ht="15.75" customHeight="1">
      <c r="A84" s="30">
        <v>12</v>
      </c>
      <c r="B84" s="41" t="s">
        <v>112</v>
      </c>
      <c r="C84" s="42" t="s">
        <v>54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13</v>
      </c>
      <c r="B85" s="14" t="s">
        <v>76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78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I85+I84+I78+I77+I61+I33+I31+I30+I27+I20+I18+I17+I16</f>
        <v>25069.652895666666</v>
      </c>
    </row>
    <row r="87" spans="1:9" ht="15.75" customHeight="1">
      <c r="A87" s="178" t="s">
        <v>60</v>
      </c>
      <c r="B87" s="179"/>
      <c r="C87" s="179"/>
      <c r="D87" s="179"/>
      <c r="E87" s="179"/>
      <c r="F87" s="179"/>
      <c r="G87" s="179"/>
      <c r="H87" s="179"/>
      <c r="I87" s="180"/>
    </row>
    <row r="88" spans="1:9" ht="30.75" customHeight="1">
      <c r="A88" s="172">
        <v>14</v>
      </c>
      <c r="B88" s="134" t="s">
        <v>173</v>
      </c>
      <c r="C88" s="61" t="s">
        <v>28</v>
      </c>
      <c r="D88" s="170"/>
      <c r="E88" s="170"/>
      <c r="F88" s="170"/>
      <c r="G88" s="159">
        <v>19757.060000000001</v>
      </c>
      <c r="H88" s="170"/>
      <c r="I88" s="171">
        <f>G88*0.599*3/1000</f>
        <v>35.503436820000005</v>
      </c>
    </row>
    <row r="89" spans="1:9" ht="30.75" customHeight="1">
      <c r="A89" s="172">
        <v>15</v>
      </c>
      <c r="B89" s="134" t="s">
        <v>192</v>
      </c>
      <c r="C89" s="61" t="s">
        <v>119</v>
      </c>
      <c r="D89" s="174" t="s">
        <v>254</v>
      </c>
      <c r="E89" s="173"/>
      <c r="F89" s="173"/>
      <c r="G89" s="39">
        <v>878.3</v>
      </c>
      <c r="H89" s="173"/>
      <c r="I89" s="171">
        <f>G89*1</f>
        <v>878.3</v>
      </c>
    </row>
    <row r="90" spans="1:9" ht="30.75" customHeight="1">
      <c r="A90" s="172">
        <v>16</v>
      </c>
      <c r="B90" s="134" t="s">
        <v>186</v>
      </c>
      <c r="C90" s="61" t="s">
        <v>172</v>
      </c>
      <c r="D90" s="173"/>
      <c r="E90" s="173"/>
      <c r="F90" s="173"/>
      <c r="G90" s="39">
        <v>1465</v>
      </c>
      <c r="H90" s="173"/>
      <c r="I90" s="171">
        <f>G90*0.5</f>
        <v>732.5</v>
      </c>
    </row>
    <row r="91" spans="1:9" ht="15.75" customHeight="1">
      <c r="A91" s="30"/>
      <c r="B91" s="50" t="s">
        <v>51</v>
      </c>
      <c r="C91" s="57"/>
      <c r="D91" s="52"/>
      <c r="E91" s="13"/>
      <c r="F91" s="13"/>
      <c r="G91" s="13"/>
      <c r="H91" s="80"/>
      <c r="I91" s="87">
        <f>SUM(I88:I90)</f>
        <v>1646.3034368200001</v>
      </c>
    </row>
    <row r="92" spans="1:9">
      <c r="A92" s="30"/>
      <c r="B92" s="52" t="s">
        <v>77</v>
      </c>
      <c r="C92" s="15"/>
      <c r="D92" s="15"/>
      <c r="E92" s="47"/>
      <c r="F92" s="47"/>
      <c r="G92" s="48"/>
      <c r="H92" s="48"/>
      <c r="I92" s="17">
        <v>0</v>
      </c>
    </row>
    <row r="93" spans="1:9">
      <c r="A93" s="54"/>
      <c r="B93" s="51" t="s">
        <v>139</v>
      </c>
      <c r="C93" s="38"/>
      <c r="D93" s="38"/>
      <c r="E93" s="38"/>
      <c r="F93" s="38"/>
      <c r="G93" s="38"/>
      <c r="H93" s="38"/>
      <c r="I93" s="49">
        <f>I86+I91</f>
        <v>26715.956332486665</v>
      </c>
    </row>
    <row r="94" spans="1:9" ht="15.75" customHeight="1">
      <c r="A94" s="181" t="s">
        <v>255</v>
      </c>
      <c r="B94" s="181"/>
      <c r="C94" s="181"/>
      <c r="D94" s="181"/>
      <c r="E94" s="181"/>
      <c r="F94" s="181"/>
      <c r="G94" s="181"/>
      <c r="H94" s="181"/>
      <c r="I94" s="181"/>
    </row>
    <row r="95" spans="1:9" ht="15.75" customHeight="1">
      <c r="A95" s="68"/>
      <c r="B95" s="182" t="s">
        <v>256</v>
      </c>
      <c r="C95" s="182"/>
      <c r="D95" s="182"/>
      <c r="E95" s="182"/>
      <c r="F95" s="182"/>
      <c r="G95" s="182"/>
      <c r="H95" s="78"/>
      <c r="I95" s="3"/>
    </row>
    <row r="96" spans="1:9">
      <c r="A96" s="74"/>
      <c r="B96" s="183" t="s">
        <v>6</v>
      </c>
      <c r="C96" s="183"/>
      <c r="D96" s="183"/>
      <c r="E96" s="183"/>
      <c r="F96" s="183"/>
      <c r="G96" s="183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84" t="s">
        <v>7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185" t="s">
        <v>61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>
      <c r="A101" s="11"/>
    </row>
    <row r="102" spans="1:9" ht="15.75" customHeight="1">
      <c r="A102" s="186" t="s">
        <v>9</v>
      </c>
      <c r="B102" s="186"/>
      <c r="C102" s="186"/>
      <c r="D102" s="186"/>
      <c r="E102" s="186"/>
      <c r="F102" s="186"/>
      <c r="G102" s="186"/>
      <c r="H102" s="186"/>
      <c r="I102" s="186"/>
    </row>
    <row r="103" spans="1:9" ht="15.75" customHeight="1">
      <c r="A103" s="4"/>
    </row>
    <row r="104" spans="1:9" ht="15.75" customHeight="1">
      <c r="B104" s="71" t="s">
        <v>10</v>
      </c>
      <c r="C104" s="187" t="s">
        <v>124</v>
      </c>
      <c r="D104" s="187"/>
      <c r="E104" s="187"/>
      <c r="F104" s="76"/>
      <c r="I104" s="73"/>
    </row>
    <row r="105" spans="1:9" ht="15.75" customHeight="1">
      <c r="A105" s="74"/>
      <c r="C105" s="183" t="s">
        <v>11</v>
      </c>
      <c r="D105" s="183"/>
      <c r="E105" s="183"/>
      <c r="F105" s="25"/>
      <c r="I105" s="72" t="s">
        <v>12</v>
      </c>
    </row>
    <row r="106" spans="1:9" ht="15.75" customHeight="1">
      <c r="A106" s="26"/>
      <c r="C106" s="12"/>
      <c r="D106" s="12"/>
      <c r="G106" s="12"/>
      <c r="H106" s="12"/>
    </row>
    <row r="107" spans="1:9" ht="15.75" customHeight="1">
      <c r="B107" s="71" t="s">
        <v>13</v>
      </c>
      <c r="C107" s="188"/>
      <c r="D107" s="188"/>
      <c r="E107" s="188"/>
      <c r="F107" s="77"/>
      <c r="I107" s="73"/>
    </row>
    <row r="108" spans="1:9">
      <c r="A108" s="74"/>
      <c r="C108" s="177" t="s">
        <v>11</v>
      </c>
      <c r="D108" s="177"/>
      <c r="E108" s="177"/>
      <c r="F108" s="74"/>
      <c r="I108" s="72" t="s">
        <v>12</v>
      </c>
    </row>
    <row r="109" spans="1:9" ht="15.75">
      <c r="A109" s="4" t="s">
        <v>14</v>
      </c>
    </row>
    <row r="110" spans="1:9">
      <c r="A110" s="175" t="s">
        <v>15</v>
      </c>
      <c r="B110" s="175"/>
      <c r="C110" s="175"/>
      <c r="D110" s="175"/>
      <c r="E110" s="175"/>
      <c r="F110" s="175"/>
      <c r="G110" s="175"/>
      <c r="H110" s="175"/>
      <c r="I110" s="175"/>
    </row>
    <row r="111" spans="1:9" ht="45" customHeight="1">
      <c r="A111" s="176" t="s">
        <v>16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30" customHeight="1">
      <c r="A112" s="176" t="s">
        <v>17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30" customHeight="1">
      <c r="A113" s="176" t="s">
        <v>21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15" customHeight="1">
      <c r="A114" s="176" t="s">
        <v>20</v>
      </c>
      <c r="B114" s="176"/>
      <c r="C114" s="176"/>
      <c r="D114" s="176"/>
      <c r="E114" s="176"/>
      <c r="F114" s="176"/>
      <c r="G114" s="176"/>
      <c r="H114" s="176"/>
      <c r="I114" s="176"/>
    </row>
  </sheetData>
  <autoFilter ref="I12:I60"/>
  <mergeCells count="29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66:U66"/>
    <mergeCell ref="C108:E108"/>
    <mergeCell ref="A87:I87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3:I83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B90" sqref="B90:I9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90" t="s">
        <v>159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13" ht="15.75">
      <c r="A5" s="190" t="s">
        <v>244</v>
      </c>
      <c r="B5" s="192"/>
      <c r="C5" s="192"/>
      <c r="D5" s="192"/>
      <c r="E5" s="192"/>
      <c r="F5" s="192"/>
      <c r="G5" s="192"/>
      <c r="H5" s="192"/>
      <c r="I5" s="192"/>
      <c r="J5" s="2"/>
      <c r="K5" s="2"/>
      <c r="L5" s="2"/>
      <c r="M5" s="2"/>
    </row>
    <row r="6" spans="1:13" ht="15.75">
      <c r="A6" s="2"/>
      <c r="B6" s="98"/>
      <c r="C6" s="98"/>
      <c r="D6" s="98"/>
      <c r="E6" s="98"/>
      <c r="F6" s="98"/>
      <c r="G6" s="98"/>
      <c r="H6" s="98"/>
      <c r="I6" s="31">
        <v>43799</v>
      </c>
      <c r="J6" s="2"/>
      <c r="K6" s="2"/>
      <c r="L6" s="2"/>
      <c r="M6" s="2"/>
    </row>
    <row r="7" spans="1:13" ht="15.75">
      <c r="B7" s="94"/>
      <c r="C7" s="94"/>
      <c r="D7" s="94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89</v>
      </c>
      <c r="C19" s="46" t="s">
        <v>90</v>
      </c>
      <c r="D19" s="35" t="s">
        <v>91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93</v>
      </c>
      <c r="C21" s="46" t="s">
        <v>82</v>
      </c>
      <c r="D21" s="35" t="s">
        <v>42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94</v>
      </c>
      <c r="C22" s="46" t="s">
        <v>52</v>
      </c>
      <c r="D22" s="35" t="s">
        <v>91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95</v>
      </c>
      <c r="C23" s="46" t="s">
        <v>52</v>
      </c>
      <c r="D23" s="35" t="s">
        <v>91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96</v>
      </c>
      <c r="C24" s="46" t="s">
        <v>52</v>
      </c>
      <c r="D24" s="35" t="s">
        <v>97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98</v>
      </c>
      <c r="C25" s="46" t="s">
        <v>52</v>
      </c>
      <c r="D25" s="35" t="s">
        <v>53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99</v>
      </c>
      <c r="C26" s="46" t="s">
        <v>52</v>
      </c>
      <c r="D26" s="35" t="s">
        <v>91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hidden="1" customHeight="1">
      <c r="A28" s="30">
        <v>6</v>
      </c>
      <c r="B28" s="88" t="s">
        <v>23</v>
      </c>
      <c r="C28" s="82" t="s">
        <v>24</v>
      </c>
      <c r="D28" s="35" t="s">
        <v>158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ref="H28" si="1">SUM(F28*G28/1000)</f>
        <v>91.728191999999993</v>
      </c>
      <c r="I28" s="13">
        <f>F28/12*G28</f>
        <v>7644.0159999999996</v>
      </c>
      <c r="J28" s="24"/>
    </row>
    <row r="29" spans="1:13" ht="15.75" customHeight="1">
      <c r="A29" s="196" t="s">
        <v>80</v>
      </c>
      <c r="B29" s="197"/>
      <c r="C29" s="197"/>
      <c r="D29" s="197"/>
      <c r="E29" s="197"/>
      <c r="F29" s="197"/>
      <c r="G29" s="197"/>
      <c r="H29" s="197"/>
      <c r="I29" s="198"/>
      <c r="J29" s="23"/>
      <c r="K29" s="8"/>
      <c r="L29" s="8"/>
      <c r="M29" s="8"/>
    </row>
    <row r="30" spans="1:13" ht="15.75" hidden="1" customHeight="1">
      <c r="A30" s="30"/>
      <c r="B30" s="92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hidden="1" customHeight="1">
      <c r="A31" s="30">
        <v>7</v>
      </c>
      <c r="B31" s="81" t="s">
        <v>102</v>
      </c>
      <c r="C31" s="46" t="s">
        <v>85</v>
      </c>
      <c r="D31" s="35" t="s">
        <v>140</v>
      </c>
      <c r="E31" s="34">
        <v>331.9</v>
      </c>
      <c r="F31" s="34">
        <f>SUM(E31*52/1000)</f>
        <v>17.258800000000001</v>
      </c>
      <c r="G31" s="34">
        <v>204.44</v>
      </c>
      <c r="H31" s="101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hidden="1" customHeight="1">
      <c r="A32" s="30">
        <v>8</v>
      </c>
      <c r="B32" s="81" t="s">
        <v>101</v>
      </c>
      <c r="C32" s="46" t="s">
        <v>85</v>
      </c>
      <c r="D32" s="35" t="s">
        <v>141</v>
      </c>
      <c r="E32" s="34">
        <v>108.9</v>
      </c>
      <c r="F32" s="34">
        <f>SUM(E32*78/1000)</f>
        <v>8.4942000000000011</v>
      </c>
      <c r="G32" s="34">
        <v>339.21</v>
      </c>
      <c r="H32" s="101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85</v>
      </c>
      <c r="D33" s="35" t="s">
        <v>53</v>
      </c>
      <c r="E33" s="34">
        <v>331.9</v>
      </c>
      <c r="F33" s="34">
        <f>SUM(E33/1000)</f>
        <v>0.33189999999999997</v>
      </c>
      <c r="G33" s="34">
        <v>3961.23</v>
      </c>
      <c r="H33" s="101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hidden="1" customHeight="1">
      <c r="A34" s="30">
        <v>9</v>
      </c>
      <c r="B34" s="81" t="s">
        <v>128</v>
      </c>
      <c r="C34" s="46" t="s">
        <v>40</v>
      </c>
      <c r="D34" s="35" t="s">
        <v>63</v>
      </c>
      <c r="E34" s="34">
        <v>2</v>
      </c>
      <c r="F34" s="34">
        <v>3.1</v>
      </c>
      <c r="G34" s="34">
        <v>1707.63</v>
      </c>
      <c r="H34" s="101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hidden="1" customHeight="1">
      <c r="A35" s="30">
        <v>10</v>
      </c>
      <c r="B35" s="81" t="s">
        <v>100</v>
      </c>
      <c r="C35" s="46" t="s">
        <v>30</v>
      </c>
      <c r="D35" s="35" t="s">
        <v>63</v>
      </c>
      <c r="E35" s="104">
        <f>1/3</f>
        <v>0.33333333333333331</v>
      </c>
      <c r="F35" s="34">
        <f>155/3</f>
        <v>51.666666666666664</v>
      </c>
      <c r="G35" s="34">
        <v>74.349999999999994</v>
      </c>
      <c r="H35" s="101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64</v>
      </c>
      <c r="C36" s="46" t="s">
        <v>32</v>
      </c>
      <c r="D36" s="35" t="s">
        <v>66</v>
      </c>
      <c r="E36" s="100"/>
      <c r="F36" s="34">
        <v>2</v>
      </c>
      <c r="G36" s="34">
        <v>250.92</v>
      </c>
      <c r="H36" s="101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65</v>
      </c>
      <c r="C37" s="46" t="s">
        <v>31</v>
      </c>
      <c r="D37" s="35" t="s">
        <v>66</v>
      </c>
      <c r="E37" s="100"/>
      <c r="F37" s="34">
        <v>1</v>
      </c>
      <c r="G37" s="34">
        <v>1490.31</v>
      </c>
      <c r="H37" s="101">
        <f t="shared" si="2"/>
        <v>1.49031</v>
      </c>
      <c r="I37" s="13">
        <v>0</v>
      </c>
      <c r="J37" s="24"/>
    </row>
    <row r="38" spans="1:14" ht="15.75" customHeight="1">
      <c r="A38" s="30"/>
      <c r="B38" s="92" t="s">
        <v>5</v>
      </c>
      <c r="C38" s="82"/>
      <c r="D38" s="81"/>
      <c r="E38" s="83"/>
      <c r="F38" s="84"/>
      <c r="G38" s="84"/>
      <c r="H38" s="85" t="s">
        <v>113</v>
      </c>
      <c r="I38" s="13"/>
      <c r="J38" s="24"/>
    </row>
    <row r="39" spans="1:14" ht="15.75" customHeight="1">
      <c r="A39" s="30">
        <v>6</v>
      </c>
      <c r="B39" s="36" t="s">
        <v>25</v>
      </c>
      <c r="C39" s="46" t="s">
        <v>31</v>
      </c>
      <c r="D39" s="35"/>
      <c r="E39" s="100"/>
      <c r="F39" s="34">
        <v>4</v>
      </c>
      <c r="G39" s="34">
        <v>2003</v>
      </c>
      <c r="H39" s="101">
        <f t="shared" ref="H39:H45" si="4">SUM(F39*G39/1000)</f>
        <v>8.0120000000000005</v>
      </c>
      <c r="I39" s="13">
        <f>G39*1.3</f>
        <v>2603.9</v>
      </c>
      <c r="J39" s="24"/>
      <c r="L39" s="19"/>
      <c r="M39" s="20"/>
      <c r="N39" s="21"/>
    </row>
    <row r="40" spans="1:14" ht="15.75" customHeight="1">
      <c r="A40" s="30">
        <v>7</v>
      </c>
      <c r="B40" s="36" t="s">
        <v>142</v>
      </c>
      <c r="C40" s="55" t="s">
        <v>28</v>
      </c>
      <c r="D40" s="35" t="s">
        <v>203</v>
      </c>
      <c r="E40" s="100">
        <v>108.9</v>
      </c>
      <c r="F40" s="37">
        <f>E40*30/1000</f>
        <v>3.2669999999999999</v>
      </c>
      <c r="G40" s="34">
        <v>2757.78</v>
      </c>
      <c r="H40" s="101">
        <f t="shared" si="4"/>
        <v>9.0096672600000005</v>
      </c>
      <c r="I40" s="13">
        <f t="shared" ref="I40:I43" si="5">F40/6*G40</f>
        <v>1501.61121</v>
      </c>
      <c r="J40" s="24"/>
      <c r="L40" s="19"/>
      <c r="M40" s="20"/>
      <c r="N40" s="21"/>
    </row>
    <row r="41" spans="1:14" ht="15.75" customHeight="1">
      <c r="A41" s="30">
        <v>8</v>
      </c>
      <c r="B41" s="35" t="s">
        <v>67</v>
      </c>
      <c r="C41" s="46" t="s">
        <v>28</v>
      </c>
      <c r="D41" s="35" t="s">
        <v>204</v>
      </c>
      <c r="E41" s="34">
        <v>108.9</v>
      </c>
      <c r="F41" s="37">
        <f>SUM(E41*155/1000)</f>
        <v>16.8795</v>
      </c>
      <c r="G41" s="34">
        <v>460.02</v>
      </c>
      <c r="H41" s="101">
        <f t="shared" si="4"/>
        <v>7.76490759</v>
      </c>
      <c r="I41" s="13">
        <f t="shared" si="5"/>
        <v>1294.151265</v>
      </c>
      <c r="J41" s="24"/>
      <c r="L41" s="19"/>
      <c r="M41" s="20"/>
      <c r="N41" s="21"/>
    </row>
    <row r="42" spans="1:14" ht="15.75" hidden="1" customHeight="1">
      <c r="A42" s="30"/>
      <c r="B42" s="35" t="s">
        <v>143</v>
      </c>
      <c r="C42" s="46" t="s">
        <v>144</v>
      </c>
      <c r="D42" s="35" t="s">
        <v>66</v>
      </c>
      <c r="E42" s="100"/>
      <c r="F42" s="37">
        <v>39</v>
      </c>
      <c r="G42" s="34">
        <v>314</v>
      </c>
      <c r="H42" s="101">
        <f t="shared" si="4"/>
        <v>12.246</v>
      </c>
      <c r="I42" s="13"/>
      <c r="J42" s="24"/>
      <c r="L42" s="19"/>
      <c r="M42" s="20"/>
      <c r="N42" s="21"/>
    </row>
    <row r="43" spans="1:14" ht="47.25" customHeight="1">
      <c r="A43" s="30">
        <v>9</v>
      </c>
      <c r="B43" s="35" t="s">
        <v>79</v>
      </c>
      <c r="C43" s="46" t="s">
        <v>85</v>
      </c>
      <c r="D43" s="35" t="s">
        <v>209</v>
      </c>
      <c r="E43" s="34">
        <v>40</v>
      </c>
      <c r="F43" s="37">
        <f>SUM(E43*35/1000)</f>
        <v>1.4</v>
      </c>
      <c r="G43" s="34">
        <v>7611.16</v>
      </c>
      <c r="H43" s="101">
        <f t="shared" si="4"/>
        <v>10.655624</v>
      </c>
      <c r="I43" s="13">
        <f t="shared" si="5"/>
        <v>1775.9373333333331</v>
      </c>
      <c r="J43" s="24"/>
      <c r="L43" s="19"/>
      <c r="M43" s="20"/>
      <c r="N43" s="21"/>
    </row>
    <row r="44" spans="1:14" ht="15.75" customHeight="1">
      <c r="A44" s="30">
        <v>10</v>
      </c>
      <c r="B44" s="35" t="s">
        <v>116</v>
      </c>
      <c r="C44" s="46" t="s">
        <v>85</v>
      </c>
      <c r="D44" s="35" t="s">
        <v>205</v>
      </c>
      <c r="E44" s="34">
        <v>108.9</v>
      </c>
      <c r="F44" s="37">
        <f>SUM(E44*45/1000)</f>
        <v>4.9005000000000001</v>
      </c>
      <c r="G44" s="34">
        <v>562.25</v>
      </c>
      <c r="H44" s="101">
        <f t="shared" si="4"/>
        <v>2.7553061250000002</v>
      </c>
      <c r="I44" s="13">
        <f>F44/7.5*G44</f>
        <v>367.37414999999999</v>
      </c>
      <c r="J44" s="24"/>
      <c r="L44" s="19"/>
      <c r="M44" s="20"/>
      <c r="N44" s="21"/>
    </row>
    <row r="45" spans="1:14" ht="15.75" customHeight="1">
      <c r="A45" s="30">
        <v>11</v>
      </c>
      <c r="B45" s="36" t="s">
        <v>69</v>
      </c>
      <c r="C45" s="55" t="s">
        <v>32</v>
      </c>
      <c r="D45" s="36"/>
      <c r="E45" s="103"/>
      <c r="F45" s="37">
        <v>0.5</v>
      </c>
      <c r="G45" s="37">
        <v>974.83</v>
      </c>
      <c r="H45" s="101">
        <f t="shared" si="4"/>
        <v>0.48741500000000004</v>
      </c>
      <c r="I45" s="13">
        <f>F45/7.5*G45</f>
        <v>64.988666666666674</v>
      </c>
      <c r="J45" s="24"/>
      <c r="L45" s="19"/>
      <c r="M45" s="20"/>
      <c r="N45" s="21"/>
    </row>
    <row r="46" spans="1:14" ht="15.75" hidden="1" customHeight="1">
      <c r="A46" s="196" t="s">
        <v>123</v>
      </c>
      <c r="B46" s="197"/>
      <c r="C46" s="197"/>
      <c r="D46" s="197"/>
      <c r="E46" s="197"/>
      <c r="F46" s="197"/>
      <c r="G46" s="197"/>
      <c r="H46" s="197"/>
      <c r="I46" s="198"/>
      <c r="J46" s="24"/>
      <c r="L46" s="19"/>
      <c r="M46" s="20"/>
      <c r="N46" s="21"/>
    </row>
    <row r="47" spans="1:14" ht="15.75" hidden="1" customHeight="1">
      <c r="A47" s="30">
        <v>12</v>
      </c>
      <c r="B47" s="35" t="s">
        <v>103</v>
      </c>
      <c r="C47" s="46" t="s">
        <v>85</v>
      </c>
      <c r="D47" s="35" t="s">
        <v>42</v>
      </c>
      <c r="E47" s="100">
        <v>838.88</v>
      </c>
      <c r="F47" s="34">
        <f>SUM(E47*2/1000)</f>
        <v>1.6777599999999999</v>
      </c>
      <c r="G47" s="39">
        <v>1062</v>
      </c>
      <c r="H47" s="101">
        <f t="shared" ref="H47:H56" si="6">SUM(F47*G47/1000)</f>
        <v>1.7817811199999998</v>
      </c>
      <c r="I47" s="13">
        <f t="shared" ref="I47:I50" si="7">F47/2*G47</f>
        <v>890.89055999999994</v>
      </c>
      <c r="J47" s="24"/>
      <c r="L47" s="19"/>
      <c r="M47" s="20"/>
      <c r="N47" s="21"/>
    </row>
    <row r="48" spans="1:14" ht="15.75" hidden="1" customHeight="1">
      <c r="A48" s="30">
        <v>13</v>
      </c>
      <c r="B48" s="35" t="s">
        <v>35</v>
      </c>
      <c r="C48" s="46" t="s">
        <v>85</v>
      </c>
      <c r="D48" s="35" t="s">
        <v>42</v>
      </c>
      <c r="E48" s="100">
        <v>26</v>
      </c>
      <c r="F48" s="34">
        <f>E48*2/1000</f>
        <v>5.1999999999999998E-2</v>
      </c>
      <c r="G48" s="39">
        <v>759.98</v>
      </c>
      <c r="H48" s="101">
        <f t="shared" si="6"/>
        <v>3.9518959999999999E-2</v>
      </c>
      <c r="I48" s="13">
        <f t="shared" si="7"/>
        <v>19.75948</v>
      </c>
      <c r="J48" s="24"/>
      <c r="L48" s="19"/>
      <c r="M48" s="20"/>
      <c r="N48" s="21"/>
    </row>
    <row r="49" spans="1:14" ht="15.75" hidden="1" customHeight="1">
      <c r="A49" s="30">
        <v>14</v>
      </c>
      <c r="B49" s="35" t="s">
        <v>36</v>
      </c>
      <c r="C49" s="46" t="s">
        <v>85</v>
      </c>
      <c r="D49" s="35" t="s">
        <v>42</v>
      </c>
      <c r="E49" s="100">
        <v>879</v>
      </c>
      <c r="F49" s="34">
        <f>SUM(E49*2/1000)</f>
        <v>1.758</v>
      </c>
      <c r="G49" s="39">
        <v>759.98</v>
      </c>
      <c r="H49" s="101">
        <f t="shared" si="6"/>
        <v>1.33604484</v>
      </c>
      <c r="I49" s="13">
        <f t="shared" si="7"/>
        <v>668.02242000000001</v>
      </c>
      <c r="J49" s="24"/>
      <c r="L49" s="19"/>
      <c r="M49" s="20"/>
      <c r="N49" s="21"/>
    </row>
    <row r="50" spans="1:14" ht="15.75" hidden="1" customHeight="1">
      <c r="A50" s="30">
        <v>15</v>
      </c>
      <c r="B50" s="35" t="s">
        <v>37</v>
      </c>
      <c r="C50" s="46" t="s">
        <v>85</v>
      </c>
      <c r="D50" s="35" t="s">
        <v>42</v>
      </c>
      <c r="E50" s="100">
        <v>1490.75</v>
      </c>
      <c r="F50" s="34">
        <f>SUM(E50*2/1000)</f>
        <v>2.9815</v>
      </c>
      <c r="G50" s="39">
        <v>795.82</v>
      </c>
      <c r="H50" s="101">
        <f t="shared" si="6"/>
        <v>2.3727373300000005</v>
      </c>
      <c r="I50" s="13">
        <f t="shared" si="7"/>
        <v>1186.3686650000002</v>
      </c>
      <c r="J50" s="24"/>
      <c r="L50" s="19"/>
      <c r="M50" s="20"/>
      <c r="N50" s="21"/>
    </row>
    <row r="51" spans="1:14" ht="15.75" hidden="1" customHeight="1">
      <c r="A51" s="30">
        <v>16</v>
      </c>
      <c r="B51" s="35" t="s">
        <v>33</v>
      </c>
      <c r="C51" s="46" t="s">
        <v>34</v>
      </c>
      <c r="D51" s="35" t="s">
        <v>42</v>
      </c>
      <c r="E51" s="100">
        <v>61.04</v>
      </c>
      <c r="F51" s="34">
        <f>SUM(E51*2/100)</f>
        <v>1.2207999999999999</v>
      </c>
      <c r="G51" s="39">
        <v>95.49</v>
      </c>
      <c r="H51" s="101">
        <f t="shared" si="6"/>
        <v>0.11657419199999998</v>
      </c>
      <c r="I51" s="13">
        <f>F51/2*G51</f>
        <v>58.287095999999991</v>
      </c>
      <c r="J51" s="24"/>
      <c r="L51" s="19"/>
      <c r="M51" s="20"/>
      <c r="N51" s="21"/>
    </row>
    <row r="52" spans="1:14" ht="15.75" hidden="1" customHeight="1">
      <c r="A52" s="30">
        <v>17</v>
      </c>
      <c r="B52" s="35" t="s">
        <v>56</v>
      </c>
      <c r="C52" s="46" t="s">
        <v>85</v>
      </c>
      <c r="D52" s="35" t="s">
        <v>129</v>
      </c>
      <c r="E52" s="100">
        <v>2135.1999999999998</v>
      </c>
      <c r="F52" s="34">
        <f>SUM(E52*5/1000)</f>
        <v>10.676</v>
      </c>
      <c r="G52" s="39">
        <v>1591.6</v>
      </c>
      <c r="H52" s="101">
        <f t="shared" si="6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hidden="1" customHeight="1">
      <c r="A53" s="30">
        <v>14</v>
      </c>
      <c r="B53" s="35" t="s">
        <v>86</v>
      </c>
      <c r="C53" s="46" t="s">
        <v>85</v>
      </c>
      <c r="D53" s="35" t="s">
        <v>42</v>
      </c>
      <c r="E53" s="100">
        <v>2135.1999999999998</v>
      </c>
      <c r="F53" s="34">
        <f>SUM(E53*2/1000)</f>
        <v>4.2703999999999995</v>
      </c>
      <c r="G53" s="39">
        <v>1591.6</v>
      </c>
      <c r="H53" s="101">
        <f t="shared" si="6"/>
        <v>6.796768639999998</v>
      </c>
      <c r="I53" s="13">
        <f>F53/2*G53</f>
        <v>3398.3843199999992</v>
      </c>
      <c r="J53" s="24"/>
      <c r="L53" s="19"/>
      <c r="M53" s="20"/>
      <c r="N53" s="21"/>
    </row>
    <row r="54" spans="1:14" ht="31.5" hidden="1" customHeight="1">
      <c r="A54" s="30">
        <v>15</v>
      </c>
      <c r="B54" s="35" t="s">
        <v>87</v>
      </c>
      <c r="C54" s="46" t="s">
        <v>38</v>
      </c>
      <c r="D54" s="35" t="s">
        <v>42</v>
      </c>
      <c r="E54" s="100">
        <v>10</v>
      </c>
      <c r="F54" s="34">
        <f>SUM(E54*2/100)</f>
        <v>0.2</v>
      </c>
      <c r="G54" s="39">
        <v>3581.13</v>
      </c>
      <c r="H54" s="101">
        <f t="shared" si="6"/>
        <v>0.71622600000000014</v>
      </c>
      <c r="I54" s="13">
        <f t="shared" ref="I54:I55" si="8">F54/2*G54</f>
        <v>358.11300000000006</v>
      </c>
      <c r="J54" s="24"/>
      <c r="L54" s="19"/>
      <c r="M54" s="20"/>
      <c r="N54" s="21"/>
    </row>
    <row r="55" spans="1:14" ht="15.75" hidden="1" customHeight="1">
      <c r="A55" s="30">
        <v>16</v>
      </c>
      <c r="B55" s="35" t="s">
        <v>39</v>
      </c>
      <c r="C55" s="46" t="s">
        <v>40</v>
      </c>
      <c r="D55" s="35" t="s">
        <v>42</v>
      </c>
      <c r="E55" s="100">
        <v>1</v>
      </c>
      <c r="F55" s="34">
        <v>0.02</v>
      </c>
      <c r="G55" s="39">
        <v>7412.92</v>
      </c>
      <c r="H55" s="101">
        <f t="shared" si="6"/>
        <v>0.14825839999999998</v>
      </c>
      <c r="I55" s="13">
        <f t="shared" si="8"/>
        <v>74.129199999999997</v>
      </c>
      <c r="J55" s="24"/>
      <c r="L55" s="19"/>
      <c r="M55" s="20"/>
      <c r="N55" s="21"/>
    </row>
    <row r="56" spans="1:14" ht="15.75" hidden="1" customHeight="1">
      <c r="A56" s="109">
        <v>18</v>
      </c>
      <c r="B56" s="105" t="s">
        <v>41</v>
      </c>
      <c r="C56" s="106" t="s">
        <v>104</v>
      </c>
      <c r="D56" s="105" t="s">
        <v>70</v>
      </c>
      <c r="E56" s="107">
        <v>80</v>
      </c>
      <c r="F56" s="108">
        <f>SUM(E56)*3</f>
        <v>240</v>
      </c>
      <c r="G56" s="110">
        <v>86.15</v>
      </c>
      <c r="H56" s="111">
        <f t="shared" si="6"/>
        <v>20.675999999999998</v>
      </c>
      <c r="I56" s="112">
        <f>E56*G56</f>
        <v>6892</v>
      </c>
      <c r="J56" s="24"/>
      <c r="L56" s="19"/>
      <c r="M56" s="20"/>
      <c r="N56" s="21"/>
    </row>
    <row r="57" spans="1:14" ht="15.75" customHeight="1">
      <c r="A57" s="189" t="s">
        <v>132</v>
      </c>
      <c r="B57" s="189"/>
      <c r="C57" s="189"/>
      <c r="D57" s="189"/>
      <c r="E57" s="189"/>
      <c r="F57" s="189"/>
      <c r="G57" s="189"/>
      <c r="H57" s="189"/>
      <c r="I57" s="189"/>
      <c r="J57" s="24"/>
      <c r="L57" s="19"/>
      <c r="M57" s="20"/>
      <c r="N57" s="21"/>
    </row>
    <row r="58" spans="1:14" ht="15.75" hidden="1" customHeight="1">
      <c r="A58" s="30"/>
      <c r="B58" s="99" t="s">
        <v>43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hidden="1" customHeight="1">
      <c r="A59" s="30">
        <v>17</v>
      </c>
      <c r="B59" s="41" t="s">
        <v>105</v>
      </c>
      <c r="C59" s="42" t="s">
        <v>82</v>
      </c>
      <c r="D59" s="41" t="s">
        <v>106</v>
      </c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F59/6*G59</f>
        <v>1115.9116199999996</v>
      </c>
      <c r="J59" s="24"/>
      <c r="L59" s="19"/>
    </row>
    <row r="60" spans="1:14" ht="15.75" hidden="1" customHeight="1">
      <c r="A60" s="30"/>
      <c r="B60" s="41" t="s">
        <v>145</v>
      </c>
      <c r="C60" s="42" t="s">
        <v>146</v>
      </c>
      <c r="D60" s="41" t="s">
        <v>66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99" t="s">
        <v>44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117</v>
      </c>
      <c r="C62" s="42" t="s">
        <v>82</v>
      </c>
      <c r="D62" s="41" t="s">
        <v>53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12</v>
      </c>
      <c r="B63" s="41" t="s">
        <v>147</v>
      </c>
      <c r="C63" s="42" t="s">
        <v>148</v>
      </c>
      <c r="D63" s="41" t="s">
        <v>185</v>
      </c>
      <c r="E63" s="17">
        <v>134.19999999999999</v>
      </c>
      <c r="F63" s="39">
        <v>1200</v>
      </c>
      <c r="G63" s="39">
        <v>1.4</v>
      </c>
      <c r="H63" s="39">
        <f>F63*G63/1000</f>
        <v>1.68</v>
      </c>
      <c r="I63" s="13">
        <f>F63/12*G63</f>
        <v>140</v>
      </c>
    </row>
    <row r="64" spans="1:14" ht="15.75" hidden="1" customHeight="1">
      <c r="A64" s="113"/>
      <c r="B64" s="114" t="s">
        <v>45</v>
      </c>
      <c r="C64" s="115"/>
      <c r="D64" s="116"/>
      <c r="E64" s="86"/>
      <c r="F64" s="117"/>
      <c r="G64" s="117"/>
      <c r="H64" s="118" t="s">
        <v>113</v>
      </c>
      <c r="I64" s="119"/>
    </row>
    <row r="65" spans="1:22" ht="15.75" hidden="1" customHeight="1">
      <c r="A65" s="30">
        <v>12</v>
      </c>
      <c r="B65" s="58" t="s">
        <v>46</v>
      </c>
      <c r="C65" s="42" t="s">
        <v>104</v>
      </c>
      <c r="D65" s="41" t="s">
        <v>66</v>
      </c>
      <c r="E65" s="17">
        <v>5</v>
      </c>
      <c r="F65" s="34">
        <f>E65</f>
        <v>5</v>
      </c>
      <c r="G65" s="39">
        <v>291.68</v>
      </c>
      <c r="H65" s="79">
        <f t="shared" ref="H65:H72" si="9">SUM(F65*G65/1000)</f>
        <v>1.4584000000000001</v>
      </c>
      <c r="I65" s="13">
        <f>G65*2</f>
        <v>583.36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.75" hidden="1" customHeight="1">
      <c r="A66" s="30"/>
      <c r="B66" s="58" t="s">
        <v>47</v>
      </c>
      <c r="C66" s="42" t="s">
        <v>104</v>
      </c>
      <c r="D66" s="41" t="s">
        <v>66</v>
      </c>
      <c r="E66" s="17">
        <v>5</v>
      </c>
      <c r="F66" s="34">
        <f>E66</f>
        <v>5</v>
      </c>
      <c r="G66" s="39">
        <v>100.01</v>
      </c>
      <c r="H66" s="79">
        <f t="shared" si="9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48</v>
      </c>
      <c r="C67" s="44" t="s">
        <v>107</v>
      </c>
      <c r="D67" s="41" t="s">
        <v>53</v>
      </c>
      <c r="E67" s="100">
        <v>10348</v>
      </c>
      <c r="F67" s="40">
        <f>SUM(E67/100)</f>
        <v>103.48</v>
      </c>
      <c r="G67" s="39">
        <v>278.24</v>
      </c>
      <c r="H67" s="79">
        <f t="shared" si="9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15.75" hidden="1" customHeight="1">
      <c r="A68" s="30"/>
      <c r="B68" s="58" t="s">
        <v>49</v>
      </c>
      <c r="C68" s="42" t="s">
        <v>108</v>
      </c>
      <c r="D68" s="41" t="s">
        <v>53</v>
      </c>
      <c r="E68" s="100">
        <v>10348</v>
      </c>
      <c r="F68" s="39">
        <f>SUM(E68/1000)</f>
        <v>10.348000000000001</v>
      </c>
      <c r="G68" s="39">
        <v>216.68</v>
      </c>
      <c r="H68" s="79">
        <f t="shared" si="9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77"/>
      <c r="S68" s="177"/>
      <c r="T68" s="177"/>
      <c r="U68" s="177"/>
    </row>
    <row r="69" spans="1:22" ht="15.75" hidden="1" customHeight="1">
      <c r="A69" s="30"/>
      <c r="B69" s="58" t="s">
        <v>50</v>
      </c>
      <c r="C69" s="42" t="s">
        <v>75</v>
      </c>
      <c r="D69" s="41" t="s">
        <v>53</v>
      </c>
      <c r="E69" s="100">
        <v>1645</v>
      </c>
      <c r="F69" s="39">
        <f>SUM(E69/100)</f>
        <v>16.45</v>
      </c>
      <c r="G69" s="39">
        <v>2720.94</v>
      </c>
      <c r="H69" s="79">
        <f t="shared" si="9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15.75" hidden="1" customHeight="1">
      <c r="A70" s="30"/>
      <c r="B70" s="53" t="s">
        <v>109</v>
      </c>
      <c r="C70" s="42" t="s">
        <v>32</v>
      </c>
      <c r="D70" s="41"/>
      <c r="E70" s="100">
        <v>9</v>
      </c>
      <c r="F70" s="39">
        <f>E70</f>
        <v>9</v>
      </c>
      <c r="G70" s="39">
        <v>42.61</v>
      </c>
      <c r="H70" s="79">
        <f t="shared" si="9"/>
        <v>0.38349</v>
      </c>
      <c r="I70" s="13">
        <v>0</v>
      </c>
    </row>
    <row r="71" spans="1:22" ht="15.75" hidden="1" customHeight="1">
      <c r="A71" s="30"/>
      <c r="B71" s="53" t="s">
        <v>110</v>
      </c>
      <c r="C71" s="42" t="s">
        <v>32</v>
      </c>
      <c r="D71" s="41"/>
      <c r="E71" s="100">
        <v>9</v>
      </c>
      <c r="F71" s="39">
        <f t="shared" ref="F71:F72" si="10">E71</f>
        <v>9</v>
      </c>
      <c r="G71" s="39">
        <v>46.04</v>
      </c>
      <c r="H71" s="79">
        <f t="shared" si="9"/>
        <v>0.41436000000000001</v>
      </c>
      <c r="I71" s="13">
        <v>0</v>
      </c>
    </row>
    <row r="72" spans="1:22" ht="15.75" hidden="1" customHeight="1">
      <c r="A72" s="30">
        <v>21</v>
      </c>
      <c r="B72" s="41" t="s">
        <v>57</v>
      </c>
      <c r="C72" s="42" t="s">
        <v>58</v>
      </c>
      <c r="D72" s="41" t="s">
        <v>53</v>
      </c>
      <c r="E72" s="17">
        <v>2</v>
      </c>
      <c r="F72" s="39">
        <f t="shared" si="10"/>
        <v>2</v>
      </c>
      <c r="G72" s="39">
        <v>65.42</v>
      </c>
      <c r="H72" s="79">
        <f t="shared" si="9"/>
        <v>0.13084000000000001</v>
      </c>
      <c r="I72" s="13">
        <f>F72*G72</f>
        <v>130.84</v>
      </c>
    </row>
    <row r="73" spans="1:22" ht="15.75" customHeight="1">
      <c r="A73" s="30"/>
      <c r="B73" s="99" t="s">
        <v>71</v>
      </c>
      <c r="C73" s="16"/>
      <c r="D73" s="14"/>
      <c r="E73" s="18"/>
      <c r="F73" s="13"/>
      <c r="G73" s="13"/>
      <c r="H73" s="80" t="s">
        <v>113</v>
      </c>
      <c r="I73" s="13"/>
    </row>
    <row r="74" spans="1:22" ht="15.75" hidden="1" customHeight="1">
      <c r="A74" s="30"/>
      <c r="B74" s="14" t="s">
        <v>150</v>
      </c>
      <c r="C74" s="16" t="s">
        <v>151</v>
      </c>
      <c r="D74" s="41" t="s">
        <v>66</v>
      </c>
      <c r="E74" s="18">
        <v>1</v>
      </c>
      <c r="F74" s="13">
        <f>E74</f>
        <v>1</v>
      </c>
      <c r="G74" s="13">
        <v>1029.1199999999999</v>
      </c>
      <c r="H74" s="80">
        <f t="shared" ref="H74:H75" si="11">SUM(F74*G74/1000)</f>
        <v>1.0291199999999998</v>
      </c>
      <c r="I74" s="13">
        <v>0</v>
      </c>
    </row>
    <row r="75" spans="1:22" ht="15.75" hidden="1" customHeight="1">
      <c r="A75" s="30"/>
      <c r="B75" s="14" t="s">
        <v>152</v>
      </c>
      <c r="C75" s="16" t="s">
        <v>153</v>
      </c>
      <c r="D75" s="120"/>
      <c r="E75" s="18">
        <v>1</v>
      </c>
      <c r="F75" s="13">
        <v>1</v>
      </c>
      <c r="G75" s="13">
        <v>735</v>
      </c>
      <c r="H75" s="80">
        <f t="shared" si="11"/>
        <v>0.73499999999999999</v>
      </c>
      <c r="I75" s="13">
        <v>0</v>
      </c>
    </row>
    <row r="76" spans="1:22" ht="15.75" hidden="1" customHeight="1">
      <c r="A76" s="30"/>
      <c r="B76" s="14" t="s">
        <v>72</v>
      </c>
      <c r="C76" s="16" t="s">
        <v>73</v>
      </c>
      <c r="D76" s="41" t="s">
        <v>66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154</v>
      </c>
      <c r="C77" s="16" t="s">
        <v>104</v>
      </c>
      <c r="D77" s="41" t="s">
        <v>66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15.75" hidden="1" customHeight="1">
      <c r="A78" s="30"/>
      <c r="B78" s="56" t="s">
        <v>155</v>
      </c>
      <c r="C78" s="57" t="s">
        <v>104</v>
      </c>
      <c r="D78" s="41" t="s">
        <v>66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13</v>
      </c>
      <c r="B79" s="56" t="s">
        <v>156</v>
      </c>
      <c r="C79" s="57" t="s">
        <v>104</v>
      </c>
      <c r="D79" s="14" t="s">
        <v>185</v>
      </c>
      <c r="E79" s="18">
        <v>2</v>
      </c>
      <c r="F79" s="84">
        <f>E79*12</f>
        <v>24</v>
      </c>
      <c r="G79" s="13">
        <v>53.42</v>
      </c>
      <c r="H79" s="80">
        <f t="shared" ref="H79:H80" si="12">SUM(F79*G79/1000)</f>
        <v>1.2820799999999999</v>
      </c>
      <c r="I79" s="13">
        <f>G79*2</f>
        <v>106.84</v>
      </c>
    </row>
    <row r="80" spans="1:22" ht="31.5" customHeight="1">
      <c r="A80" s="30">
        <v>14</v>
      </c>
      <c r="B80" s="56" t="s">
        <v>157</v>
      </c>
      <c r="C80" s="57" t="s">
        <v>104</v>
      </c>
      <c r="D80" s="14" t="s">
        <v>202</v>
      </c>
      <c r="E80" s="18">
        <v>1</v>
      </c>
      <c r="F80" s="84">
        <f>E80*12</f>
        <v>12</v>
      </c>
      <c r="G80" s="13">
        <v>1194</v>
      </c>
      <c r="H80" s="80">
        <f t="shared" si="12"/>
        <v>14.327999999999999</v>
      </c>
      <c r="I80" s="13">
        <f>G80</f>
        <v>1194</v>
      </c>
    </row>
    <row r="81" spans="1:9" ht="15.75" hidden="1" customHeight="1">
      <c r="A81" s="30"/>
      <c r="B81" s="90" t="s">
        <v>74</v>
      </c>
      <c r="C81" s="16"/>
      <c r="D81" s="14"/>
      <c r="E81" s="18"/>
      <c r="F81" s="13"/>
      <c r="G81" s="13" t="s">
        <v>113</v>
      </c>
      <c r="H81" s="80" t="s">
        <v>113</v>
      </c>
      <c r="I81" s="13"/>
    </row>
    <row r="82" spans="1:9" ht="15.75" hidden="1" customHeight="1">
      <c r="A82" s="30"/>
      <c r="B82" s="43" t="s">
        <v>114</v>
      </c>
      <c r="C82" s="44" t="s">
        <v>75</v>
      </c>
      <c r="D82" s="58"/>
      <c r="E82" s="121"/>
      <c r="F82" s="40">
        <v>0.6</v>
      </c>
      <c r="G82" s="40">
        <v>3619.09</v>
      </c>
      <c r="H82" s="79">
        <f t="shared" ref="H82" si="13">SUM(F82*G82/1000)</f>
        <v>2.1714540000000002</v>
      </c>
      <c r="I82" s="13">
        <v>0</v>
      </c>
    </row>
    <row r="83" spans="1:9" ht="15.75" customHeight="1">
      <c r="A83" s="30"/>
      <c r="B83" s="93" t="s">
        <v>88</v>
      </c>
      <c r="C83" s="90"/>
      <c r="D83" s="32"/>
      <c r="E83" s="33"/>
      <c r="F83" s="87"/>
      <c r="G83" s="87"/>
      <c r="H83" s="91">
        <f>SUM(H59:H82)</f>
        <v>115.48976176000001</v>
      </c>
      <c r="I83" s="87"/>
    </row>
    <row r="84" spans="1:9" ht="15.75" customHeight="1">
      <c r="A84" s="109">
        <v>15</v>
      </c>
      <c r="B84" s="123" t="s">
        <v>111</v>
      </c>
      <c r="C84" s="124"/>
      <c r="D84" s="125"/>
      <c r="E84" s="122"/>
      <c r="F84" s="126">
        <v>1</v>
      </c>
      <c r="G84" s="126">
        <v>694.5</v>
      </c>
      <c r="H84" s="127">
        <f>G84*F84/1000</f>
        <v>0.69450000000000001</v>
      </c>
      <c r="I84" s="112">
        <f>G84</f>
        <v>694.5</v>
      </c>
    </row>
    <row r="85" spans="1:9" ht="15.75" customHeight="1">
      <c r="A85" s="189" t="s">
        <v>133</v>
      </c>
      <c r="B85" s="189"/>
      <c r="C85" s="189"/>
      <c r="D85" s="189"/>
      <c r="E85" s="189"/>
      <c r="F85" s="189"/>
      <c r="G85" s="189"/>
      <c r="H85" s="189"/>
      <c r="I85" s="189"/>
    </row>
    <row r="86" spans="1:9" ht="15.75" customHeight="1">
      <c r="A86" s="30">
        <v>16</v>
      </c>
      <c r="B86" s="41" t="s">
        <v>112</v>
      </c>
      <c r="C86" s="42" t="s">
        <v>54</v>
      </c>
      <c r="D86" s="59"/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17</v>
      </c>
      <c r="B87" s="14" t="s">
        <v>76</v>
      </c>
      <c r="C87" s="16"/>
      <c r="D87" s="59"/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78</v>
      </c>
      <c r="C88" s="90"/>
      <c r="D88" s="89"/>
      <c r="E88" s="87"/>
      <c r="F88" s="87"/>
      <c r="G88" s="87"/>
      <c r="H88" s="91">
        <f>H87</f>
        <v>89.678399999999996</v>
      </c>
      <c r="I88" s="87">
        <f>I87+I86+I80+I79+I63+I45+I44+I43+I41+I40+I39+I27+I20+I18+I17+I16+I84</f>
        <v>31421.555578333333</v>
      </c>
    </row>
    <row r="89" spans="1:9" ht="15.75" customHeight="1">
      <c r="A89" s="178" t="s">
        <v>60</v>
      </c>
      <c r="B89" s="179"/>
      <c r="C89" s="179"/>
      <c r="D89" s="179"/>
      <c r="E89" s="179"/>
      <c r="F89" s="179"/>
      <c r="G89" s="179"/>
      <c r="H89" s="179"/>
      <c r="I89" s="180"/>
    </row>
    <row r="90" spans="1:9" ht="31.5" customHeight="1">
      <c r="A90" s="30">
        <v>18</v>
      </c>
      <c r="B90" s="134" t="s">
        <v>173</v>
      </c>
      <c r="C90" s="61" t="s">
        <v>28</v>
      </c>
      <c r="D90" s="60"/>
      <c r="E90" s="39"/>
      <c r="F90" s="135">
        <f>0.001</f>
        <v>1E-3</v>
      </c>
      <c r="G90" s="159">
        <v>19757.060000000001</v>
      </c>
      <c r="H90" s="136">
        <f t="shared" ref="H90" si="14">G90*F90/1000</f>
        <v>1.9757060000000003E-2</v>
      </c>
      <c r="I90" s="13">
        <f>G90*6*0.599/1000</f>
        <v>71.006873640000009</v>
      </c>
    </row>
    <row r="91" spans="1:9" ht="18" customHeight="1">
      <c r="A91" s="30">
        <v>19</v>
      </c>
      <c r="B91" s="160" t="s">
        <v>196</v>
      </c>
      <c r="C91" s="158" t="s">
        <v>90</v>
      </c>
      <c r="D91" s="60"/>
      <c r="E91" s="39"/>
      <c r="F91" s="135"/>
      <c r="G91" s="39">
        <v>3587.49</v>
      </c>
      <c r="H91" s="136"/>
      <c r="I91" s="13">
        <f>G91*0.03</f>
        <v>107.62469999999999</v>
      </c>
    </row>
    <row r="92" spans="1:9" ht="15" customHeight="1">
      <c r="A92" s="30">
        <v>20</v>
      </c>
      <c r="B92" s="134" t="s">
        <v>245</v>
      </c>
      <c r="C92" s="61" t="s">
        <v>246</v>
      </c>
      <c r="D92" s="60"/>
      <c r="E92" s="39"/>
      <c r="F92" s="135"/>
      <c r="G92" s="39">
        <v>214.07</v>
      </c>
      <c r="H92" s="136"/>
      <c r="I92" s="13">
        <f>G92*1</f>
        <v>214.07</v>
      </c>
    </row>
    <row r="93" spans="1:9" ht="15.75" customHeight="1">
      <c r="A93" s="30"/>
      <c r="B93" s="50" t="s">
        <v>51</v>
      </c>
      <c r="C93" s="57"/>
      <c r="D93" s="52"/>
      <c r="E93" s="13"/>
      <c r="F93" s="13"/>
      <c r="G93" s="13"/>
      <c r="H93" s="80"/>
      <c r="I93" s="87">
        <f>SUM(I90:I92)</f>
        <v>392.70157363999999</v>
      </c>
    </row>
    <row r="94" spans="1:9">
      <c r="A94" s="30"/>
      <c r="B94" s="52" t="s">
        <v>77</v>
      </c>
      <c r="C94" s="15"/>
      <c r="D94" s="15"/>
      <c r="E94" s="47"/>
      <c r="F94" s="47"/>
      <c r="G94" s="48"/>
      <c r="H94" s="48"/>
      <c r="I94" s="17">
        <v>0</v>
      </c>
    </row>
    <row r="95" spans="1:9">
      <c r="A95" s="54"/>
      <c r="B95" s="51" t="s">
        <v>139</v>
      </c>
      <c r="C95" s="38"/>
      <c r="D95" s="38"/>
      <c r="E95" s="38"/>
      <c r="F95" s="38"/>
      <c r="G95" s="38"/>
      <c r="H95" s="38"/>
      <c r="I95" s="49">
        <f>I88+I93</f>
        <v>31814.257151973332</v>
      </c>
    </row>
    <row r="96" spans="1:9" ht="15.75" customHeight="1">
      <c r="A96" s="181" t="s">
        <v>247</v>
      </c>
      <c r="B96" s="181"/>
      <c r="C96" s="181"/>
      <c r="D96" s="181"/>
      <c r="E96" s="181"/>
      <c r="F96" s="181"/>
      <c r="G96" s="181"/>
      <c r="H96" s="181"/>
      <c r="I96" s="181"/>
    </row>
    <row r="97" spans="1:9" ht="15.75" customHeight="1">
      <c r="A97" s="68"/>
      <c r="B97" s="182" t="s">
        <v>248</v>
      </c>
      <c r="C97" s="182"/>
      <c r="D97" s="182"/>
      <c r="E97" s="182"/>
      <c r="F97" s="182"/>
      <c r="G97" s="182"/>
      <c r="H97" s="78"/>
      <c r="I97" s="3"/>
    </row>
    <row r="98" spans="1:9">
      <c r="A98" s="97"/>
      <c r="B98" s="183" t="s">
        <v>6</v>
      </c>
      <c r="C98" s="183"/>
      <c r="D98" s="183"/>
      <c r="E98" s="183"/>
      <c r="F98" s="183"/>
      <c r="G98" s="183"/>
      <c r="H98" s="25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84" t="s">
        <v>7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 customHeight="1">
      <c r="A101" s="184" t="s">
        <v>8</v>
      </c>
      <c r="B101" s="184"/>
      <c r="C101" s="184"/>
      <c r="D101" s="184"/>
      <c r="E101" s="184"/>
      <c r="F101" s="184"/>
      <c r="G101" s="184"/>
      <c r="H101" s="184"/>
      <c r="I101" s="184"/>
    </row>
    <row r="102" spans="1:9" ht="15.75">
      <c r="A102" s="185" t="s">
        <v>61</v>
      </c>
      <c r="B102" s="185"/>
      <c r="C102" s="185"/>
      <c r="D102" s="185"/>
      <c r="E102" s="185"/>
      <c r="F102" s="185"/>
      <c r="G102" s="185"/>
      <c r="H102" s="185"/>
      <c r="I102" s="185"/>
    </row>
    <row r="103" spans="1:9" ht="15.75">
      <c r="A103" s="11"/>
    </row>
    <row r="104" spans="1:9" ht="15.75" customHeight="1">
      <c r="A104" s="186" t="s">
        <v>9</v>
      </c>
      <c r="B104" s="186"/>
      <c r="C104" s="186"/>
      <c r="D104" s="186"/>
      <c r="E104" s="186"/>
      <c r="F104" s="186"/>
      <c r="G104" s="186"/>
      <c r="H104" s="186"/>
      <c r="I104" s="186"/>
    </row>
    <row r="105" spans="1:9" ht="15.75" customHeight="1">
      <c r="A105" s="4"/>
    </row>
    <row r="106" spans="1:9" ht="15.75" customHeight="1">
      <c r="B106" s="94" t="s">
        <v>10</v>
      </c>
      <c r="C106" s="187" t="s">
        <v>124</v>
      </c>
      <c r="D106" s="187"/>
      <c r="E106" s="187"/>
      <c r="F106" s="76"/>
      <c r="I106" s="96"/>
    </row>
    <row r="107" spans="1:9" ht="15.75" customHeight="1">
      <c r="A107" s="97"/>
      <c r="C107" s="183" t="s">
        <v>11</v>
      </c>
      <c r="D107" s="183"/>
      <c r="E107" s="183"/>
      <c r="F107" s="25"/>
      <c r="I107" s="95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94" t="s">
        <v>13</v>
      </c>
      <c r="C109" s="188"/>
      <c r="D109" s="188"/>
      <c r="E109" s="188"/>
      <c r="F109" s="77"/>
      <c r="I109" s="96"/>
    </row>
    <row r="110" spans="1:9">
      <c r="A110" s="97"/>
      <c r="C110" s="177" t="s">
        <v>11</v>
      </c>
      <c r="D110" s="177"/>
      <c r="E110" s="177"/>
      <c r="F110" s="97"/>
      <c r="I110" s="95" t="s">
        <v>12</v>
      </c>
    </row>
    <row r="111" spans="1:9" ht="15.75">
      <c r="A111" s="4" t="s">
        <v>14</v>
      </c>
    </row>
    <row r="112" spans="1:9">
      <c r="A112" s="175" t="s">
        <v>15</v>
      </c>
      <c r="B112" s="175"/>
      <c r="C112" s="175"/>
      <c r="D112" s="175"/>
      <c r="E112" s="175"/>
      <c r="F112" s="175"/>
      <c r="G112" s="175"/>
      <c r="H112" s="175"/>
      <c r="I112" s="175"/>
    </row>
    <row r="113" spans="1:9" ht="45" customHeight="1">
      <c r="A113" s="176" t="s">
        <v>16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30" customHeight="1">
      <c r="A114" s="176" t="s">
        <v>17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30" customHeight="1">
      <c r="A115" s="176" t="s">
        <v>21</v>
      </c>
      <c r="B115" s="176"/>
      <c r="C115" s="176"/>
      <c r="D115" s="176"/>
      <c r="E115" s="176"/>
      <c r="F115" s="176"/>
      <c r="G115" s="176"/>
      <c r="H115" s="176"/>
      <c r="I115" s="176"/>
    </row>
    <row r="116" spans="1:9" ht="15" customHeight="1">
      <c r="A116" s="176" t="s">
        <v>20</v>
      </c>
      <c r="B116" s="176"/>
      <c r="C116" s="176"/>
      <c r="D116" s="176"/>
      <c r="E116" s="176"/>
      <c r="F116" s="176"/>
      <c r="G116" s="176"/>
      <c r="H116" s="176"/>
      <c r="I116" s="176"/>
    </row>
  </sheetData>
  <autoFilter ref="I12:I62"/>
  <mergeCells count="29">
    <mergeCell ref="A112:I112"/>
    <mergeCell ref="A113:I113"/>
    <mergeCell ref="A114:I114"/>
    <mergeCell ref="A115:I115"/>
    <mergeCell ref="A116:I116"/>
    <mergeCell ref="R68:U68"/>
    <mergeCell ref="C110:E110"/>
    <mergeCell ref="A89:I89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7"/>
  <sheetViews>
    <sheetView tabSelected="1" workbookViewId="0">
      <selection activeCell="I100" sqref="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90" t="s">
        <v>161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13" ht="15.75">
      <c r="A5" s="190" t="s">
        <v>249</v>
      </c>
      <c r="B5" s="192"/>
      <c r="C5" s="192"/>
      <c r="D5" s="192"/>
      <c r="E5" s="192"/>
      <c r="F5" s="192"/>
      <c r="G5" s="192"/>
      <c r="H5" s="192"/>
      <c r="I5" s="192"/>
      <c r="J5" s="2"/>
      <c r="K5" s="2"/>
      <c r="L5" s="2"/>
      <c r="M5" s="2"/>
    </row>
    <row r="6" spans="1:13" ht="15.75">
      <c r="A6" s="2"/>
      <c r="B6" s="98"/>
      <c r="C6" s="98"/>
      <c r="D6" s="98"/>
      <c r="E6" s="98"/>
      <c r="F6" s="98"/>
      <c r="G6" s="98"/>
      <c r="H6" s="98"/>
      <c r="I6" s="31">
        <v>43830</v>
      </c>
      <c r="J6" s="2"/>
      <c r="K6" s="2"/>
      <c r="L6" s="2"/>
      <c r="M6" s="2"/>
    </row>
    <row r="7" spans="1:13" ht="15.75">
      <c r="B7" s="94"/>
      <c r="C7" s="94"/>
      <c r="D7" s="94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89</v>
      </c>
      <c r="C19" s="46" t="s">
        <v>90</v>
      </c>
      <c r="D19" s="35" t="s">
        <v>91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93</v>
      </c>
      <c r="C21" s="46" t="s">
        <v>82</v>
      </c>
      <c r="D21" s="35" t="s">
        <v>42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94</v>
      </c>
      <c r="C22" s="46" t="s">
        <v>52</v>
      </c>
      <c r="D22" s="35" t="s">
        <v>91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95</v>
      </c>
      <c r="C23" s="46" t="s">
        <v>52</v>
      </c>
      <c r="D23" s="35" t="s">
        <v>91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96</v>
      </c>
      <c r="C24" s="46" t="s">
        <v>52</v>
      </c>
      <c r="D24" s="35" t="s">
        <v>97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98</v>
      </c>
      <c r="C25" s="46" t="s">
        <v>52</v>
      </c>
      <c r="D25" s="35" t="s">
        <v>53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99</v>
      </c>
      <c r="C26" s="46" t="s">
        <v>52</v>
      </c>
      <c r="D26" s="35" t="s">
        <v>91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hidden="1" customHeight="1">
      <c r="A28" s="30">
        <v>6</v>
      </c>
      <c r="B28" s="88" t="s">
        <v>23</v>
      </c>
      <c r="C28" s="82" t="s">
        <v>24</v>
      </c>
      <c r="D28" s="35" t="s">
        <v>158</v>
      </c>
      <c r="E28" s="83">
        <v>2135.1999999999998</v>
      </c>
      <c r="F28" s="84">
        <f>SUM(E28*12)</f>
        <v>25622.399999999998</v>
      </c>
      <c r="G28" s="84">
        <v>3.58</v>
      </c>
      <c r="H28" s="85">
        <f t="shared" ref="H28" si="1">SUM(F28*G28/1000)</f>
        <v>91.728191999999993</v>
      </c>
      <c r="I28" s="13">
        <f>F28/12*G28</f>
        <v>7644.0159999999996</v>
      </c>
      <c r="J28" s="24"/>
    </row>
    <row r="29" spans="1:13" ht="15.75" customHeight="1">
      <c r="A29" s="196" t="s">
        <v>160</v>
      </c>
      <c r="B29" s="197"/>
      <c r="C29" s="197"/>
      <c r="D29" s="197"/>
      <c r="E29" s="197"/>
      <c r="F29" s="197"/>
      <c r="G29" s="197"/>
      <c r="H29" s="197"/>
      <c r="I29" s="198"/>
      <c r="J29" s="23"/>
      <c r="K29" s="8"/>
      <c r="L29" s="8"/>
      <c r="M29" s="8"/>
    </row>
    <row r="30" spans="1:13" ht="15.75" hidden="1" customHeight="1">
      <c r="A30" s="30"/>
      <c r="B30" s="92" t="s">
        <v>27</v>
      </c>
      <c r="C30" s="82"/>
      <c r="D30" s="81"/>
      <c r="E30" s="83"/>
      <c r="F30" s="84"/>
      <c r="G30" s="84"/>
      <c r="H30" s="85"/>
      <c r="I30" s="13"/>
      <c r="J30" s="23"/>
      <c r="K30" s="8"/>
      <c r="L30" s="8"/>
      <c r="M30" s="8"/>
    </row>
    <row r="31" spans="1:13" ht="15.75" hidden="1" customHeight="1">
      <c r="A31" s="30">
        <v>7</v>
      </c>
      <c r="B31" s="81" t="s">
        <v>102</v>
      </c>
      <c r="C31" s="46" t="s">
        <v>85</v>
      </c>
      <c r="D31" s="35" t="s">
        <v>140</v>
      </c>
      <c r="E31" s="34">
        <v>331.9</v>
      </c>
      <c r="F31" s="34">
        <f>SUM(E31*52/1000)</f>
        <v>17.258800000000001</v>
      </c>
      <c r="G31" s="34">
        <v>204.44</v>
      </c>
      <c r="H31" s="101">
        <f t="shared" ref="H31:H37" si="2">SUM(F31*G31/1000)</f>
        <v>3.528389072</v>
      </c>
      <c r="I31" s="13">
        <f t="shared" ref="I31:I35" si="3">F31/6*G31</f>
        <v>588.06484533333344</v>
      </c>
      <c r="J31" s="23"/>
      <c r="K31" s="8"/>
      <c r="L31" s="8"/>
      <c r="M31" s="8"/>
    </row>
    <row r="32" spans="1:13" ht="31.5" hidden="1" customHeight="1">
      <c r="A32" s="30">
        <v>8</v>
      </c>
      <c r="B32" s="81" t="s">
        <v>101</v>
      </c>
      <c r="C32" s="46" t="s">
        <v>85</v>
      </c>
      <c r="D32" s="35" t="s">
        <v>141</v>
      </c>
      <c r="E32" s="34">
        <v>108.9</v>
      </c>
      <c r="F32" s="34">
        <f>SUM(E32*78/1000)</f>
        <v>8.4942000000000011</v>
      </c>
      <c r="G32" s="34">
        <v>339.21</v>
      </c>
      <c r="H32" s="101">
        <f t="shared" si="2"/>
        <v>2.8813175820000003</v>
      </c>
      <c r="I32" s="13">
        <f t="shared" si="3"/>
        <v>480.21959700000002</v>
      </c>
      <c r="J32" s="23"/>
      <c r="K32" s="8"/>
      <c r="L32" s="8"/>
      <c r="M32" s="8"/>
    </row>
    <row r="33" spans="1:14" ht="15.75" hidden="1" customHeight="1">
      <c r="A33" s="30"/>
      <c r="B33" s="81" t="s">
        <v>26</v>
      </c>
      <c r="C33" s="46" t="s">
        <v>85</v>
      </c>
      <c r="D33" s="35" t="s">
        <v>53</v>
      </c>
      <c r="E33" s="34">
        <v>331.9</v>
      </c>
      <c r="F33" s="34">
        <f>SUM(E33/1000)</f>
        <v>0.33189999999999997</v>
      </c>
      <c r="G33" s="34">
        <v>3961.23</v>
      </c>
      <c r="H33" s="101">
        <f t="shared" si="2"/>
        <v>1.3147322369999999</v>
      </c>
      <c r="I33" s="13">
        <f>F33*G33</f>
        <v>1314.7322369999999</v>
      </c>
      <c r="J33" s="23"/>
      <c r="K33" s="8"/>
      <c r="L33" s="8"/>
      <c r="M33" s="8"/>
    </row>
    <row r="34" spans="1:14" ht="15.75" hidden="1" customHeight="1">
      <c r="A34" s="30">
        <v>9</v>
      </c>
      <c r="B34" s="81" t="s">
        <v>128</v>
      </c>
      <c r="C34" s="46" t="s">
        <v>40</v>
      </c>
      <c r="D34" s="35" t="s">
        <v>63</v>
      </c>
      <c r="E34" s="34">
        <v>2</v>
      </c>
      <c r="F34" s="34">
        <v>3.1</v>
      </c>
      <c r="G34" s="34">
        <v>1707.63</v>
      </c>
      <c r="H34" s="101">
        <f t="shared" si="2"/>
        <v>5.2936529999999999</v>
      </c>
      <c r="I34" s="13">
        <f t="shared" si="3"/>
        <v>882.27550000000019</v>
      </c>
      <c r="J34" s="23"/>
      <c r="K34" s="8"/>
    </row>
    <row r="35" spans="1:14" ht="15.75" hidden="1" customHeight="1">
      <c r="A35" s="30">
        <v>10</v>
      </c>
      <c r="B35" s="81" t="s">
        <v>100</v>
      </c>
      <c r="C35" s="46" t="s">
        <v>30</v>
      </c>
      <c r="D35" s="35" t="s">
        <v>63</v>
      </c>
      <c r="E35" s="104">
        <f>1/3</f>
        <v>0.33333333333333331</v>
      </c>
      <c r="F35" s="34">
        <f>155/3</f>
        <v>51.666666666666664</v>
      </c>
      <c r="G35" s="34">
        <v>74.349999999999994</v>
      </c>
      <c r="H35" s="101">
        <f t="shared" si="2"/>
        <v>3.841416666666666</v>
      </c>
      <c r="I35" s="13">
        <f t="shared" si="3"/>
        <v>640.23611111111109</v>
      </c>
      <c r="J35" s="24"/>
    </row>
    <row r="36" spans="1:14" ht="15.75" hidden="1" customHeight="1">
      <c r="A36" s="30"/>
      <c r="B36" s="35" t="s">
        <v>64</v>
      </c>
      <c r="C36" s="46" t="s">
        <v>32</v>
      </c>
      <c r="D36" s="35" t="s">
        <v>66</v>
      </c>
      <c r="E36" s="100"/>
      <c r="F36" s="34">
        <v>2</v>
      </c>
      <c r="G36" s="34">
        <v>250.92</v>
      </c>
      <c r="H36" s="101">
        <f t="shared" si="2"/>
        <v>0.50183999999999995</v>
      </c>
      <c r="I36" s="13">
        <v>0</v>
      </c>
      <c r="J36" s="24"/>
    </row>
    <row r="37" spans="1:14" ht="15.75" hidden="1" customHeight="1">
      <c r="A37" s="30"/>
      <c r="B37" s="35" t="s">
        <v>65</v>
      </c>
      <c r="C37" s="46" t="s">
        <v>31</v>
      </c>
      <c r="D37" s="35" t="s">
        <v>66</v>
      </c>
      <c r="E37" s="100"/>
      <c r="F37" s="34">
        <v>1</v>
      </c>
      <c r="G37" s="34">
        <v>1490.31</v>
      </c>
      <c r="H37" s="101">
        <f t="shared" si="2"/>
        <v>1.49031</v>
      </c>
      <c r="I37" s="13">
        <v>0</v>
      </c>
      <c r="J37" s="24"/>
    </row>
    <row r="38" spans="1:14" ht="15.75" customHeight="1">
      <c r="A38" s="30"/>
      <c r="B38" s="92" t="s">
        <v>5</v>
      </c>
      <c r="C38" s="82"/>
      <c r="D38" s="81"/>
      <c r="E38" s="83"/>
      <c r="F38" s="84"/>
      <c r="G38" s="84"/>
      <c r="H38" s="85" t="s">
        <v>113</v>
      </c>
      <c r="I38" s="13"/>
      <c r="J38" s="24"/>
    </row>
    <row r="39" spans="1:14" ht="15.75" customHeight="1">
      <c r="A39" s="30">
        <v>6</v>
      </c>
      <c r="B39" s="36" t="s">
        <v>25</v>
      </c>
      <c r="C39" s="46" t="s">
        <v>31</v>
      </c>
      <c r="D39" s="35"/>
      <c r="E39" s="100"/>
      <c r="F39" s="34">
        <v>4</v>
      </c>
      <c r="G39" s="34">
        <v>2003</v>
      </c>
      <c r="H39" s="101">
        <f t="shared" ref="H39" si="4">SUM(F39*G39/1000)</f>
        <v>8.0120000000000005</v>
      </c>
      <c r="I39" s="13">
        <f>G39*1.1</f>
        <v>2203.3000000000002</v>
      </c>
      <c r="J39" s="24"/>
      <c r="L39" s="19"/>
      <c r="M39" s="20"/>
      <c r="N39" s="21"/>
    </row>
    <row r="40" spans="1:14" ht="15.75" customHeight="1">
      <c r="A40" s="30">
        <v>7</v>
      </c>
      <c r="B40" s="36" t="s">
        <v>142</v>
      </c>
      <c r="C40" s="55" t="s">
        <v>28</v>
      </c>
      <c r="D40" s="35" t="s">
        <v>203</v>
      </c>
      <c r="E40" s="100">
        <v>108.9</v>
      </c>
      <c r="F40" s="37">
        <f>E40*30/1000</f>
        <v>3.2669999999999999</v>
      </c>
      <c r="G40" s="34">
        <v>2757.78</v>
      </c>
      <c r="H40" s="101">
        <f t="shared" ref="H40:H45" si="5">SUM(F40*G40/1000)</f>
        <v>9.0096672600000005</v>
      </c>
      <c r="I40" s="13">
        <f t="shared" ref="I40:I43" si="6">F40/6*G40</f>
        <v>1501.61121</v>
      </c>
      <c r="J40" s="24"/>
      <c r="L40" s="19"/>
      <c r="M40" s="20"/>
      <c r="N40" s="21"/>
    </row>
    <row r="41" spans="1:14" ht="15.75" customHeight="1">
      <c r="A41" s="30">
        <v>8</v>
      </c>
      <c r="B41" s="35" t="s">
        <v>67</v>
      </c>
      <c r="C41" s="46" t="s">
        <v>28</v>
      </c>
      <c r="D41" s="35" t="s">
        <v>204</v>
      </c>
      <c r="E41" s="34">
        <v>108.9</v>
      </c>
      <c r="F41" s="37">
        <f>SUM(E41*155/1000)</f>
        <v>16.8795</v>
      </c>
      <c r="G41" s="34">
        <v>460.02</v>
      </c>
      <c r="H41" s="101">
        <f t="shared" si="5"/>
        <v>7.76490759</v>
      </c>
      <c r="I41" s="13">
        <f t="shared" si="6"/>
        <v>1294.151265</v>
      </c>
      <c r="J41" s="24"/>
      <c r="L41" s="19"/>
      <c r="M41" s="20"/>
      <c r="N41" s="21"/>
    </row>
    <row r="42" spans="1:14" ht="15" customHeight="1">
      <c r="A42" s="30">
        <v>9</v>
      </c>
      <c r="B42" s="35" t="s">
        <v>143</v>
      </c>
      <c r="C42" s="46" t="s">
        <v>144</v>
      </c>
      <c r="D42" s="35" t="s">
        <v>250</v>
      </c>
      <c r="E42" s="100"/>
      <c r="F42" s="37">
        <v>39</v>
      </c>
      <c r="G42" s="34">
        <v>314</v>
      </c>
      <c r="H42" s="101">
        <f t="shared" si="5"/>
        <v>12.246</v>
      </c>
      <c r="I42" s="13">
        <f>G42*104</f>
        <v>32656</v>
      </c>
      <c r="J42" s="24"/>
      <c r="L42" s="19"/>
      <c r="M42" s="20"/>
      <c r="N42" s="21"/>
    </row>
    <row r="43" spans="1:14" ht="47.25" customHeight="1">
      <c r="A43" s="30">
        <v>10</v>
      </c>
      <c r="B43" s="35" t="s">
        <v>79</v>
      </c>
      <c r="C43" s="46" t="s">
        <v>85</v>
      </c>
      <c r="D43" s="35" t="s">
        <v>209</v>
      </c>
      <c r="E43" s="34">
        <v>40</v>
      </c>
      <c r="F43" s="37">
        <f>SUM(E43*35/1000)</f>
        <v>1.4</v>
      </c>
      <c r="G43" s="34">
        <v>7611.16</v>
      </c>
      <c r="H43" s="101">
        <f t="shared" si="5"/>
        <v>10.655624</v>
      </c>
      <c r="I43" s="13">
        <f t="shared" si="6"/>
        <v>1775.9373333333331</v>
      </c>
      <c r="J43" s="24"/>
      <c r="L43" s="19"/>
      <c r="M43" s="20"/>
      <c r="N43" s="21"/>
    </row>
    <row r="44" spans="1:14" ht="15.75" customHeight="1">
      <c r="A44" s="30">
        <v>11</v>
      </c>
      <c r="B44" s="35" t="s">
        <v>116</v>
      </c>
      <c r="C44" s="46" t="s">
        <v>85</v>
      </c>
      <c r="D44" s="35" t="s">
        <v>205</v>
      </c>
      <c r="E44" s="34">
        <v>108.9</v>
      </c>
      <c r="F44" s="37">
        <f>SUM(E44*45/1000)</f>
        <v>4.9005000000000001</v>
      </c>
      <c r="G44" s="34">
        <v>562.25</v>
      </c>
      <c r="H44" s="101">
        <f t="shared" si="5"/>
        <v>2.7553061250000002</v>
      </c>
      <c r="I44" s="13">
        <f>F44/7.5*G44</f>
        <v>367.37414999999999</v>
      </c>
      <c r="J44" s="24"/>
      <c r="L44" s="19"/>
      <c r="M44" s="20"/>
      <c r="N44" s="21"/>
    </row>
    <row r="45" spans="1:14" ht="15.75" customHeight="1">
      <c r="A45" s="30">
        <v>12</v>
      </c>
      <c r="B45" s="36" t="s">
        <v>69</v>
      </c>
      <c r="C45" s="55" t="s">
        <v>32</v>
      </c>
      <c r="D45" s="36"/>
      <c r="E45" s="103"/>
      <c r="F45" s="37">
        <v>0.5</v>
      </c>
      <c r="G45" s="37">
        <v>974.83</v>
      </c>
      <c r="H45" s="101">
        <f t="shared" si="5"/>
        <v>0.48741500000000004</v>
      </c>
      <c r="I45" s="13">
        <f>F45/7.5*G45</f>
        <v>64.988666666666674</v>
      </c>
      <c r="J45" s="24"/>
      <c r="L45" s="19"/>
      <c r="M45" s="20"/>
      <c r="N45" s="21"/>
    </row>
    <row r="46" spans="1:14" ht="15.75" customHeight="1">
      <c r="A46" s="196" t="s">
        <v>123</v>
      </c>
      <c r="B46" s="197"/>
      <c r="C46" s="197"/>
      <c r="D46" s="197"/>
      <c r="E46" s="197"/>
      <c r="F46" s="197"/>
      <c r="G46" s="197"/>
      <c r="H46" s="197"/>
      <c r="I46" s="198"/>
      <c r="J46" s="24"/>
      <c r="L46" s="19"/>
      <c r="M46" s="20"/>
      <c r="N46" s="21"/>
    </row>
    <row r="47" spans="1:14" ht="15.75" hidden="1" customHeight="1">
      <c r="A47" s="30">
        <v>12</v>
      </c>
      <c r="B47" s="35" t="s">
        <v>103</v>
      </c>
      <c r="C47" s="46" t="s">
        <v>85</v>
      </c>
      <c r="D47" s="35" t="s">
        <v>42</v>
      </c>
      <c r="E47" s="100">
        <v>838.88</v>
      </c>
      <c r="F47" s="34">
        <f>SUM(E47*2/1000)</f>
        <v>1.6777599999999999</v>
      </c>
      <c r="G47" s="39">
        <v>1062</v>
      </c>
      <c r="H47" s="101">
        <f t="shared" ref="H47:H56" si="7">SUM(F47*G47/1000)</f>
        <v>1.7817811199999998</v>
      </c>
      <c r="I47" s="13">
        <f t="shared" ref="I47:I50" si="8">F47/2*G47</f>
        <v>890.89055999999994</v>
      </c>
      <c r="J47" s="24"/>
      <c r="L47" s="19"/>
      <c r="M47" s="20"/>
      <c r="N47" s="21"/>
    </row>
    <row r="48" spans="1:14" ht="15.75" hidden="1" customHeight="1">
      <c r="A48" s="30">
        <v>13</v>
      </c>
      <c r="B48" s="35" t="s">
        <v>35</v>
      </c>
      <c r="C48" s="46" t="s">
        <v>85</v>
      </c>
      <c r="D48" s="35" t="s">
        <v>42</v>
      </c>
      <c r="E48" s="100">
        <v>26</v>
      </c>
      <c r="F48" s="34">
        <f>E48*2/1000</f>
        <v>5.1999999999999998E-2</v>
      </c>
      <c r="G48" s="39">
        <v>759.98</v>
      </c>
      <c r="H48" s="101">
        <f t="shared" si="7"/>
        <v>3.9518959999999999E-2</v>
      </c>
      <c r="I48" s="13">
        <f t="shared" si="8"/>
        <v>19.75948</v>
      </c>
      <c r="J48" s="24"/>
      <c r="L48" s="19"/>
      <c r="M48" s="20"/>
      <c r="N48" s="21"/>
    </row>
    <row r="49" spans="1:14" ht="15.75" hidden="1" customHeight="1">
      <c r="A49" s="30">
        <v>14</v>
      </c>
      <c r="B49" s="35" t="s">
        <v>36</v>
      </c>
      <c r="C49" s="46" t="s">
        <v>85</v>
      </c>
      <c r="D49" s="35" t="s">
        <v>42</v>
      </c>
      <c r="E49" s="100">
        <v>879</v>
      </c>
      <c r="F49" s="34">
        <f>SUM(E49*2/1000)</f>
        <v>1.758</v>
      </c>
      <c r="G49" s="39">
        <v>759.98</v>
      </c>
      <c r="H49" s="101">
        <f t="shared" si="7"/>
        <v>1.33604484</v>
      </c>
      <c r="I49" s="13">
        <f t="shared" si="8"/>
        <v>668.02242000000001</v>
      </c>
      <c r="J49" s="24"/>
      <c r="L49" s="19"/>
      <c r="M49" s="20"/>
      <c r="N49" s="21"/>
    </row>
    <row r="50" spans="1:14" ht="15.75" hidden="1" customHeight="1">
      <c r="A50" s="30">
        <v>15</v>
      </c>
      <c r="B50" s="35" t="s">
        <v>37</v>
      </c>
      <c r="C50" s="46" t="s">
        <v>85</v>
      </c>
      <c r="D50" s="35" t="s">
        <v>42</v>
      </c>
      <c r="E50" s="100">
        <v>1490.75</v>
      </c>
      <c r="F50" s="34">
        <f>SUM(E50*2/1000)</f>
        <v>2.9815</v>
      </c>
      <c r="G50" s="39">
        <v>795.82</v>
      </c>
      <c r="H50" s="101">
        <f t="shared" si="7"/>
        <v>2.3727373300000005</v>
      </c>
      <c r="I50" s="13">
        <f t="shared" si="8"/>
        <v>1186.3686650000002</v>
      </c>
      <c r="J50" s="24"/>
      <c r="L50" s="19"/>
      <c r="M50" s="20"/>
      <c r="N50" s="21"/>
    </row>
    <row r="51" spans="1:14" ht="15.75" hidden="1" customHeight="1">
      <c r="A51" s="30">
        <v>16</v>
      </c>
      <c r="B51" s="35" t="s">
        <v>33</v>
      </c>
      <c r="C51" s="46" t="s">
        <v>34</v>
      </c>
      <c r="D51" s="35" t="s">
        <v>42</v>
      </c>
      <c r="E51" s="100">
        <v>61.04</v>
      </c>
      <c r="F51" s="34">
        <f>SUM(E51*2/100)</f>
        <v>1.2207999999999999</v>
      </c>
      <c r="G51" s="39">
        <v>95.49</v>
      </c>
      <c r="H51" s="101">
        <f t="shared" si="7"/>
        <v>0.11657419199999998</v>
      </c>
      <c r="I51" s="13">
        <f>F51/2*G51</f>
        <v>58.287095999999991</v>
      </c>
      <c r="J51" s="24"/>
      <c r="L51" s="19"/>
      <c r="M51" s="20"/>
      <c r="N51" s="21"/>
    </row>
    <row r="52" spans="1:14" ht="15.75" customHeight="1">
      <c r="A52" s="30">
        <v>13</v>
      </c>
      <c r="B52" s="35" t="s">
        <v>56</v>
      </c>
      <c r="C52" s="46" t="s">
        <v>85</v>
      </c>
      <c r="D52" s="35" t="s">
        <v>185</v>
      </c>
      <c r="E52" s="100">
        <v>2135.1999999999998</v>
      </c>
      <c r="F52" s="34">
        <f>SUM(E52*5/1000)</f>
        <v>10.676</v>
      </c>
      <c r="G52" s="39">
        <v>1591.6</v>
      </c>
      <c r="H52" s="101">
        <f t="shared" si="7"/>
        <v>16.991921599999998</v>
      </c>
      <c r="I52" s="13">
        <f>F52/5*G52</f>
        <v>3398.3843200000001</v>
      </c>
      <c r="J52" s="24"/>
      <c r="L52" s="19"/>
      <c r="M52" s="20"/>
      <c r="N52" s="21"/>
    </row>
    <row r="53" spans="1:14" ht="31.5" hidden="1" customHeight="1">
      <c r="A53" s="30">
        <v>14</v>
      </c>
      <c r="B53" s="35" t="s">
        <v>86</v>
      </c>
      <c r="C53" s="46" t="s">
        <v>85</v>
      </c>
      <c r="D53" s="35" t="s">
        <v>42</v>
      </c>
      <c r="E53" s="100">
        <v>2135.1999999999998</v>
      </c>
      <c r="F53" s="34">
        <f>SUM(E53*2/1000)</f>
        <v>4.2703999999999995</v>
      </c>
      <c r="G53" s="39">
        <v>1591.6</v>
      </c>
      <c r="H53" s="101">
        <f t="shared" si="7"/>
        <v>6.796768639999998</v>
      </c>
      <c r="I53" s="13">
        <f>F53/2*G53</f>
        <v>3398.3843199999992</v>
      </c>
      <c r="J53" s="24"/>
      <c r="L53" s="19"/>
      <c r="M53" s="20"/>
      <c r="N53" s="21"/>
    </row>
    <row r="54" spans="1:14" ht="31.5" hidden="1" customHeight="1">
      <c r="A54" s="30">
        <v>15</v>
      </c>
      <c r="B54" s="35" t="s">
        <v>87</v>
      </c>
      <c r="C54" s="46" t="s">
        <v>38</v>
      </c>
      <c r="D54" s="35" t="s">
        <v>42</v>
      </c>
      <c r="E54" s="100">
        <v>10</v>
      </c>
      <c r="F54" s="34">
        <f>SUM(E54*2/100)</f>
        <v>0.2</v>
      </c>
      <c r="G54" s="39">
        <v>3581.13</v>
      </c>
      <c r="H54" s="101">
        <f t="shared" si="7"/>
        <v>0.71622600000000014</v>
      </c>
      <c r="I54" s="13">
        <f t="shared" ref="I54:I55" si="9">F54/2*G54</f>
        <v>358.11300000000006</v>
      </c>
      <c r="J54" s="24"/>
      <c r="L54" s="19"/>
      <c r="M54" s="20"/>
      <c r="N54" s="21"/>
    </row>
    <row r="55" spans="1:14" ht="15.75" hidden="1" customHeight="1">
      <c r="A55" s="30">
        <v>16</v>
      </c>
      <c r="B55" s="35" t="s">
        <v>39</v>
      </c>
      <c r="C55" s="46" t="s">
        <v>40</v>
      </c>
      <c r="D55" s="35" t="s">
        <v>42</v>
      </c>
      <c r="E55" s="100">
        <v>1</v>
      </c>
      <c r="F55" s="34">
        <v>0.02</v>
      </c>
      <c r="G55" s="39">
        <v>7412.92</v>
      </c>
      <c r="H55" s="101">
        <f t="shared" si="7"/>
        <v>0.14825839999999998</v>
      </c>
      <c r="I55" s="13">
        <f t="shared" si="9"/>
        <v>74.129199999999997</v>
      </c>
      <c r="J55" s="24"/>
      <c r="L55" s="19"/>
      <c r="M55" s="20"/>
      <c r="N55" s="21"/>
    </row>
    <row r="56" spans="1:14" ht="15.75" hidden="1" customHeight="1">
      <c r="A56" s="109">
        <v>18</v>
      </c>
      <c r="B56" s="105" t="s">
        <v>41</v>
      </c>
      <c r="C56" s="106" t="s">
        <v>104</v>
      </c>
      <c r="D56" s="105" t="s">
        <v>70</v>
      </c>
      <c r="E56" s="107">
        <v>80</v>
      </c>
      <c r="F56" s="108">
        <f>SUM(E56)*3</f>
        <v>240</v>
      </c>
      <c r="G56" s="110">
        <v>86.15</v>
      </c>
      <c r="H56" s="111">
        <f t="shared" si="7"/>
        <v>20.675999999999998</v>
      </c>
      <c r="I56" s="112">
        <f>E56*G56</f>
        <v>6892</v>
      </c>
      <c r="J56" s="24"/>
      <c r="L56" s="19"/>
      <c r="M56" s="20"/>
      <c r="N56" s="21"/>
    </row>
    <row r="57" spans="1:14" ht="15.75" customHeight="1">
      <c r="A57" s="189" t="s">
        <v>122</v>
      </c>
      <c r="B57" s="189"/>
      <c r="C57" s="189"/>
      <c r="D57" s="189"/>
      <c r="E57" s="189"/>
      <c r="F57" s="189"/>
      <c r="G57" s="189"/>
      <c r="H57" s="189"/>
      <c r="I57" s="189"/>
      <c r="J57" s="24"/>
      <c r="L57" s="19"/>
      <c r="M57" s="20"/>
      <c r="N57" s="21"/>
    </row>
    <row r="58" spans="1:14" ht="15.75" hidden="1" customHeight="1">
      <c r="A58" s="30"/>
      <c r="B58" s="99" t="s">
        <v>43</v>
      </c>
      <c r="C58" s="16"/>
      <c r="D58" s="14"/>
      <c r="E58" s="18"/>
      <c r="F58" s="13"/>
      <c r="G58" s="13"/>
      <c r="H58" s="13"/>
      <c r="I58" s="13"/>
      <c r="J58" s="24"/>
      <c r="L58" s="19"/>
      <c r="M58" s="20"/>
      <c r="N58" s="21"/>
    </row>
    <row r="59" spans="1:14" ht="31.5" hidden="1" customHeight="1">
      <c r="A59" s="30">
        <v>14</v>
      </c>
      <c r="B59" s="41" t="s">
        <v>105</v>
      </c>
      <c r="C59" s="42" t="s">
        <v>82</v>
      </c>
      <c r="D59" s="41" t="s">
        <v>106</v>
      </c>
      <c r="E59" s="17">
        <v>45.9</v>
      </c>
      <c r="F59" s="39">
        <f>SUM(E59*6/100)</f>
        <v>2.7539999999999996</v>
      </c>
      <c r="G59" s="39">
        <v>2431.1799999999998</v>
      </c>
      <c r="H59" s="39">
        <f>SUM(F59*G59/1000)</f>
        <v>6.6954697199999984</v>
      </c>
      <c r="I59" s="13">
        <f>F59/6*G59</f>
        <v>1115.9116199999996</v>
      </c>
      <c r="J59" s="24"/>
      <c r="L59" s="19"/>
    </row>
    <row r="60" spans="1:14" ht="15.75" hidden="1" customHeight="1">
      <c r="A60" s="30"/>
      <c r="B60" s="41" t="s">
        <v>145</v>
      </c>
      <c r="C60" s="42" t="s">
        <v>146</v>
      </c>
      <c r="D60" s="41" t="s">
        <v>66</v>
      </c>
      <c r="E60" s="17"/>
      <c r="F60" s="39">
        <v>2</v>
      </c>
      <c r="G60" s="39">
        <v>1582.05</v>
      </c>
      <c r="H60" s="39">
        <f>SUM(F60*G60/1000)</f>
        <v>3.1640999999999999</v>
      </c>
      <c r="I60" s="13">
        <v>0</v>
      </c>
      <c r="J60" s="24"/>
      <c r="L60" s="19"/>
    </row>
    <row r="61" spans="1:14" ht="15.75" customHeight="1">
      <c r="A61" s="30"/>
      <c r="B61" s="99" t="s">
        <v>44</v>
      </c>
      <c r="C61" s="16"/>
      <c r="D61" s="14"/>
      <c r="E61" s="18"/>
      <c r="F61" s="13"/>
      <c r="G61" s="13"/>
      <c r="H61" s="13"/>
      <c r="I61" s="13"/>
    </row>
    <row r="62" spans="1:14" ht="15.75" hidden="1" customHeight="1">
      <c r="A62" s="30"/>
      <c r="B62" s="41" t="s">
        <v>117</v>
      </c>
      <c r="C62" s="42" t="s">
        <v>82</v>
      </c>
      <c r="D62" s="41" t="s">
        <v>53</v>
      </c>
      <c r="E62" s="17">
        <v>168</v>
      </c>
      <c r="F62" s="39">
        <f>E62/100</f>
        <v>1.68</v>
      </c>
      <c r="G62" s="39">
        <v>1040.8399999999999</v>
      </c>
      <c r="H62" s="39">
        <f>F62*G62/1000</f>
        <v>1.7486111999999998</v>
      </c>
      <c r="I62" s="13">
        <v>0</v>
      </c>
    </row>
    <row r="63" spans="1:14" ht="15.75" customHeight="1">
      <c r="A63" s="30">
        <v>14</v>
      </c>
      <c r="B63" s="41" t="s">
        <v>147</v>
      </c>
      <c r="C63" s="42" t="s">
        <v>148</v>
      </c>
      <c r="D63" s="41" t="s">
        <v>185</v>
      </c>
      <c r="E63" s="17">
        <v>134.19999999999999</v>
      </c>
      <c r="F63" s="39">
        <v>1200</v>
      </c>
      <c r="G63" s="39">
        <v>1.4</v>
      </c>
      <c r="H63" s="39">
        <f>F63*G63/1000</f>
        <v>1.68</v>
      </c>
      <c r="I63" s="13">
        <f>F63/12*G63</f>
        <v>140</v>
      </c>
    </row>
    <row r="64" spans="1:14" ht="14.25" hidden="1" customHeight="1">
      <c r="A64" s="113"/>
      <c r="B64" s="114" t="s">
        <v>45</v>
      </c>
      <c r="C64" s="115"/>
      <c r="D64" s="116"/>
      <c r="E64" s="86"/>
      <c r="F64" s="117"/>
      <c r="G64" s="117"/>
      <c r="H64" s="118" t="s">
        <v>113</v>
      </c>
      <c r="I64" s="119"/>
    </row>
    <row r="65" spans="1:22" ht="16.5" hidden="1" customHeight="1">
      <c r="A65" s="30">
        <v>14</v>
      </c>
      <c r="B65" s="58" t="s">
        <v>46</v>
      </c>
      <c r="C65" s="42" t="s">
        <v>104</v>
      </c>
      <c r="D65" s="41" t="s">
        <v>66</v>
      </c>
      <c r="E65" s="17">
        <v>5</v>
      </c>
      <c r="F65" s="34">
        <f>E65</f>
        <v>5</v>
      </c>
      <c r="G65" s="39">
        <v>291.68</v>
      </c>
      <c r="H65" s="79">
        <f t="shared" ref="H65:H72" si="10">SUM(F65*G65/1000)</f>
        <v>1.4584000000000001</v>
      </c>
      <c r="I65" s="13">
        <f>G65*3</f>
        <v>875.04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9"/>
    </row>
    <row r="66" spans="1:22" ht="15" hidden="1" customHeight="1">
      <c r="A66" s="30"/>
      <c r="B66" s="58" t="s">
        <v>47</v>
      </c>
      <c r="C66" s="42" t="s">
        <v>104</v>
      </c>
      <c r="D66" s="41" t="s">
        <v>66</v>
      </c>
      <c r="E66" s="17">
        <v>5</v>
      </c>
      <c r="F66" s="34">
        <f>E66</f>
        <v>5</v>
      </c>
      <c r="G66" s="39">
        <v>100.01</v>
      </c>
      <c r="H66" s="79">
        <f t="shared" si="10"/>
        <v>0.50004999999999999</v>
      </c>
      <c r="I66" s="13">
        <v>0</v>
      </c>
      <c r="J66" s="26"/>
      <c r="K66" s="26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2" ht="15.75" hidden="1" customHeight="1">
      <c r="A67" s="30"/>
      <c r="B67" s="58" t="s">
        <v>48</v>
      </c>
      <c r="C67" s="44" t="s">
        <v>107</v>
      </c>
      <c r="D67" s="41" t="s">
        <v>53</v>
      </c>
      <c r="E67" s="100">
        <v>10348</v>
      </c>
      <c r="F67" s="40">
        <f>SUM(E67/100)</f>
        <v>103.48</v>
      </c>
      <c r="G67" s="39">
        <v>278.24</v>
      </c>
      <c r="H67" s="79">
        <f t="shared" si="10"/>
        <v>28.792275200000002</v>
      </c>
      <c r="I67" s="13">
        <v>0</v>
      </c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</row>
    <row r="68" spans="1:22" ht="21" hidden="1" customHeight="1">
      <c r="A68" s="30"/>
      <c r="B68" s="58" t="s">
        <v>49</v>
      </c>
      <c r="C68" s="42" t="s">
        <v>108</v>
      </c>
      <c r="D68" s="41" t="s">
        <v>53</v>
      </c>
      <c r="E68" s="100">
        <v>10348</v>
      </c>
      <c r="F68" s="39">
        <f>SUM(E68/1000)</f>
        <v>10.348000000000001</v>
      </c>
      <c r="G68" s="39">
        <v>216.68</v>
      </c>
      <c r="H68" s="79">
        <f t="shared" si="10"/>
        <v>2.2422046400000002</v>
      </c>
      <c r="I68" s="13">
        <v>0</v>
      </c>
      <c r="J68" s="5"/>
      <c r="K68" s="5"/>
      <c r="L68" s="5"/>
      <c r="M68" s="5"/>
      <c r="N68" s="5"/>
      <c r="O68" s="5"/>
      <c r="P68" s="5"/>
      <c r="Q68" s="5"/>
      <c r="R68" s="177"/>
      <c r="S68" s="177"/>
      <c r="T68" s="177"/>
      <c r="U68" s="177"/>
    </row>
    <row r="69" spans="1:22" ht="22.5" hidden="1" customHeight="1">
      <c r="A69" s="30"/>
      <c r="B69" s="58" t="s">
        <v>50</v>
      </c>
      <c r="C69" s="42" t="s">
        <v>75</v>
      </c>
      <c r="D69" s="41" t="s">
        <v>53</v>
      </c>
      <c r="E69" s="100">
        <v>1645</v>
      </c>
      <c r="F69" s="39">
        <f>SUM(E69/100)</f>
        <v>16.45</v>
      </c>
      <c r="G69" s="39">
        <v>2720.94</v>
      </c>
      <c r="H69" s="79">
        <f t="shared" si="10"/>
        <v>44.759462999999997</v>
      </c>
      <c r="I69" s="13">
        <v>0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2" ht="25.5" hidden="1" customHeight="1">
      <c r="A70" s="30"/>
      <c r="B70" s="53" t="s">
        <v>109</v>
      </c>
      <c r="C70" s="42" t="s">
        <v>32</v>
      </c>
      <c r="D70" s="41"/>
      <c r="E70" s="100">
        <v>9</v>
      </c>
      <c r="F70" s="39">
        <f>E70</f>
        <v>9</v>
      </c>
      <c r="G70" s="39">
        <v>42.61</v>
      </c>
      <c r="H70" s="79">
        <f t="shared" si="10"/>
        <v>0.38349</v>
      </c>
      <c r="I70" s="13">
        <v>0</v>
      </c>
    </row>
    <row r="71" spans="1:22" ht="24" hidden="1" customHeight="1">
      <c r="A71" s="30"/>
      <c r="B71" s="53" t="s">
        <v>110</v>
      </c>
      <c r="C71" s="42" t="s">
        <v>32</v>
      </c>
      <c r="D71" s="41"/>
      <c r="E71" s="100">
        <v>9</v>
      </c>
      <c r="F71" s="39">
        <f t="shared" ref="F71:F72" si="11">E71</f>
        <v>9</v>
      </c>
      <c r="G71" s="39">
        <v>46.04</v>
      </c>
      <c r="H71" s="79">
        <f t="shared" si="10"/>
        <v>0.41436000000000001</v>
      </c>
      <c r="I71" s="13">
        <v>0</v>
      </c>
    </row>
    <row r="72" spans="1:22" ht="21.75" hidden="1" customHeight="1">
      <c r="A72" s="30">
        <v>21</v>
      </c>
      <c r="B72" s="41" t="s">
        <v>57</v>
      </c>
      <c r="C72" s="42" t="s">
        <v>58</v>
      </c>
      <c r="D72" s="41" t="s">
        <v>53</v>
      </c>
      <c r="E72" s="17">
        <v>2</v>
      </c>
      <c r="F72" s="39">
        <f t="shared" si="11"/>
        <v>2</v>
      </c>
      <c r="G72" s="39">
        <v>65.42</v>
      </c>
      <c r="H72" s="79">
        <f t="shared" si="10"/>
        <v>0.13084000000000001</v>
      </c>
      <c r="I72" s="13">
        <f>F72*G72</f>
        <v>130.84</v>
      </c>
    </row>
    <row r="73" spans="1:22" ht="15.75" customHeight="1">
      <c r="A73" s="30"/>
      <c r="B73" s="99" t="s">
        <v>71</v>
      </c>
      <c r="C73" s="16"/>
      <c r="D73" s="14"/>
      <c r="E73" s="18"/>
      <c r="F73" s="13"/>
      <c r="G73" s="13"/>
      <c r="H73" s="80" t="s">
        <v>113</v>
      </c>
      <c r="I73" s="13"/>
    </row>
    <row r="74" spans="1:22" ht="15.75" hidden="1" customHeight="1">
      <c r="A74" s="30"/>
      <c r="B74" s="14" t="s">
        <v>150</v>
      </c>
      <c r="C74" s="16" t="s">
        <v>151</v>
      </c>
      <c r="D74" s="41" t="s">
        <v>66</v>
      </c>
      <c r="E74" s="18">
        <v>1</v>
      </c>
      <c r="F74" s="13">
        <f>E74</f>
        <v>1</v>
      </c>
      <c r="G74" s="13">
        <v>1029.1199999999999</v>
      </c>
      <c r="H74" s="80">
        <f t="shared" ref="H74:H75" si="12">SUM(F74*G74/1000)</f>
        <v>1.0291199999999998</v>
      </c>
      <c r="I74" s="13">
        <v>0</v>
      </c>
    </row>
    <row r="75" spans="1:22" ht="15.75" hidden="1" customHeight="1">
      <c r="A75" s="30"/>
      <c r="B75" s="14" t="s">
        <v>152</v>
      </c>
      <c r="C75" s="16" t="s">
        <v>153</v>
      </c>
      <c r="D75" s="120"/>
      <c r="E75" s="18">
        <v>1</v>
      </c>
      <c r="F75" s="13">
        <v>1</v>
      </c>
      <c r="G75" s="13">
        <v>735</v>
      </c>
      <c r="H75" s="80">
        <f t="shared" si="12"/>
        <v>0.73499999999999999</v>
      </c>
      <c r="I75" s="13">
        <v>0</v>
      </c>
    </row>
    <row r="76" spans="1:22" ht="15.75" hidden="1" customHeight="1">
      <c r="A76" s="30"/>
      <c r="B76" s="14" t="s">
        <v>72</v>
      </c>
      <c r="C76" s="16" t="s">
        <v>73</v>
      </c>
      <c r="D76" s="41" t="s">
        <v>66</v>
      </c>
      <c r="E76" s="18">
        <v>2</v>
      </c>
      <c r="F76" s="84">
        <f>SUM(E76/10)</f>
        <v>0.2</v>
      </c>
      <c r="G76" s="13">
        <v>657.87</v>
      </c>
      <c r="H76" s="80">
        <f>SUM(F76*G76/1000)</f>
        <v>0.13157400000000002</v>
      </c>
      <c r="I76" s="13">
        <v>0</v>
      </c>
    </row>
    <row r="77" spans="1:22" ht="15.75" hidden="1" customHeight="1">
      <c r="A77" s="30"/>
      <c r="B77" s="14" t="s">
        <v>154</v>
      </c>
      <c r="C77" s="16" t="s">
        <v>104</v>
      </c>
      <c r="D77" s="41" t="s">
        <v>66</v>
      </c>
      <c r="E77" s="18">
        <v>2</v>
      </c>
      <c r="F77" s="13">
        <f>E77</f>
        <v>2</v>
      </c>
      <c r="G77" s="13">
        <v>1118.72</v>
      </c>
      <c r="H77" s="80">
        <f>SUM(F77*G77/1000)</f>
        <v>2.2374399999999999</v>
      </c>
      <c r="I77" s="13">
        <v>0</v>
      </c>
    </row>
    <row r="78" spans="1:22" ht="25.5" hidden="1" customHeight="1">
      <c r="A78" s="30"/>
      <c r="B78" s="56" t="s">
        <v>155</v>
      </c>
      <c r="C78" s="57" t="s">
        <v>104</v>
      </c>
      <c r="D78" s="41" t="s">
        <v>66</v>
      </c>
      <c r="E78" s="18">
        <v>1</v>
      </c>
      <c r="F78" s="75">
        <v>1</v>
      </c>
      <c r="G78" s="13">
        <v>1605.83</v>
      </c>
      <c r="H78" s="80">
        <f>SUM(F78*G78/1000)</f>
        <v>1.6058299999999999</v>
      </c>
      <c r="I78" s="13">
        <v>0</v>
      </c>
    </row>
    <row r="79" spans="1:22" ht="31.5" customHeight="1">
      <c r="A79" s="30">
        <v>15</v>
      </c>
      <c r="B79" s="56" t="s">
        <v>156</v>
      </c>
      <c r="C79" s="57" t="s">
        <v>104</v>
      </c>
      <c r="D79" s="14" t="s">
        <v>202</v>
      </c>
      <c r="E79" s="18">
        <v>2</v>
      </c>
      <c r="F79" s="84">
        <f>E79*12</f>
        <v>24</v>
      </c>
      <c r="G79" s="13">
        <v>53.42</v>
      </c>
      <c r="H79" s="80">
        <f t="shared" ref="H79:H80" si="13">SUM(F79*G79/1000)</f>
        <v>1.2820799999999999</v>
      </c>
      <c r="I79" s="13">
        <f>G79*2</f>
        <v>106.84</v>
      </c>
    </row>
    <row r="80" spans="1:22" ht="31.5" customHeight="1">
      <c r="A80" s="30">
        <v>16</v>
      </c>
      <c r="B80" s="56" t="s">
        <v>157</v>
      </c>
      <c r="C80" s="57" t="s">
        <v>104</v>
      </c>
      <c r="D80" s="14" t="s">
        <v>202</v>
      </c>
      <c r="E80" s="18">
        <v>1</v>
      </c>
      <c r="F80" s="84">
        <f>E80*12</f>
        <v>12</v>
      </c>
      <c r="G80" s="13">
        <v>1194</v>
      </c>
      <c r="H80" s="80">
        <f t="shared" si="13"/>
        <v>14.327999999999999</v>
      </c>
      <c r="I80" s="13">
        <f>G80</f>
        <v>1194</v>
      </c>
    </row>
    <row r="81" spans="1:9" ht="15.75" hidden="1" customHeight="1">
      <c r="A81" s="30"/>
      <c r="B81" s="90" t="s">
        <v>74</v>
      </c>
      <c r="C81" s="16"/>
      <c r="D81" s="14"/>
      <c r="E81" s="18"/>
      <c r="F81" s="13"/>
      <c r="G81" s="13" t="s">
        <v>113</v>
      </c>
      <c r="H81" s="80" t="s">
        <v>113</v>
      </c>
      <c r="I81" s="13"/>
    </row>
    <row r="82" spans="1:9" ht="15.75" hidden="1" customHeight="1">
      <c r="A82" s="30"/>
      <c r="B82" s="43" t="s">
        <v>114</v>
      </c>
      <c r="C82" s="44" t="s">
        <v>75</v>
      </c>
      <c r="D82" s="58"/>
      <c r="E82" s="121"/>
      <c r="F82" s="40">
        <v>0.6</v>
      </c>
      <c r="G82" s="40">
        <v>3619.09</v>
      </c>
      <c r="H82" s="79">
        <f t="shared" ref="H82" si="14">SUM(F82*G82/1000)</f>
        <v>2.1714540000000002</v>
      </c>
      <c r="I82" s="13">
        <v>0</v>
      </c>
    </row>
    <row r="83" spans="1:9" ht="15.75" hidden="1" customHeight="1">
      <c r="A83" s="30"/>
      <c r="B83" s="93" t="s">
        <v>88</v>
      </c>
      <c r="C83" s="90"/>
      <c r="D83" s="32"/>
      <c r="E83" s="33"/>
      <c r="F83" s="87"/>
      <c r="G83" s="87"/>
      <c r="H83" s="91">
        <f>SUM(H59:H82)</f>
        <v>115.48976176000001</v>
      </c>
      <c r="I83" s="87"/>
    </row>
    <row r="84" spans="1:9" ht="15.75" hidden="1" customHeight="1">
      <c r="A84" s="109">
        <v>17</v>
      </c>
      <c r="B84" s="123" t="s">
        <v>111</v>
      </c>
      <c r="C84" s="124"/>
      <c r="D84" s="125"/>
      <c r="E84" s="122"/>
      <c r="F84" s="126">
        <v>1</v>
      </c>
      <c r="G84" s="126">
        <v>7005.5</v>
      </c>
      <c r="H84" s="127">
        <f>G84*F84/1000</f>
        <v>7.0054999999999996</v>
      </c>
      <c r="I84" s="112">
        <f>G84</f>
        <v>7005.5</v>
      </c>
    </row>
    <row r="85" spans="1:9" ht="15.75" customHeight="1">
      <c r="A85" s="189" t="s">
        <v>121</v>
      </c>
      <c r="B85" s="189"/>
      <c r="C85" s="189"/>
      <c r="D85" s="189"/>
      <c r="E85" s="189"/>
      <c r="F85" s="189"/>
      <c r="G85" s="189"/>
      <c r="H85" s="189"/>
      <c r="I85" s="189"/>
    </row>
    <row r="86" spans="1:9" ht="15.75" customHeight="1">
      <c r="A86" s="30">
        <v>17</v>
      </c>
      <c r="B86" s="41" t="s">
        <v>112</v>
      </c>
      <c r="C86" s="42" t="s">
        <v>54</v>
      </c>
      <c r="D86" s="59"/>
      <c r="E86" s="39">
        <v>2135.1999999999998</v>
      </c>
      <c r="F86" s="39">
        <f>SUM(E86*12)</f>
        <v>25622.399999999998</v>
      </c>
      <c r="G86" s="39">
        <v>3.1</v>
      </c>
      <c r="H86" s="39">
        <f>SUM(F86*G86/1000)</f>
        <v>79.42944</v>
      </c>
      <c r="I86" s="13">
        <f>F86/12*G86</f>
        <v>6619.12</v>
      </c>
    </row>
    <row r="87" spans="1:9" ht="31.5" customHeight="1">
      <c r="A87" s="30">
        <v>18</v>
      </c>
      <c r="B87" s="14" t="s">
        <v>76</v>
      </c>
      <c r="C87" s="16"/>
      <c r="D87" s="59"/>
      <c r="E87" s="83">
        <v>2135.1999999999998</v>
      </c>
      <c r="F87" s="13">
        <f>E87*12</f>
        <v>25622.399999999998</v>
      </c>
      <c r="G87" s="13">
        <v>3.5</v>
      </c>
      <c r="H87" s="80">
        <f>F87*G87/1000</f>
        <v>89.678399999999996</v>
      </c>
      <c r="I87" s="13">
        <f>F87/12*G87</f>
        <v>7473.1999999999989</v>
      </c>
    </row>
    <row r="88" spans="1:9" ht="15.75" customHeight="1">
      <c r="A88" s="30"/>
      <c r="B88" s="45" t="s">
        <v>78</v>
      </c>
      <c r="C88" s="90"/>
      <c r="D88" s="89"/>
      <c r="E88" s="87"/>
      <c r="F88" s="87"/>
      <c r="G88" s="87"/>
      <c r="H88" s="91">
        <f>H87</f>
        <v>89.678399999999996</v>
      </c>
      <c r="I88" s="87">
        <f>I87+I86+I80+I79+I63+I52+I45+I44+I43+I42+I41+I40+I39+I20+I27+I18+I17+I16</f>
        <v>66380.839898333332</v>
      </c>
    </row>
    <row r="89" spans="1:9" ht="15.75" customHeight="1">
      <c r="A89" s="178" t="s">
        <v>60</v>
      </c>
      <c r="B89" s="179"/>
      <c r="C89" s="179"/>
      <c r="D89" s="179"/>
      <c r="E89" s="179"/>
      <c r="F89" s="179"/>
      <c r="G89" s="179"/>
      <c r="H89" s="179"/>
      <c r="I89" s="180"/>
    </row>
    <row r="90" spans="1:9" ht="33.75" customHeight="1">
      <c r="A90" s="30">
        <v>19</v>
      </c>
      <c r="B90" s="134" t="s">
        <v>173</v>
      </c>
      <c r="C90" s="61" t="s">
        <v>28</v>
      </c>
      <c r="D90" s="60"/>
      <c r="E90" s="39"/>
      <c r="F90" s="135">
        <f>0.001</f>
        <v>1E-3</v>
      </c>
      <c r="G90" s="159">
        <v>19757.060000000001</v>
      </c>
      <c r="H90" s="136">
        <f t="shared" ref="H90" si="15">G90*F90/1000</f>
        <v>1.9757060000000003E-2</v>
      </c>
      <c r="I90" s="13">
        <f>G90*6*0.599/1000</f>
        <v>71.006873640000009</v>
      </c>
    </row>
    <row r="91" spans="1:9" ht="15" customHeight="1">
      <c r="A91" s="30">
        <v>20</v>
      </c>
      <c r="B91" s="134" t="s">
        <v>171</v>
      </c>
      <c r="C91" s="61" t="s">
        <v>172</v>
      </c>
      <c r="D91" s="60"/>
      <c r="E91" s="39"/>
      <c r="F91" s="39">
        <v>2</v>
      </c>
      <c r="G91" s="39">
        <v>273</v>
      </c>
      <c r="H91" s="79">
        <f t="shared" ref="H91" si="16">G91*F91/1000</f>
        <v>0.54600000000000004</v>
      </c>
      <c r="I91" s="13">
        <f>G91*4</f>
        <v>1092</v>
      </c>
    </row>
    <row r="92" spans="1:9" ht="31.5" customHeight="1">
      <c r="A92" s="30">
        <v>21</v>
      </c>
      <c r="B92" s="134" t="s">
        <v>181</v>
      </c>
      <c r="C92" s="61" t="s">
        <v>38</v>
      </c>
      <c r="D92" s="60"/>
      <c r="E92" s="39"/>
      <c r="F92" s="39"/>
      <c r="G92" s="39">
        <v>3914.31</v>
      </c>
      <c r="H92" s="79"/>
      <c r="I92" s="13">
        <f>G92*0.01</f>
        <v>39.143099999999997</v>
      </c>
    </row>
    <row r="93" spans="1:9" ht="16.5" customHeight="1">
      <c r="A93" s="30">
        <v>22</v>
      </c>
      <c r="B93" s="134" t="s">
        <v>251</v>
      </c>
      <c r="C93" s="61" t="s">
        <v>119</v>
      </c>
      <c r="D93" s="60"/>
      <c r="E93" s="39"/>
      <c r="F93" s="39"/>
      <c r="G93" s="39">
        <v>318.82</v>
      </c>
      <c r="H93" s="79"/>
      <c r="I93" s="13">
        <f>G93*1</f>
        <v>318.82</v>
      </c>
    </row>
    <row r="94" spans="1:9" ht="15.75" customHeight="1">
      <c r="A94" s="30"/>
      <c r="B94" s="50" t="s">
        <v>51</v>
      </c>
      <c r="C94" s="57"/>
      <c r="D94" s="52"/>
      <c r="E94" s="13"/>
      <c r="F94" s="13"/>
      <c r="G94" s="13"/>
      <c r="H94" s="80"/>
      <c r="I94" s="87">
        <f>SUM(I90:I93)</f>
        <v>1520.96997364</v>
      </c>
    </row>
    <row r="95" spans="1:9">
      <c r="A95" s="30"/>
      <c r="B95" s="52" t="s">
        <v>77</v>
      </c>
      <c r="C95" s="15"/>
      <c r="D95" s="15"/>
      <c r="E95" s="47"/>
      <c r="F95" s="47"/>
      <c r="G95" s="48"/>
      <c r="H95" s="48"/>
      <c r="I95" s="17">
        <v>0</v>
      </c>
    </row>
    <row r="96" spans="1:9">
      <c r="A96" s="54"/>
      <c r="B96" s="51" t="s">
        <v>139</v>
      </c>
      <c r="C96" s="38"/>
      <c r="D96" s="38"/>
      <c r="E96" s="38"/>
      <c r="F96" s="38"/>
      <c r="G96" s="38"/>
      <c r="H96" s="38"/>
      <c r="I96" s="49">
        <f>I88+I94</f>
        <v>67901.809871973339</v>
      </c>
    </row>
    <row r="97" spans="1:9" ht="15.75" customHeight="1">
      <c r="A97" s="181" t="s">
        <v>252</v>
      </c>
      <c r="B97" s="181"/>
      <c r="C97" s="181"/>
      <c r="D97" s="181"/>
      <c r="E97" s="181"/>
      <c r="F97" s="181"/>
      <c r="G97" s="181"/>
      <c r="H97" s="181"/>
      <c r="I97" s="181"/>
    </row>
    <row r="98" spans="1:9" ht="15.75" customHeight="1">
      <c r="A98" s="68"/>
      <c r="B98" s="182" t="s">
        <v>253</v>
      </c>
      <c r="C98" s="182"/>
      <c r="D98" s="182"/>
      <c r="E98" s="182"/>
      <c r="F98" s="182"/>
      <c r="G98" s="182"/>
      <c r="H98" s="78"/>
      <c r="I98" s="3"/>
    </row>
    <row r="99" spans="1:9">
      <c r="A99" s="97"/>
      <c r="B99" s="183" t="s">
        <v>6</v>
      </c>
      <c r="C99" s="183"/>
      <c r="D99" s="183"/>
      <c r="E99" s="183"/>
      <c r="F99" s="183"/>
      <c r="G99" s="183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4" t="s">
        <v>7</v>
      </c>
      <c r="B101" s="184"/>
      <c r="C101" s="184"/>
      <c r="D101" s="184"/>
      <c r="E101" s="184"/>
      <c r="F101" s="184"/>
      <c r="G101" s="184"/>
      <c r="H101" s="184"/>
      <c r="I101" s="184"/>
    </row>
    <row r="102" spans="1:9" ht="15.75" customHeight="1">
      <c r="A102" s="184" t="s">
        <v>8</v>
      </c>
      <c r="B102" s="184"/>
      <c r="C102" s="184"/>
      <c r="D102" s="184"/>
      <c r="E102" s="184"/>
      <c r="F102" s="184"/>
      <c r="G102" s="184"/>
      <c r="H102" s="184"/>
      <c r="I102" s="184"/>
    </row>
    <row r="103" spans="1:9" ht="15.75">
      <c r="A103" s="185" t="s">
        <v>61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15.75">
      <c r="A104" s="11"/>
    </row>
    <row r="105" spans="1:9" ht="15.75" customHeight="1">
      <c r="A105" s="186" t="s">
        <v>9</v>
      </c>
      <c r="B105" s="186"/>
      <c r="C105" s="186"/>
      <c r="D105" s="186"/>
      <c r="E105" s="186"/>
      <c r="F105" s="186"/>
      <c r="G105" s="186"/>
      <c r="H105" s="186"/>
      <c r="I105" s="186"/>
    </row>
    <row r="106" spans="1:9" ht="15.75" customHeight="1">
      <c r="A106" s="4"/>
    </row>
    <row r="107" spans="1:9" ht="15.75" customHeight="1">
      <c r="B107" s="94" t="s">
        <v>10</v>
      </c>
      <c r="C107" s="187" t="s">
        <v>124</v>
      </c>
      <c r="D107" s="187"/>
      <c r="E107" s="187"/>
      <c r="F107" s="76"/>
      <c r="I107" s="96"/>
    </row>
    <row r="108" spans="1:9" ht="15.75" customHeight="1">
      <c r="A108" s="97"/>
      <c r="C108" s="183" t="s">
        <v>11</v>
      </c>
      <c r="D108" s="183"/>
      <c r="E108" s="183"/>
      <c r="F108" s="25"/>
      <c r="I108" s="95" t="s">
        <v>12</v>
      </c>
    </row>
    <row r="109" spans="1:9" ht="15.75" customHeight="1">
      <c r="A109" s="26"/>
      <c r="C109" s="12"/>
      <c r="D109" s="12"/>
      <c r="G109" s="12"/>
      <c r="H109" s="12"/>
    </row>
    <row r="110" spans="1:9" ht="15.75" customHeight="1">
      <c r="B110" s="94" t="s">
        <v>13</v>
      </c>
      <c r="C110" s="188"/>
      <c r="D110" s="188"/>
      <c r="E110" s="188"/>
      <c r="F110" s="77"/>
      <c r="I110" s="96"/>
    </row>
    <row r="111" spans="1:9">
      <c r="A111" s="97"/>
      <c r="C111" s="177" t="s">
        <v>11</v>
      </c>
      <c r="D111" s="177"/>
      <c r="E111" s="177"/>
      <c r="F111" s="97"/>
      <c r="I111" s="95" t="s">
        <v>12</v>
      </c>
    </row>
    <row r="112" spans="1:9" ht="15.75">
      <c r="A112" s="4" t="s">
        <v>14</v>
      </c>
    </row>
    <row r="113" spans="1:9">
      <c r="A113" s="175" t="s">
        <v>15</v>
      </c>
      <c r="B113" s="175"/>
      <c r="C113" s="175"/>
      <c r="D113" s="175"/>
      <c r="E113" s="175"/>
      <c r="F113" s="175"/>
      <c r="G113" s="175"/>
      <c r="H113" s="175"/>
      <c r="I113" s="175"/>
    </row>
    <row r="114" spans="1:9" ht="45" customHeight="1">
      <c r="A114" s="176" t="s">
        <v>16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30" customHeight="1">
      <c r="A115" s="176" t="s">
        <v>17</v>
      </c>
      <c r="B115" s="176"/>
      <c r="C115" s="176"/>
      <c r="D115" s="176"/>
      <c r="E115" s="176"/>
      <c r="F115" s="176"/>
      <c r="G115" s="176"/>
      <c r="H115" s="176"/>
      <c r="I115" s="176"/>
    </row>
    <row r="116" spans="1:9" ht="30" customHeight="1">
      <c r="A116" s="176" t="s">
        <v>21</v>
      </c>
      <c r="B116" s="176"/>
      <c r="C116" s="176"/>
      <c r="D116" s="176"/>
      <c r="E116" s="176"/>
      <c r="F116" s="176"/>
      <c r="G116" s="176"/>
      <c r="H116" s="176"/>
      <c r="I116" s="176"/>
    </row>
    <row r="117" spans="1:9" ht="15" customHeight="1">
      <c r="A117" s="176" t="s">
        <v>20</v>
      </c>
      <c r="B117" s="176"/>
      <c r="C117" s="176"/>
      <c r="D117" s="176"/>
      <c r="E117" s="176"/>
      <c r="F117" s="176"/>
      <c r="G117" s="176"/>
      <c r="H117" s="176"/>
      <c r="I117" s="176"/>
    </row>
  </sheetData>
  <autoFilter ref="I12:I62"/>
  <mergeCells count="29">
    <mergeCell ref="A113:I113"/>
    <mergeCell ref="A114:I114"/>
    <mergeCell ref="A115:I115"/>
    <mergeCell ref="A116:I116"/>
    <mergeCell ref="A117:I117"/>
    <mergeCell ref="R68:U68"/>
    <mergeCell ref="C111:E111"/>
    <mergeCell ref="A89:I89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5:I85"/>
    <mergeCell ref="A3:I3"/>
    <mergeCell ref="A4:I4"/>
    <mergeCell ref="A5:I5"/>
    <mergeCell ref="A8:I8"/>
    <mergeCell ref="A10:I10"/>
    <mergeCell ref="A14:I14"/>
    <mergeCell ref="A15:I15"/>
    <mergeCell ref="A29:I29"/>
    <mergeCell ref="A46:I46"/>
    <mergeCell ref="A57:I5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90" t="s">
        <v>130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13" ht="15.75">
      <c r="A5" s="190" t="s">
        <v>176</v>
      </c>
      <c r="B5" s="192"/>
      <c r="C5" s="192"/>
      <c r="D5" s="192"/>
      <c r="E5" s="192"/>
      <c r="F5" s="192"/>
      <c r="G5" s="192"/>
      <c r="H5" s="192"/>
      <c r="I5" s="192"/>
      <c r="J5" s="2"/>
      <c r="K5" s="2"/>
      <c r="L5" s="2"/>
      <c r="M5" s="2"/>
    </row>
    <row r="6" spans="1:13" ht="15.75">
      <c r="A6" s="2"/>
      <c r="B6" s="129"/>
      <c r="C6" s="129"/>
      <c r="D6" s="129"/>
      <c r="E6" s="129"/>
      <c r="F6" s="129"/>
      <c r="G6" s="129"/>
      <c r="H6" s="129"/>
      <c r="I6" s="31">
        <v>43524</v>
      </c>
      <c r="J6" s="2"/>
      <c r="K6" s="2"/>
      <c r="L6" s="2"/>
      <c r="M6" s="2"/>
    </row>
    <row r="7" spans="1:13" ht="15.75">
      <c r="B7" s="133"/>
      <c r="C7" s="133"/>
      <c r="D7" s="13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89</v>
      </c>
      <c r="C19" s="46" t="s">
        <v>90</v>
      </c>
      <c r="D19" s="35" t="s">
        <v>91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93</v>
      </c>
      <c r="C21" s="46" t="s">
        <v>82</v>
      </c>
      <c r="D21" s="35" t="s">
        <v>42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94</v>
      </c>
      <c r="C22" s="46" t="s">
        <v>52</v>
      </c>
      <c r="D22" s="35" t="s">
        <v>91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95</v>
      </c>
      <c r="C23" s="46" t="s">
        <v>52</v>
      </c>
      <c r="D23" s="35" t="s">
        <v>91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96</v>
      </c>
      <c r="C24" s="46" t="s">
        <v>52</v>
      </c>
      <c r="D24" s="35" t="s">
        <v>97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98</v>
      </c>
      <c r="C25" s="46" t="s">
        <v>52</v>
      </c>
      <c r="D25" s="35" t="s">
        <v>53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99</v>
      </c>
      <c r="C26" s="46" t="s">
        <v>52</v>
      </c>
      <c r="D26" s="35" t="s">
        <v>91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196" t="s">
        <v>160</v>
      </c>
      <c r="B28" s="197"/>
      <c r="C28" s="197"/>
      <c r="D28" s="197"/>
      <c r="E28" s="197"/>
      <c r="F28" s="197"/>
      <c r="G28" s="197"/>
      <c r="H28" s="197"/>
      <c r="I28" s="198"/>
      <c r="J28" s="23"/>
      <c r="K28" s="8"/>
      <c r="L28" s="8"/>
      <c r="M28" s="8"/>
    </row>
    <row r="29" spans="1:13" ht="15.75" hidden="1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hidden="1" customHeight="1">
      <c r="A30" s="30">
        <v>7</v>
      </c>
      <c r="B30" s="81" t="s">
        <v>102</v>
      </c>
      <c r="C30" s="46" t="s">
        <v>85</v>
      </c>
      <c r="D30" s="35" t="s">
        <v>140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  <c r="J30" s="23"/>
      <c r="K30" s="8"/>
      <c r="L30" s="8"/>
      <c r="M30" s="8"/>
    </row>
    <row r="31" spans="1:13" ht="31.5" hidden="1" customHeight="1">
      <c r="A31" s="30">
        <v>8</v>
      </c>
      <c r="B31" s="81" t="s">
        <v>101</v>
      </c>
      <c r="C31" s="46" t="s">
        <v>85</v>
      </c>
      <c r="D31" s="35" t="s">
        <v>141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85</v>
      </c>
      <c r="D32" s="35" t="s">
        <v>53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hidden="1" customHeight="1">
      <c r="A33" s="30">
        <v>9</v>
      </c>
      <c r="B33" s="81" t="s">
        <v>128</v>
      </c>
      <c r="C33" s="46" t="s">
        <v>40</v>
      </c>
      <c r="D33" s="35" t="s">
        <v>63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>
        <v>10</v>
      </c>
      <c r="B34" s="81" t="s">
        <v>100</v>
      </c>
      <c r="C34" s="46" t="s">
        <v>30</v>
      </c>
      <c r="D34" s="35" t="s">
        <v>63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  <c r="J34" s="24"/>
    </row>
    <row r="35" spans="1:14" ht="15.75" hidden="1" customHeight="1">
      <c r="A35" s="30"/>
      <c r="B35" s="35" t="s">
        <v>64</v>
      </c>
      <c r="C35" s="46" t="s">
        <v>32</v>
      </c>
      <c r="D35" s="35" t="s">
        <v>66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35" t="s">
        <v>65</v>
      </c>
      <c r="C36" s="46" t="s">
        <v>31</v>
      </c>
      <c r="D36" s="35" t="s">
        <v>66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  <c r="J36" s="24"/>
    </row>
    <row r="37" spans="1:14" ht="15.75" customHeight="1">
      <c r="A37" s="30"/>
      <c r="B37" s="92" t="s">
        <v>5</v>
      </c>
      <c r="C37" s="82"/>
      <c r="D37" s="81"/>
      <c r="E37" s="83"/>
      <c r="F37" s="84"/>
      <c r="G37" s="84"/>
      <c r="H37" s="85" t="s">
        <v>113</v>
      </c>
      <c r="I37" s="13"/>
      <c r="J37" s="24"/>
    </row>
    <row r="38" spans="1:14" ht="15.75" customHeight="1">
      <c r="A38" s="30">
        <v>6</v>
      </c>
      <c r="B38" s="36" t="s">
        <v>25</v>
      </c>
      <c r="C38" s="46" t="s">
        <v>31</v>
      </c>
      <c r="D38" s="35"/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G38*0.6</f>
        <v>1201.8</v>
      </c>
      <c r="J38" s="24"/>
      <c r="L38" s="19"/>
      <c r="M38" s="20"/>
      <c r="N38" s="21"/>
    </row>
    <row r="39" spans="1:14" ht="15.75" customHeight="1">
      <c r="A39" s="30">
        <v>7</v>
      </c>
      <c r="B39" s="36" t="s">
        <v>142</v>
      </c>
      <c r="C39" s="55" t="s">
        <v>28</v>
      </c>
      <c r="D39" s="35" t="s">
        <v>203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  <c r="J39" s="24"/>
      <c r="L39" s="19"/>
      <c r="M39" s="20"/>
      <c r="N39" s="21"/>
    </row>
    <row r="40" spans="1:14" ht="15.75" customHeight="1">
      <c r="A40" s="30">
        <v>8</v>
      </c>
      <c r="B40" s="35" t="s">
        <v>67</v>
      </c>
      <c r="C40" s="46" t="s">
        <v>28</v>
      </c>
      <c r="D40" s="35" t="s">
        <v>204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  <c r="J40" s="24"/>
      <c r="L40" s="19"/>
      <c r="M40" s="20"/>
      <c r="N40" s="21"/>
    </row>
    <row r="41" spans="1:14" ht="15.75" hidden="1" customHeight="1">
      <c r="A41" s="30"/>
      <c r="B41" s="35" t="s">
        <v>143</v>
      </c>
      <c r="C41" s="46" t="s">
        <v>144</v>
      </c>
      <c r="D41" s="35" t="s">
        <v>66</v>
      </c>
      <c r="E41" s="100"/>
      <c r="F41" s="37">
        <v>39</v>
      </c>
      <c r="G41" s="34">
        <v>314</v>
      </c>
      <c r="H41" s="101">
        <f t="shared" si="4"/>
        <v>12.246</v>
      </c>
      <c r="I41" s="13"/>
      <c r="J41" s="24"/>
      <c r="L41" s="19"/>
      <c r="M41" s="20"/>
      <c r="N41" s="21"/>
    </row>
    <row r="42" spans="1:14" ht="47.25" customHeight="1">
      <c r="A42" s="30">
        <v>9</v>
      </c>
      <c r="B42" s="35" t="s">
        <v>79</v>
      </c>
      <c r="C42" s="46" t="s">
        <v>85</v>
      </c>
      <c r="D42" s="35" t="s">
        <v>209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  <c r="J42" s="24"/>
      <c r="L42" s="19"/>
      <c r="M42" s="20"/>
      <c r="N42" s="21"/>
    </row>
    <row r="43" spans="1:14" ht="15.75" customHeight="1">
      <c r="A43" s="30">
        <v>10</v>
      </c>
      <c r="B43" s="35" t="s">
        <v>116</v>
      </c>
      <c r="C43" s="46" t="s">
        <v>85</v>
      </c>
      <c r="D43" s="35" t="s">
        <v>205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F43/7.5*G43</f>
        <v>367.37414999999999</v>
      </c>
      <c r="J43" s="24"/>
      <c r="L43" s="19"/>
      <c r="M43" s="20"/>
      <c r="N43" s="21"/>
    </row>
    <row r="44" spans="1:14" ht="15.75" customHeight="1">
      <c r="A44" s="30">
        <v>11</v>
      </c>
      <c r="B44" s="36" t="s">
        <v>69</v>
      </c>
      <c r="C44" s="55" t="s">
        <v>32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F44/7.5*G44</f>
        <v>64.988666666666674</v>
      </c>
      <c r="J44" s="24"/>
      <c r="L44" s="19"/>
      <c r="M44" s="20"/>
      <c r="N44" s="21"/>
    </row>
    <row r="45" spans="1:14" ht="15.75" customHeight="1">
      <c r="A45" s="196" t="s">
        <v>123</v>
      </c>
      <c r="B45" s="197"/>
      <c r="C45" s="197"/>
      <c r="D45" s="197"/>
      <c r="E45" s="197"/>
      <c r="F45" s="197"/>
      <c r="G45" s="197"/>
      <c r="H45" s="197"/>
      <c r="I45" s="198"/>
      <c r="J45" s="24"/>
      <c r="L45" s="19"/>
      <c r="M45" s="20"/>
      <c r="N45" s="21"/>
    </row>
    <row r="46" spans="1:14" ht="15.75" hidden="1" customHeight="1">
      <c r="A46" s="30">
        <v>12</v>
      </c>
      <c r="B46" s="35" t="s">
        <v>103</v>
      </c>
      <c r="C46" s="46" t="s">
        <v>85</v>
      </c>
      <c r="D46" s="35" t="s">
        <v>42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  <c r="J46" s="24"/>
      <c r="L46" s="19"/>
      <c r="M46" s="20"/>
      <c r="N46" s="21"/>
    </row>
    <row r="47" spans="1:14" ht="15.75" hidden="1" customHeight="1">
      <c r="A47" s="30">
        <v>13</v>
      </c>
      <c r="B47" s="35" t="s">
        <v>35</v>
      </c>
      <c r="C47" s="46" t="s">
        <v>85</v>
      </c>
      <c r="D47" s="35" t="s">
        <v>42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  <c r="J47" s="24"/>
      <c r="L47" s="19"/>
      <c r="M47" s="20"/>
      <c r="N47" s="21"/>
    </row>
    <row r="48" spans="1:14" ht="15.75" hidden="1" customHeight="1">
      <c r="A48" s="30">
        <v>14</v>
      </c>
      <c r="B48" s="35" t="s">
        <v>36</v>
      </c>
      <c r="C48" s="46" t="s">
        <v>85</v>
      </c>
      <c r="D48" s="35" t="s">
        <v>42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35" t="s">
        <v>37</v>
      </c>
      <c r="C49" s="46" t="s">
        <v>85</v>
      </c>
      <c r="D49" s="35" t="s">
        <v>42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  <c r="J49" s="24"/>
      <c r="L49" s="19"/>
      <c r="M49" s="20"/>
      <c r="N49" s="21"/>
    </row>
    <row r="50" spans="1:22" ht="15.75" hidden="1" customHeight="1">
      <c r="A50" s="30">
        <v>16</v>
      </c>
      <c r="B50" s="35" t="s">
        <v>33</v>
      </c>
      <c r="C50" s="46" t="s">
        <v>34</v>
      </c>
      <c r="D50" s="35" t="s">
        <v>42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  <c r="J50" s="24"/>
      <c r="L50" s="19"/>
      <c r="M50" s="20"/>
      <c r="N50" s="21"/>
    </row>
    <row r="51" spans="1:22" ht="15.75" customHeight="1">
      <c r="A51" s="30">
        <v>12</v>
      </c>
      <c r="B51" s="35" t="s">
        <v>56</v>
      </c>
      <c r="C51" s="46" t="s">
        <v>85</v>
      </c>
      <c r="D51" s="35" t="s">
        <v>185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  <c r="J51" s="24"/>
      <c r="L51" s="19"/>
      <c r="M51" s="20"/>
      <c r="N51" s="21"/>
    </row>
    <row r="52" spans="1:22" ht="31.5" hidden="1" customHeight="1">
      <c r="A52" s="30">
        <v>14</v>
      </c>
      <c r="B52" s="35" t="s">
        <v>86</v>
      </c>
      <c r="C52" s="46" t="s">
        <v>85</v>
      </c>
      <c r="D52" s="35" t="s">
        <v>42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  <c r="J52" s="24"/>
      <c r="L52" s="19"/>
      <c r="M52" s="20"/>
      <c r="N52" s="21"/>
    </row>
    <row r="53" spans="1:22" ht="31.5" hidden="1" customHeight="1">
      <c r="A53" s="30">
        <v>15</v>
      </c>
      <c r="B53" s="35" t="s">
        <v>87</v>
      </c>
      <c r="C53" s="46" t="s">
        <v>38</v>
      </c>
      <c r="D53" s="35" t="s">
        <v>42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  <c r="J53" s="24"/>
      <c r="L53" s="19"/>
      <c r="M53" s="20"/>
      <c r="N53" s="21"/>
    </row>
    <row r="54" spans="1:22" ht="15.75" hidden="1" customHeight="1">
      <c r="A54" s="30">
        <v>16</v>
      </c>
      <c r="B54" s="35" t="s">
        <v>39</v>
      </c>
      <c r="C54" s="46" t="s">
        <v>40</v>
      </c>
      <c r="D54" s="35" t="s">
        <v>42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  <c r="J54" s="24"/>
      <c r="L54" s="19"/>
      <c r="M54" s="20"/>
      <c r="N54" s="21"/>
    </row>
    <row r="55" spans="1:22" ht="15" customHeight="1">
      <c r="A55" s="109">
        <v>13</v>
      </c>
      <c r="B55" s="105" t="s">
        <v>41</v>
      </c>
      <c r="C55" s="106" t="s">
        <v>104</v>
      </c>
      <c r="D55" s="167">
        <v>43500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  <c r="J55" s="24"/>
      <c r="L55" s="19"/>
      <c r="M55" s="20"/>
      <c r="N55" s="21"/>
    </row>
    <row r="56" spans="1:22" ht="15.75" customHeight="1">
      <c r="A56" s="189" t="s">
        <v>122</v>
      </c>
      <c r="B56" s="189"/>
      <c r="C56" s="189"/>
      <c r="D56" s="189"/>
      <c r="E56" s="189"/>
      <c r="F56" s="189"/>
      <c r="G56" s="189"/>
      <c r="H56" s="189"/>
      <c r="I56" s="189"/>
      <c r="J56" s="24"/>
      <c r="L56" s="19"/>
      <c r="M56" s="20"/>
      <c r="N56" s="21"/>
    </row>
    <row r="57" spans="1:22" ht="16.5" customHeight="1">
      <c r="A57" s="30"/>
      <c r="B57" s="130" t="s">
        <v>43</v>
      </c>
      <c r="C57" s="16"/>
      <c r="D57" s="14"/>
      <c r="E57" s="18"/>
      <c r="F57" s="13"/>
      <c r="G57" s="13"/>
      <c r="H57" s="13"/>
      <c r="I57" s="13"/>
      <c r="J57" s="24"/>
      <c r="L57" s="19"/>
      <c r="M57" s="20"/>
      <c r="N57" s="21"/>
    </row>
    <row r="58" spans="1:22" ht="38.25" customHeight="1">
      <c r="A58" s="30">
        <v>14</v>
      </c>
      <c r="B58" s="41" t="s">
        <v>105</v>
      </c>
      <c r="C58" s="42" t="s">
        <v>82</v>
      </c>
      <c r="D58" s="41" t="s">
        <v>106</v>
      </c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G58*0.23</f>
        <v>559.17139999999995</v>
      </c>
      <c r="J58" s="24"/>
      <c r="L58" s="19"/>
    </row>
    <row r="59" spans="1:22" ht="14.25" customHeight="1">
      <c r="A59" s="30">
        <v>15</v>
      </c>
      <c r="B59" s="41" t="s">
        <v>145</v>
      </c>
      <c r="C59" s="42" t="s">
        <v>146</v>
      </c>
      <c r="D59" s="41" t="s">
        <v>66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f>G59*1</f>
        <v>1582.05</v>
      </c>
      <c r="J59" s="24"/>
      <c r="L59" s="19"/>
    </row>
    <row r="60" spans="1:22" ht="15.75" customHeight="1">
      <c r="A60" s="30"/>
      <c r="B60" s="130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41" t="s">
        <v>117</v>
      </c>
      <c r="C61" s="42" t="s">
        <v>82</v>
      </c>
      <c r="D61" s="41" t="s">
        <v>53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22" ht="15.75" customHeight="1">
      <c r="A62" s="30">
        <v>16</v>
      </c>
      <c r="B62" s="41" t="s">
        <v>147</v>
      </c>
      <c r="C62" s="42" t="s">
        <v>148</v>
      </c>
      <c r="D62" s="105" t="s">
        <v>149</v>
      </c>
      <c r="E62" s="107">
        <v>100</v>
      </c>
      <c r="F62" s="101">
        <f>E62*12</f>
        <v>1200</v>
      </c>
      <c r="G62" s="108">
        <v>1.4</v>
      </c>
      <c r="H62" s="39">
        <f>F62*G62/1000</f>
        <v>1.68</v>
      </c>
      <c r="I62" s="13">
        <f>F62/12*G62</f>
        <v>140</v>
      </c>
    </row>
    <row r="63" spans="1:22" ht="15.75" hidden="1" customHeight="1">
      <c r="A63" s="113"/>
      <c r="B63" s="114" t="s">
        <v>45</v>
      </c>
      <c r="C63" s="115"/>
      <c r="D63" s="116"/>
      <c r="E63" s="86"/>
      <c r="F63" s="117"/>
      <c r="G63" s="117"/>
      <c r="H63" s="118" t="s">
        <v>113</v>
      </c>
      <c r="I63" s="119"/>
    </row>
    <row r="64" spans="1:22" ht="15.75" hidden="1" customHeight="1">
      <c r="A64" s="30">
        <v>12</v>
      </c>
      <c r="B64" s="58" t="s">
        <v>46</v>
      </c>
      <c r="C64" s="42" t="s">
        <v>104</v>
      </c>
      <c r="D64" s="41" t="s">
        <v>66</v>
      </c>
      <c r="E64" s="17">
        <v>5</v>
      </c>
      <c r="F64" s="34">
        <f>E64</f>
        <v>5</v>
      </c>
      <c r="G64" s="39">
        <v>291.68</v>
      </c>
      <c r="H64" s="79">
        <f t="shared" ref="H64:H71" si="9">SUM(F64*G64/1000)</f>
        <v>1.4584000000000001</v>
      </c>
      <c r="I64" s="13">
        <f>G64*2</f>
        <v>583.36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58" t="s">
        <v>47</v>
      </c>
      <c r="C65" s="42" t="s">
        <v>104</v>
      </c>
      <c r="D65" s="41" t="s">
        <v>66</v>
      </c>
      <c r="E65" s="17">
        <v>5</v>
      </c>
      <c r="F65" s="34">
        <f>E65</f>
        <v>5</v>
      </c>
      <c r="G65" s="39">
        <v>100.01</v>
      </c>
      <c r="H65" s="79">
        <f t="shared" si="9"/>
        <v>0.50004999999999999</v>
      </c>
      <c r="I65" s="13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/>
      <c r="B66" s="58" t="s">
        <v>48</v>
      </c>
      <c r="C66" s="44" t="s">
        <v>107</v>
      </c>
      <c r="D66" s="41" t="s">
        <v>53</v>
      </c>
      <c r="E66" s="100">
        <v>10348</v>
      </c>
      <c r="F66" s="40">
        <f>SUM(E66/100)</f>
        <v>103.48</v>
      </c>
      <c r="G66" s="39">
        <v>278.24</v>
      </c>
      <c r="H66" s="79">
        <f t="shared" si="9"/>
        <v>28.792275200000002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58" t="s">
        <v>49</v>
      </c>
      <c r="C67" s="42" t="s">
        <v>108</v>
      </c>
      <c r="D67" s="41" t="s">
        <v>53</v>
      </c>
      <c r="E67" s="100">
        <v>10348</v>
      </c>
      <c r="F67" s="39">
        <f>SUM(E67/1000)</f>
        <v>10.348000000000001</v>
      </c>
      <c r="G67" s="39">
        <v>216.68</v>
      </c>
      <c r="H67" s="79">
        <f t="shared" si="9"/>
        <v>2.2422046400000002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77"/>
      <c r="S67" s="177"/>
      <c r="T67" s="177"/>
      <c r="U67" s="177"/>
    </row>
    <row r="68" spans="1:21" ht="15.75" hidden="1" customHeight="1">
      <c r="A68" s="30"/>
      <c r="B68" s="58" t="s">
        <v>50</v>
      </c>
      <c r="C68" s="42" t="s">
        <v>75</v>
      </c>
      <c r="D68" s="41" t="s">
        <v>53</v>
      </c>
      <c r="E68" s="100">
        <v>1645</v>
      </c>
      <c r="F68" s="39">
        <f>SUM(E68/100)</f>
        <v>16.45</v>
      </c>
      <c r="G68" s="39">
        <v>2720.94</v>
      </c>
      <c r="H68" s="79">
        <f t="shared" si="9"/>
        <v>44.759462999999997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/>
      <c r="B69" s="53" t="s">
        <v>109</v>
      </c>
      <c r="C69" s="42" t="s">
        <v>32</v>
      </c>
      <c r="D69" s="41"/>
      <c r="E69" s="100">
        <v>9</v>
      </c>
      <c r="F69" s="39">
        <f>E69</f>
        <v>9</v>
      </c>
      <c r="G69" s="39">
        <v>42.61</v>
      </c>
      <c r="H69" s="79">
        <f t="shared" si="9"/>
        <v>0.38349</v>
      </c>
      <c r="I69" s="13">
        <v>0</v>
      </c>
    </row>
    <row r="70" spans="1:21" ht="15.75" hidden="1" customHeight="1">
      <c r="A70" s="30"/>
      <c r="B70" s="53" t="s">
        <v>110</v>
      </c>
      <c r="C70" s="42" t="s">
        <v>32</v>
      </c>
      <c r="D70" s="41"/>
      <c r="E70" s="100">
        <v>9</v>
      </c>
      <c r="F70" s="39">
        <f t="shared" ref="F70:F71" si="10">E70</f>
        <v>9</v>
      </c>
      <c r="G70" s="39">
        <v>46.04</v>
      </c>
      <c r="H70" s="79">
        <f t="shared" si="9"/>
        <v>0.41436000000000001</v>
      </c>
      <c r="I70" s="13">
        <v>0</v>
      </c>
    </row>
    <row r="71" spans="1:21" ht="15.75" hidden="1" customHeight="1">
      <c r="A71" s="30">
        <v>21</v>
      </c>
      <c r="B71" s="41" t="s">
        <v>57</v>
      </c>
      <c r="C71" s="42" t="s">
        <v>58</v>
      </c>
      <c r="D71" s="41" t="s">
        <v>53</v>
      </c>
      <c r="E71" s="17">
        <v>2</v>
      </c>
      <c r="F71" s="39">
        <f t="shared" si="10"/>
        <v>2</v>
      </c>
      <c r="G71" s="39">
        <v>65.42</v>
      </c>
      <c r="H71" s="79">
        <f t="shared" si="9"/>
        <v>0.13084000000000001</v>
      </c>
      <c r="I71" s="13">
        <f>F71*G71</f>
        <v>130.84</v>
      </c>
    </row>
    <row r="72" spans="1:21" ht="15.75" customHeight="1">
      <c r="A72" s="30"/>
      <c r="B72" s="130" t="s">
        <v>71</v>
      </c>
      <c r="C72" s="16"/>
      <c r="D72" s="14"/>
      <c r="E72" s="18"/>
      <c r="F72" s="13"/>
      <c r="G72" s="13"/>
      <c r="H72" s="80" t="s">
        <v>113</v>
      </c>
      <c r="I72" s="13"/>
    </row>
    <row r="73" spans="1:21" ht="15.75" hidden="1" customHeight="1">
      <c r="A73" s="30"/>
      <c r="B73" s="14" t="s">
        <v>150</v>
      </c>
      <c r="C73" s="16" t="s">
        <v>151</v>
      </c>
      <c r="D73" s="41" t="s">
        <v>66</v>
      </c>
      <c r="E73" s="18">
        <v>1</v>
      </c>
      <c r="F73" s="13">
        <f>E73</f>
        <v>1</v>
      </c>
      <c r="G73" s="13">
        <v>1029.1199999999999</v>
      </c>
      <c r="H73" s="80">
        <f t="shared" ref="H73:H74" si="11">SUM(F73*G73/1000)</f>
        <v>1.0291199999999998</v>
      </c>
      <c r="I73" s="13">
        <v>0</v>
      </c>
    </row>
    <row r="74" spans="1:21" ht="15.75" hidden="1" customHeight="1">
      <c r="A74" s="30"/>
      <c r="B74" s="14" t="s">
        <v>152</v>
      </c>
      <c r="C74" s="16" t="s">
        <v>153</v>
      </c>
      <c r="D74" s="120"/>
      <c r="E74" s="18">
        <v>1</v>
      </c>
      <c r="F74" s="13">
        <v>1</v>
      </c>
      <c r="G74" s="13">
        <v>735</v>
      </c>
      <c r="H74" s="80">
        <f t="shared" si="11"/>
        <v>0.73499999999999999</v>
      </c>
      <c r="I74" s="13">
        <v>0</v>
      </c>
    </row>
    <row r="75" spans="1:21" ht="15.75" hidden="1" customHeight="1">
      <c r="A75" s="30">
        <v>15</v>
      </c>
      <c r="B75" s="14" t="s">
        <v>72</v>
      </c>
      <c r="C75" s="16" t="s">
        <v>73</v>
      </c>
      <c r="D75" s="41" t="s">
        <v>66</v>
      </c>
      <c r="E75" s="18">
        <v>2</v>
      </c>
      <c r="F75" s="84">
        <f>SUM(E75/10)</f>
        <v>0.2</v>
      </c>
      <c r="G75" s="13">
        <v>657.87</v>
      </c>
      <c r="H75" s="80">
        <f>SUM(F75*G75/1000)</f>
        <v>0.13157400000000002</v>
      </c>
      <c r="I75" s="13">
        <f>G75*0.2</f>
        <v>131.57400000000001</v>
      </c>
    </row>
    <row r="76" spans="1:21" ht="15.75" hidden="1" customHeight="1">
      <c r="A76" s="30"/>
      <c r="B76" s="14" t="s">
        <v>154</v>
      </c>
      <c r="C76" s="16" t="s">
        <v>104</v>
      </c>
      <c r="D76" s="41" t="s">
        <v>66</v>
      </c>
      <c r="E76" s="18">
        <v>2</v>
      </c>
      <c r="F76" s="13">
        <f>E76</f>
        <v>2</v>
      </c>
      <c r="G76" s="13">
        <v>1118.72</v>
      </c>
      <c r="H76" s="80">
        <f>SUM(F76*G76/1000)</f>
        <v>2.2374399999999999</v>
      </c>
      <c r="I76" s="13">
        <v>0</v>
      </c>
    </row>
    <row r="77" spans="1:21" ht="15.75" hidden="1" customHeight="1">
      <c r="A77" s="30"/>
      <c r="B77" s="56" t="s">
        <v>155</v>
      </c>
      <c r="C77" s="57" t="s">
        <v>104</v>
      </c>
      <c r="D77" s="41" t="s">
        <v>66</v>
      </c>
      <c r="E77" s="18">
        <v>1</v>
      </c>
      <c r="F77" s="75">
        <v>1</v>
      </c>
      <c r="G77" s="13">
        <v>1605.83</v>
      </c>
      <c r="H77" s="80">
        <f>SUM(F77*G77/1000)</f>
        <v>1.6058299999999999</v>
      </c>
      <c r="I77" s="13">
        <v>0</v>
      </c>
    </row>
    <row r="78" spans="1:21" ht="31.5" customHeight="1">
      <c r="A78" s="30">
        <v>17</v>
      </c>
      <c r="B78" s="56" t="s">
        <v>156</v>
      </c>
      <c r="C78" s="57" t="s">
        <v>104</v>
      </c>
      <c r="D78" s="14" t="s">
        <v>29</v>
      </c>
      <c r="E78" s="18">
        <v>2</v>
      </c>
      <c r="F78" s="84">
        <f>E78*12</f>
        <v>24</v>
      </c>
      <c r="G78" s="13">
        <v>53.42</v>
      </c>
      <c r="H78" s="80">
        <f t="shared" ref="H78:H79" si="12">SUM(F78*G78/1000)</f>
        <v>1.2820799999999999</v>
      </c>
      <c r="I78" s="13">
        <f>G78*2</f>
        <v>106.84</v>
      </c>
    </row>
    <row r="79" spans="1:21" ht="31.5" customHeight="1">
      <c r="A79" s="30">
        <v>18</v>
      </c>
      <c r="B79" s="56" t="s">
        <v>157</v>
      </c>
      <c r="C79" s="57" t="s">
        <v>104</v>
      </c>
      <c r="D79" s="14" t="s">
        <v>29</v>
      </c>
      <c r="E79" s="18">
        <v>1</v>
      </c>
      <c r="F79" s="84">
        <f>E79*12</f>
        <v>12</v>
      </c>
      <c r="G79" s="13">
        <v>1194</v>
      </c>
      <c r="H79" s="80">
        <f t="shared" si="12"/>
        <v>14.327999999999999</v>
      </c>
      <c r="I79" s="13">
        <f>G79</f>
        <v>1194</v>
      </c>
    </row>
    <row r="80" spans="1:21" ht="15.75" hidden="1" customHeight="1">
      <c r="A80" s="30"/>
      <c r="B80" s="90" t="s">
        <v>74</v>
      </c>
      <c r="C80" s="16"/>
      <c r="D80" s="14"/>
      <c r="E80" s="18"/>
      <c r="F80" s="13"/>
      <c r="G80" s="13" t="s">
        <v>113</v>
      </c>
      <c r="H80" s="80" t="s">
        <v>113</v>
      </c>
      <c r="I80" s="13"/>
    </row>
    <row r="81" spans="1:9" ht="15.75" hidden="1" customHeight="1">
      <c r="A81" s="30"/>
      <c r="B81" s="43" t="s">
        <v>114</v>
      </c>
      <c r="C81" s="44" t="s">
        <v>75</v>
      </c>
      <c r="D81" s="58"/>
      <c r="E81" s="121"/>
      <c r="F81" s="40">
        <v>0.6</v>
      </c>
      <c r="G81" s="40">
        <v>3619.09</v>
      </c>
      <c r="H81" s="79">
        <f t="shared" ref="H81" si="13">SUM(F81*G81/1000)</f>
        <v>2.1714540000000002</v>
      </c>
      <c r="I81" s="13">
        <v>0</v>
      </c>
    </row>
    <row r="82" spans="1:9" ht="15.75" hidden="1" customHeight="1">
      <c r="A82" s="30"/>
      <c r="B82" s="93" t="s">
        <v>88</v>
      </c>
      <c r="C82" s="90"/>
      <c r="D82" s="32"/>
      <c r="E82" s="33"/>
      <c r="F82" s="87"/>
      <c r="G82" s="87"/>
      <c r="H82" s="91">
        <f>SUM(H58:H81)</f>
        <v>115.48976176000001</v>
      </c>
      <c r="I82" s="87"/>
    </row>
    <row r="83" spans="1:9" ht="15.75" hidden="1" customHeight="1">
      <c r="A83" s="109">
        <v>17</v>
      </c>
      <c r="B83" s="123" t="s">
        <v>111</v>
      </c>
      <c r="C83" s="124"/>
      <c r="D83" s="125"/>
      <c r="E83" s="122"/>
      <c r="F83" s="126">
        <v>1</v>
      </c>
      <c r="G83" s="126">
        <v>7005.5</v>
      </c>
      <c r="H83" s="127">
        <f>G83*F83/1000</f>
        <v>7.0054999999999996</v>
      </c>
      <c r="I83" s="112">
        <f>G83</f>
        <v>7005.5</v>
      </c>
    </row>
    <row r="84" spans="1:9" ht="15.75" customHeight="1">
      <c r="A84" s="189" t="s">
        <v>121</v>
      </c>
      <c r="B84" s="189"/>
      <c r="C84" s="189"/>
      <c r="D84" s="189"/>
      <c r="E84" s="189"/>
      <c r="F84" s="189"/>
      <c r="G84" s="189"/>
      <c r="H84" s="189"/>
      <c r="I84" s="189"/>
    </row>
    <row r="85" spans="1:9" ht="15.75" customHeight="1">
      <c r="A85" s="30">
        <v>19</v>
      </c>
      <c r="B85" s="41" t="s">
        <v>112</v>
      </c>
      <c r="C85" s="42" t="s">
        <v>54</v>
      </c>
      <c r="D85" s="59" t="s">
        <v>55</v>
      </c>
      <c r="E85" s="39">
        <v>2135.1999999999998</v>
      </c>
      <c r="F85" s="39">
        <f>SUM(E85*12)</f>
        <v>25622.399999999998</v>
      </c>
      <c r="G85" s="39">
        <v>3.1</v>
      </c>
      <c r="H85" s="39">
        <f>SUM(F85*G85/1000)</f>
        <v>79.42944</v>
      </c>
      <c r="I85" s="13">
        <f>F85/12*G85</f>
        <v>6619.12</v>
      </c>
    </row>
    <row r="86" spans="1:9" ht="31.5" customHeight="1">
      <c r="A86" s="30">
        <v>20</v>
      </c>
      <c r="B86" s="14" t="s">
        <v>76</v>
      </c>
      <c r="C86" s="16"/>
      <c r="D86" s="59" t="s">
        <v>55</v>
      </c>
      <c r="E86" s="83">
        <v>2135.1999999999998</v>
      </c>
      <c r="F86" s="13">
        <f>E86*12</f>
        <v>25622.399999999998</v>
      </c>
      <c r="G86" s="13">
        <v>3.5</v>
      </c>
      <c r="H86" s="80">
        <f>F86*G86/1000</f>
        <v>89.678399999999996</v>
      </c>
      <c r="I86" s="13">
        <f>F86/12*G86</f>
        <v>7473.1999999999989</v>
      </c>
    </row>
    <row r="87" spans="1:9" ht="15.75" customHeight="1">
      <c r="A87" s="30"/>
      <c r="B87" s="45" t="s">
        <v>78</v>
      </c>
      <c r="C87" s="90"/>
      <c r="D87" s="89"/>
      <c r="E87" s="87"/>
      <c r="F87" s="87"/>
      <c r="G87" s="87"/>
      <c r="H87" s="91">
        <f>H86</f>
        <v>89.678399999999996</v>
      </c>
      <c r="I87" s="87">
        <f>I86+I85+I79+I78+I62+I59+I58+I55+I51+I44+I43+I42+I40+I39+I38+I27+I20+I18+I17+I16</f>
        <v>41756.561298333341</v>
      </c>
    </row>
    <row r="88" spans="1:9" ht="15.75" customHeight="1">
      <c r="A88" s="178" t="s">
        <v>60</v>
      </c>
      <c r="B88" s="179"/>
      <c r="C88" s="179"/>
      <c r="D88" s="179"/>
      <c r="E88" s="179"/>
      <c r="F88" s="179"/>
      <c r="G88" s="179"/>
      <c r="H88" s="179"/>
      <c r="I88" s="180"/>
    </row>
    <row r="89" spans="1:9" ht="31.5" customHeight="1">
      <c r="A89" s="30">
        <v>21</v>
      </c>
      <c r="B89" s="134" t="s">
        <v>173</v>
      </c>
      <c r="C89" s="61" t="s">
        <v>28</v>
      </c>
      <c r="D89" s="60"/>
      <c r="E89" s="39"/>
      <c r="F89" s="39">
        <v>120</v>
      </c>
      <c r="G89" s="39">
        <v>19757.060000000001</v>
      </c>
      <c r="H89" s="79">
        <f>G89*F89/1000</f>
        <v>2370.8472000000002</v>
      </c>
      <c r="I89" s="13">
        <f>G89*0.599*6/1000</f>
        <v>71.006873640000009</v>
      </c>
    </row>
    <row r="90" spans="1:9" ht="17.25" customHeight="1">
      <c r="A90" s="30">
        <v>22</v>
      </c>
      <c r="B90" s="134" t="s">
        <v>177</v>
      </c>
      <c r="C90" s="61" t="s">
        <v>28</v>
      </c>
      <c r="D90" s="41"/>
      <c r="E90" s="17"/>
      <c r="F90" s="39">
        <v>1</v>
      </c>
      <c r="G90" s="39">
        <v>838.03</v>
      </c>
      <c r="H90" s="79">
        <f t="shared" ref="H90" si="14">G90*F90/1000</f>
        <v>0.83802999999999994</v>
      </c>
      <c r="I90" s="13">
        <f>G90*0.671</f>
        <v>562.31813</v>
      </c>
    </row>
    <row r="91" spans="1:9" ht="15.75" customHeight="1">
      <c r="A91" s="30"/>
      <c r="B91" s="50" t="s">
        <v>51</v>
      </c>
      <c r="C91" s="57"/>
      <c r="D91" s="52"/>
      <c r="E91" s="13"/>
      <c r="F91" s="13"/>
      <c r="G91" s="13"/>
      <c r="H91" s="80"/>
      <c r="I91" s="87">
        <f>SUM(I89:I90)</f>
        <v>633.32500363999998</v>
      </c>
    </row>
    <row r="92" spans="1:9">
      <c r="A92" s="30"/>
      <c r="B92" s="52" t="s">
        <v>77</v>
      </c>
      <c r="C92" s="15"/>
      <c r="D92" s="15"/>
      <c r="E92" s="47"/>
      <c r="F92" s="47"/>
      <c r="G92" s="48"/>
      <c r="H92" s="48"/>
      <c r="I92" s="17">
        <v>0</v>
      </c>
    </row>
    <row r="93" spans="1:9">
      <c r="A93" s="54"/>
      <c r="B93" s="51" t="s">
        <v>139</v>
      </c>
      <c r="C93" s="38"/>
      <c r="D93" s="38"/>
      <c r="E93" s="38"/>
      <c r="F93" s="38"/>
      <c r="G93" s="38"/>
      <c r="H93" s="38"/>
      <c r="I93" s="49">
        <f>I87+I91</f>
        <v>42389.88630197334</v>
      </c>
    </row>
    <row r="94" spans="1:9" ht="15.75" customHeight="1">
      <c r="A94" s="181" t="s">
        <v>178</v>
      </c>
      <c r="B94" s="181"/>
      <c r="C94" s="181"/>
      <c r="D94" s="181"/>
      <c r="E94" s="181"/>
      <c r="F94" s="181"/>
      <c r="G94" s="181"/>
      <c r="H94" s="181"/>
      <c r="I94" s="181"/>
    </row>
    <row r="95" spans="1:9" ht="15.75" customHeight="1">
      <c r="A95" s="68"/>
      <c r="B95" s="182" t="s">
        <v>179</v>
      </c>
      <c r="C95" s="182"/>
      <c r="D95" s="182"/>
      <c r="E95" s="182"/>
      <c r="F95" s="182"/>
      <c r="G95" s="182"/>
      <c r="H95" s="78"/>
      <c r="I95" s="3"/>
    </row>
    <row r="96" spans="1:9">
      <c r="A96" s="128"/>
      <c r="B96" s="183" t="s">
        <v>6</v>
      </c>
      <c r="C96" s="183"/>
      <c r="D96" s="183"/>
      <c r="E96" s="183"/>
      <c r="F96" s="183"/>
      <c r="G96" s="183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84" t="s">
        <v>7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 customHeight="1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185" t="s">
        <v>61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>
      <c r="A101" s="11"/>
    </row>
    <row r="102" spans="1:9" ht="15.75" customHeight="1">
      <c r="A102" s="186" t="s">
        <v>9</v>
      </c>
      <c r="B102" s="186"/>
      <c r="C102" s="186"/>
      <c r="D102" s="186"/>
      <c r="E102" s="186"/>
      <c r="F102" s="186"/>
      <c r="G102" s="186"/>
      <c r="H102" s="186"/>
      <c r="I102" s="186"/>
    </row>
    <row r="103" spans="1:9" ht="15.75" customHeight="1">
      <c r="A103" s="4"/>
    </row>
    <row r="104" spans="1:9" ht="15.75" customHeight="1">
      <c r="B104" s="133" t="s">
        <v>10</v>
      </c>
      <c r="C104" s="187" t="s">
        <v>124</v>
      </c>
      <c r="D104" s="187"/>
      <c r="E104" s="187"/>
      <c r="F104" s="76"/>
      <c r="I104" s="132"/>
    </row>
    <row r="105" spans="1:9" ht="15.75" customHeight="1">
      <c r="A105" s="128"/>
      <c r="C105" s="183" t="s">
        <v>11</v>
      </c>
      <c r="D105" s="183"/>
      <c r="E105" s="183"/>
      <c r="F105" s="25"/>
      <c r="I105" s="131" t="s">
        <v>12</v>
      </c>
    </row>
    <row r="106" spans="1:9" ht="15.75" customHeight="1">
      <c r="A106" s="26"/>
      <c r="C106" s="12"/>
      <c r="D106" s="12"/>
      <c r="G106" s="12"/>
      <c r="H106" s="12"/>
    </row>
    <row r="107" spans="1:9" ht="15.75" customHeight="1">
      <c r="B107" s="133" t="s">
        <v>13</v>
      </c>
      <c r="C107" s="188"/>
      <c r="D107" s="188"/>
      <c r="E107" s="188"/>
      <c r="F107" s="77"/>
      <c r="I107" s="132"/>
    </row>
    <row r="108" spans="1:9">
      <c r="A108" s="128"/>
      <c r="C108" s="177" t="s">
        <v>11</v>
      </c>
      <c r="D108" s="177"/>
      <c r="E108" s="177"/>
      <c r="F108" s="128"/>
      <c r="I108" s="131" t="s">
        <v>12</v>
      </c>
    </row>
    <row r="109" spans="1:9" ht="15.75">
      <c r="A109" s="4" t="s">
        <v>14</v>
      </c>
    </row>
    <row r="110" spans="1:9">
      <c r="A110" s="175" t="s">
        <v>15</v>
      </c>
      <c r="B110" s="175"/>
      <c r="C110" s="175"/>
      <c r="D110" s="175"/>
      <c r="E110" s="175"/>
      <c r="F110" s="175"/>
      <c r="G110" s="175"/>
      <c r="H110" s="175"/>
      <c r="I110" s="175"/>
    </row>
    <row r="111" spans="1:9" ht="45" customHeight="1">
      <c r="A111" s="176" t="s">
        <v>16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30" customHeight="1">
      <c r="A112" s="176" t="s">
        <v>17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30" customHeight="1">
      <c r="A113" s="176" t="s">
        <v>21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15" customHeight="1">
      <c r="A114" s="176" t="s">
        <v>20</v>
      </c>
      <c r="B114" s="176"/>
      <c r="C114" s="176"/>
      <c r="D114" s="176"/>
      <c r="E114" s="176"/>
      <c r="F114" s="176"/>
      <c r="G114" s="176"/>
      <c r="H114" s="176"/>
      <c r="I114" s="176"/>
    </row>
  </sheetData>
  <autoFilter ref="I12:I61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67:U67"/>
    <mergeCell ref="C108:E108"/>
    <mergeCell ref="A88:I8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4:I84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6"/>
  <sheetViews>
    <sheetView workbookViewId="0">
      <selection activeCell="A100" sqref="A100:I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90" t="s">
        <v>131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13" ht="15.75">
      <c r="A5" s="190" t="s">
        <v>180</v>
      </c>
      <c r="B5" s="192"/>
      <c r="C5" s="192"/>
      <c r="D5" s="192"/>
      <c r="E5" s="192"/>
      <c r="F5" s="192"/>
      <c r="G5" s="192"/>
      <c r="H5" s="192"/>
      <c r="I5" s="192"/>
      <c r="J5" s="2"/>
      <c r="K5" s="2"/>
      <c r="L5" s="2"/>
      <c r="M5" s="2"/>
    </row>
    <row r="6" spans="1:13" ht="15.75">
      <c r="A6" s="2"/>
      <c r="B6" s="129"/>
      <c r="C6" s="129"/>
      <c r="D6" s="129"/>
      <c r="E6" s="129"/>
      <c r="F6" s="129"/>
      <c r="G6" s="129"/>
      <c r="H6" s="129"/>
      <c r="I6" s="31">
        <v>43555</v>
      </c>
      <c r="J6" s="2"/>
      <c r="K6" s="2"/>
      <c r="L6" s="2"/>
      <c r="M6" s="2"/>
    </row>
    <row r="7" spans="1:13" ht="15.75">
      <c r="B7" s="133"/>
      <c r="C7" s="133"/>
      <c r="D7" s="133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89</v>
      </c>
      <c r="C19" s="46" t="s">
        <v>90</v>
      </c>
      <c r="D19" s="35" t="s">
        <v>91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93</v>
      </c>
      <c r="C21" s="46" t="s">
        <v>82</v>
      </c>
      <c r="D21" s="35" t="s">
        <v>42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94</v>
      </c>
      <c r="C22" s="46" t="s">
        <v>52</v>
      </c>
      <c r="D22" s="35" t="s">
        <v>91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95</v>
      </c>
      <c r="C23" s="46" t="s">
        <v>52</v>
      </c>
      <c r="D23" s="35" t="s">
        <v>91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96</v>
      </c>
      <c r="C24" s="46" t="s">
        <v>52</v>
      </c>
      <c r="D24" s="35" t="s">
        <v>97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98</v>
      </c>
      <c r="C25" s="46" t="s">
        <v>52</v>
      </c>
      <c r="D25" s="35" t="s">
        <v>53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99</v>
      </c>
      <c r="C26" s="46" t="s">
        <v>52</v>
      </c>
      <c r="D26" s="35" t="s">
        <v>91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196" t="s">
        <v>160</v>
      </c>
      <c r="B28" s="197"/>
      <c r="C28" s="197"/>
      <c r="D28" s="197"/>
      <c r="E28" s="197"/>
      <c r="F28" s="197"/>
      <c r="G28" s="197"/>
      <c r="H28" s="197"/>
      <c r="I28" s="198"/>
      <c r="J28" s="23"/>
      <c r="K28" s="8"/>
      <c r="L28" s="8"/>
      <c r="M28" s="8"/>
    </row>
    <row r="29" spans="1:13" ht="15.75" hidden="1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hidden="1" customHeight="1">
      <c r="A30" s="30">
        <v>7</v>
      </c>
      <c r="B30" s="81" t="s">
        <v>102</v>
      </c>
      <c r="C30" s="46" t="s">
        <v>85</v>
      </c>
      <c r="D30" s="35" t="s">
        <v>140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  <c r="J30" s="23"/>
      <c r="K30" s="8"/>
      <c r="L30" s="8"/>
      <c r="M30" s="8"/>
    </row>
    <row r="31" spans="1:13" ht="31.5" hidden="1" customHeight="1">
      <c r="A31" s="30">
        <v>8</v>
      </c>
      <c r="B31" s="81" t="s">
        <v>101</v>
      </c>
      <c r="C31" s="46" t="s">
        <v>85</v>
      </c>
      <c r="D31" s="35" t="s">
        <v>141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85</v>
      </c>
      <c r="D32" s="35" t="s">
        <v>53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hidden="1" customHeight="1">
      <c r="A33" s="30">
        <v>9</v>
      </c>
      <c r="B33" s="81" t="s">
        <v>128</v>
      </c>
      <c r="C33" s="46" t="s">
        <v>40</v>
      </c>
      <c r="D33" s="35" t="s">
        <v>63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>
        <v>10</v>
      </c>
      <c r="B34" s="81" t="s">
        <v>100</v>
      </c>
      <c r="C34" s="46" t="s">
        <v>30</v>
      </c>
      <c r="D34" s="35" t="s">
        <v>63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  <c r="J34" s="24"/>
    </row>
    <row r="35" spans="1:14" ht="15.75" hidden="1" customHeight="1">
      <c r="A35" s="30"/>
      <c r="B35" s="35" t="s">
        <v>64</v>
      </c>
      <c r="C35" s="46" t="s">
        <v>32</v>
      </c>
      <c r="D35" s="35" t="s">
        <v>66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  <c r="J35" s="24"/>
    </row>
    <row r="36" spans="1:14" ht="15.75" hidden="1" customHeight="1">
      <c r="A36" s="30"/>
      <c r="B36" s="35" t="s">
        <v>65</v>
      </c>
      <c r="C36" s="46" t="s">
        <v>31</v>
      </c>
      <c r="D36" s="35" t="s">
        <v>66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  <c r="J36" s="24"/>
    </row>
    <row r="37" spans="1:14" ht="15.75" customHeight="1">
      <c r="A37" s="30"/>
      <c r="B37" s="92" t="s">
        <v>5</v>
      </c>
      <c r="C37" s="82"/>
      <c r="D37" s="81"/>
      <c r="E37" s="83"/>
      <c r="F37" s="84"/>
      <c r="G37" s="84"/>
      <c r="H37" s="85" t="s">
        <v>113</v>
      </c>
      <c r="I37" s="13"/>
      <c r="J37" s="24"/>
    </row>
    <row r="38" spans="1:14" ht="15.75" customHeight="1">
      <c r="A38" s="30">
        <v>6</v>
      </c>
      <c r="B38" s="36" t="s">
        <v>25</v>
      </c>
      <c r="C38" s="46" t="s">
        <v>31</v>
      </c>
      <c r="D38" s="35"/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G38*0.4</f>
        <v>801.2</v>
      </c>
      <c r="J38" s="24"/>
      <c r="L38" s="19"/>
      <c r="M38" s="20"/>
      <c r="N38" s="21"/>
    </row>
    <row r="39" spans="1:14" ht="15.75" customHeight="1">
      <c r="A39" s="30">
        <v>7</v>
      </c>
      <c r="B39" s="36" t="s">
        <v>142</v>
      </c>
      <c r="C39" s="55" t="s">
        <v>28</v>
      </c>
      <c r="D39" s="35" t="s">
        <v>203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  <c r="J39" s="24"/>
      <c r="L39" s="19"/>
      <c r="M39" s="20"/>
      <c r="N39" s="21"/>
    </row>
    <row r="40" spans="1:14" ht="15.75" customHeight="1">
      <c r="A40" s="30">
        <v>8</v>
      </c>
      <c r="B40" s="35" t="s">
        <v>67</v>
      </c>
      <c r="C40" s="46" t="s">
        <v>28</v>
      </c>
      <c r="D40" s="35" t="s">
        <v>204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  <c r="J40" s="24"/>
      <c r="L40" s="19"/>
      <c r="M40" s="20"/>
      <c r="N40" s="21"/>
    </row>
    <row r="41" spans="1:14" ht="15.75" hidden="1" customHeight="1">
      <c r="A41" s="30"/>
      <c r="B41" s="35" t="s">
        <v>143</v>
      </c>
      <c r="C41" s="46" t="s">
        <v>144</v>
      </c>
      <c r="D41" s="35" t="s">
        <v>66</v>
      </c>
      <c r="E41" s="100"/>
      <c r="F41" s="37">
        <v>39</v>
      </c>
      <c r="G41" s="34">
        <v>314</v>
      </c>
      <c r="H41" s="101">
        <f t="shared" si="4"/>
        <v>12.246</v>
      </c>
      <c r="I41" s="13"/>
      <c r="J41" s="24"/>
      <c r="L41" s="19"/>
      <c r="M41" s="20"/>
      <c r="N41" s="21"/>
    </row>
    <row r="42" spans="1:14" ht="47.25" customHeight="1">
      <c r="A42" s="30">
        <v>9</v>
      </c>
      <c r="B42" s="35" t="s">
        <v>79</v>
      </c>
      <c r="C42" s="46" t="s">
        <v>85</v>
      </c>
      <c r="D42" s="35" t="s">
        <v>209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  <c r="J42" s="24"/>
      <c r="L42" s="19"/>
      <c r="M42" s="20"/>
      <c r="N42" s="21"/>
    </row>
    <row r="43" spans="1:14" ht="15.75" customHeight="1">
      <c r="A43" s="30">
        <v>10</v>
      </c>
      <c r="B43" s="35" t="s">
        <v>116</v>
      </c>
      <c r="C43" s="46" t="s">
        <v>85</v>
      </c>
      <c r="D43" s="35" t="s">
        <v>205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(F43/7.5*1.5)*G43</f>
        <v>551.06122500000004</v>
      </c>
      <c r="J43" s="24"/>
      <c r="L43" s="19"/>
      <c r="M43" s="20"/>
      <c r="N43" s="21"/>
    </row>
    <row r="44" spans="1:14" ht="15.75" customHeight="1">
      <c r="A44" s="30">
        <v>11</v>
      </c>
      <c r="B44" s="36" t="s">
        <v>69</v>
      </c>
      <c r="C44" s="55" t="s">
        <v>32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(F44/7.5*1.5)*G44</f>
        <v>97.483000000000004</v>
      </c>
      <c r="J44" s="24"/>
      <c r="L44" s="19"/>
      <c r="M44" s="20"/>
      <c r="N44" s="21"/>
    </row>
    <row r="45" spans="1:14" ht="15.75" hidden="1" customHeight="1">
      <c r="A45" s="196" t="s">
        <v>123</v>
      </c>
      <c r="B45" s="197"/>
      <c r="C45" s="197"/>
      <c r="D45" s="197"/>
      <c r="E45" s="197"/>
      <c r="F45" s="197"/>
      <c r="G45" s="197"/>
      <c r="H45" s="197"/>
      <c r="I45" s="198"/>
      <c r="J45" s="24"/>
      <c r="L45" s="19"/>
      <c r="M45" s="20"/>
      <c r="N45" s="21"/>
    </row>
    <row r="46" spans="1:14" ht="15.75" hidden="1" customHeight="1">
      <c r="A46" s="30">
        <v>12</v>
      </c>
      <c r="B46" s="35" t="s">
        <v>103</v>
      </c>
      <c r="C46" s="46" t="s">
        <v>85</v>
      </c>
      <c r="D46" s="35" t="s">
        <v>42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  <c r="J46" s="24"/>
      <c r="L46" s="19"/>
      <c r="M46" s="20"/>
      <c r="N46" s="21"/>
    </row>
    <row r="47" spans="1:14" ht="15.75" hidden="1" customHeight="1">
      <c r="A47" s="30">
        <v>13</v>
      </c>
      <c r="B47" s="35" t="s">
        <v>35</v>
      </c>
      <c r="C47" s="46" t="s">
        <v>85</v>
      </c>
      <c r="D47" s="35" t="s">
        <v>42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  <c r="J47" s="24"/>
      <c r="L47" s="19"/>
      <c r="M47" s="20"/>
      <c r="N47" s="21"/>
    </row>
    <row r="48" spans="1:14" ht="15.75" hidden="1" customHeight="1">
      <c r="A48" s="30">
        <v>14</v>
      </c>
      <c r="B48" s="35" t="s">
        <v>36</v>
      </c>
      <c r="C48" s="46" t="s">
        <v>85</v>
      </c>
      <c r="D48" s="35" t="s">
        <v>42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  <c r="J48" s="24"/>
      <c r="L48" s="19"/>
      <c r="M48" s="20"/>
      <c r="N48" s="21"/>
    </row>
    <row r="49" spans="1:22" ht="15.75" hidden="1" customHeight="1">
      <c r="A49" s="30">
        <v>15</v>
      </c>
      <c r="B49" s="35" t="s">
        <v>37</v>
      </c>
      <c r="C49" s="46" t="s">
        <v>85</v>
      </c>
      <c r="D49" s="35" t="s">
        <v>42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  <c r="J49" s="24"/>
      <c r="L49" s="19"/>
      <c r="M49" s="20"/>
      <c r="N49" s="21"/>
    </row>
    <row r="50" spans="1:22" ht="15.75" hidden="1" customHeight="1">
      <c r="A50" s="30">
        <v>16</v>
      </c>
      <c r="B50" s="35" t="s">
        <v>33</v>
      </c>
      <c r="C50" s="46" t="s">
        <v>34</v>
      </c>
      <c r="D50" s="35" t="s">
        <v>42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  <c r="J50" s="24"/>
      <c r="L50" s="19"/>
      <c r="M50" s="20"/>
      <c r="N50" s="21"/>
    </row>
    <row r="51" spans="1:22" ht="15.75" hidden="1" customHeight="1">
      <c r="A51" s="30">
        <v>13</v>
      </c>
      <c r="B51" s="35" t="s">
        <v>56</v>
      </c>
      <c r="C51" s="46" t="s">
        <v>85</v>
      </c>
      <c r="D51" s="35" t="s">
        <v>129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  <c r="J51" s="24"/>
      <c r="L51" s="19"/>
      <c r="M51" s="20"/>
      <c r="N51" s="21"/>
    </row>
    <row r="52" spans="1:22" ht="31.5" hidden="1" customHeight="1">
      <c r="A52" s="30">
        <v>14</v>
      </c>
      <c r="B52" s="35" t="s">
        <v>86</v>
      </c>
      <c r="C52" s="46" t="s">
        <v>85</v>
      </c>
      <c r="D52" s="35" t="s">
        <v>42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  <c r="J52" s="24"/>
      <c r="L52" s="19"/>
      <c r="M52" s="20"/>
      <c r="N52" s="21"/>
    </row>
    <row r="53" spans="1:22" ht="31.5" hidden="1" customHeight="1">
      <c r="A53" s="30">
        <v>15</v>
      </c>
      <c r="B53" s="35" t="s">
        <v>87</v>
      </c>
      <c r="C53" s="46" t="s">
        <v>38</v>
      </c>
      <c r="D53" s="35" t="s">
        <v>42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  <c r="J53" s="24"/>
      <c r="L53" s="19"/>
      <c r="M53" s="20"/>
      <c r="N53" s="21"/>
    </row>
    <row r="54" spans="1:22" ht="15.75" hidden="1" customHeight="1">
      <c r="A54" s="30">
        <v>16</v>
      </c>
      <c r="B54" s="35" t="s">
        <v>39</v>
      </c>
      <c r="C54" s="46" t="s">
        <v>40</v>
      </c>
      <c r="D54" s="35" t="s">
        <v>42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  <c r="J54" s="24"/>
      <c r="L54" s="19"/>
      <c r="M54" s="20"/>
      <c r="N54" s="21"/>
    </row>
    <row r="55" spans="1:22" ht="15.75" hidden="1" customHeight="1">
      <c r="A55" s="109">
        <v>14</v>
      </c>
      <c r="B55" s="105" t="s">
        <v>41</v>
      </c>
      <c r="C55" s="106" t="s">
        <v>104</v>
      </c>
      <c r="D55" s="105" t="s">
        <v>70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  <c r="J55" s="24"/>
      <c r="L55" s="19"/>
      <c r="M55" s="20"/>
      <c r="N55" s="21"/>
    </row>
    <row r="56" spans="1:22" ht="15.75" customHeight="1">
      <c r="A56" s="189" t="s">
        <v>132</v>
      </c>
      <c r="B56" s="189"/>
      <c r="C56" s="189"/>
      <c r="D56" s="189"/>
      <c r="E56" s="189"/>
      <c r="F56" s="189"/>
      <c r="G56" s="189"/>
      <c r="H56" s="189"/>
      <c r="I56" s="189"/>
      <c r="J56" s="24"/>
      <c r="L56" s="19"/>
      <c r="M56" s="20"/>
      <c r="N56" s="21"/>
    </row>
    <row r="57" spans="1:22" ht="15.75" hidden="1" customHeight="1">
      <c r="A57" s="30"/>
      <c r="B57" s="130" t="s">
        <v>43</v>
      </c>
      <c r="C57" s="16"/>
      <c r="D57" s="14"/>
      <c r="E57" s="18"/>
      <c r="F57" s="13"/>
      <c r="G57" s="13"/>
      <c r="H57" s="13"/>
      <c r="I57" s="13"/>
      <c r="J57" s="24"/>
      <c r="L57" s="19"/>
      <c r="M57" s="20"/>
      <c r="N57" s="21"/>
    </row>
    <row r="58" spans="1:22" ht="31.5" hidden="1" customHeight="1">
      <c r="A58" s="30">
        <v>13</v>
      </c>
      <c r="B58" s="41" t="s">
        <v>105</v>
      </c>
      <c r="C58" s="42" t="s">
        <v>82</v>
      </c>
      <c r="D58" s="41" t="s">
        <v>106</v>
      </c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F58/6*G58</f>
        <v>1115.9116199999996</v>
      </c>
      <c r="J58" s="24"/>
      <c r="L58" s="19"/>
    </row>
    <row r="59" spans="1:22" ht="15.75" hidden="1" customHeight="1">
      <c r="A59" s="30"/>
      <c r="B59" s="41" t="s">
        <v>145</v>
      </c>
      <c r="C59" s="42" t="s">
        <v>146</v>
      </c>
      <c r="D59" s="41" t="s">
        <v>66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v>0</v>
      </c>
      <c r="J59" s="24"/>
      <c r="L59" s="19"/>
    </row>
    <row r="60" spans="1:22" ht="15.75" customHeight="1">
      <c r="A60" s="30"/>
      <c r="B60" s="130" t="s">
        <v>44</v>
      </c>
      <c r="C60" s="16"/>
      <c r="D60" s="14"/>
      <c r="E60" s="18"/>
      <c r="F60" s="13"/>
      <c r="G60" s="13"/>
      <c r="H60" s="13"/>
      <c r="I60" s="13"/>
    </row>
    <row r="61" spans="1:22" ht="15.75" hidden="1" customHeight="1">
      <c r="A61" s="30"/>
      <c r="B61" s="41" t="s">
        <v>117</v>
      </c>
      <c r="C61" s="42" t="s">
        <v>82</v>
      </c>
      <c r="D61" s="41" t="s">
        <v>53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22" ht="15.75" customHeight="1">
      <c r="A62" s="30">
        <v>12</v>
      </c>
      <c r="B62" s="143" t="s">
        <v>147</v>
      </c>
      <c r="C62" s="42" t="s">
        <v>148</v>
      </c>
      <c r="D62" s="41" t="s">
        <v>185</v>
      </c>
      <c r="E62" s="17">
        <v>100</v>
      </c>
      <c r="F62" s="39">
        <f>E62*12</f>
        <v>1200</v>
      </c>
      <c r="G62" s="39">
        <v>1.4</v>
      </c>
      <c r="H62" s="39">
        <f>F62*G62/1000</f>
        <v>1.68</v>
      </c>
      <c r="I62" s="13">
        <f>F62/12*G62</f>
        <v>140</v>
      </c>
    </row>
    <row r="63" spans="1:22" ht="15.75" hidden="1" customHeight="1">
      <c r="A63" s="113"/>
      <c r="B63" s="144" t="s">
        <v>45</v>
      </c>
      <c r="C63" s="16"/>
      <c r="D63" s="14"/>
      <c r="E63" s="18"/>
      <c r="F63" s="13"/>
      <c r="G63" s="13"/>
      <c r="H63" s="13" t="s">
        <v>113</v>
      </c>
      <c r="I63" s="13"/>
    </row>
    <row r="64" spans="1:22" ht="15.75" hidden="1" customHeight="1">
      <c r="A64" s="30">
        <v>14</v>
      </c>
      <c r="B64" s="145" t="s">
        <v>46</v>
      </c>
      <c r="C64" s="42" t="s">
        <v>104</v>
      </c>
      <c r="D64" s="41" t="s">
        <v>66</v>
      </c>
      <c r="E64" s="17">
        <v>5</v>
      </c>
      <c r="F64" s="39">
        <f>E64</f>
        <v>5</v>
      </c>
      <c r="G64" s="39">
        <v>291.68</v>
      </c>
      <c r="H64" s="39">
        <f t="shared" ref="H64:H71" si="9">SUM(F64*G64/1000)</f>
        <v>1.4584000000000001</v>
      </c>
      <c r="I64" s="13">
        <f>G64</f>
        <v>291.68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hidden="1" customHeight="1">
      <c r="A65" s="30"/>
      <c r="B65" s="58" t="s">
        <v>47</v>
      </c>
      <c r="C65" s="146" t="s">
        <v>104</v>
      </c>
      <c r="D65" s="147" t="s">
        <v>66</v>
      </c>
      <c r="E65" s="148">
        <v>5</v>
      </c>
      <c r="F65" s="149">
        <f>E65</f>
        <v>5</v>
      </c>
      <c r="G65" s="150">
        <v>100.01</v>
      </c>
      <c r="H65" s="151">
        <f t="shared" si="9"/>
        <v>0.50004999999999999</v>
      </c>
      <c r="I65" s="119">
        <v>0</v>
      </c>
      <c r="J65" s="26"/>
      <c r="K65" s="26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hidden="1" customHeight="1">
      <c r="A66" s="30"/>
      <c r="B66" s="58" t="s">
        <v>48</v>
      </c>
      <c r="C66" s="44" t="s">
        <v>107</v>
      </c>
      <c r="D66" s="41" t="s">
        <v>53</v>
      </c>
      <c r="E66" s="100">
        <v>10348</v>
      </c>
      <c r="F66" s="40">
        <f>SUM(E66/100)</f>
        <v>103.48</v>
      </c>
      <c r="G66" s="39">
        <v>278.24</v>
      </c>
      <c r="H66" s="79">
        <f t="shared" si="9"/>
        <v>28.792275200000002</v>
      </c>
      <c r="I66" s="13">
        <v>0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30"/>
      <c r="B67" s="58" t="s">
        <v>49</v>
      </c>
      <c r="C67" s="42" t="s">
        <v>108</v>
      </c>
      <c r="D67" s="41" t="s">
        <v>53</v>
      </c>
      <c r="E67" s="100">
        <v>10348</v>
      </c>
      <c r="F67" s="39">
        <f>SUM(E67/1000)</f>
        <v>10.348000000000001</v>
      </c>
      <c r="G67" s="39">
        <v>216.68</v>
      </c>
      <c r="H67" s="79">
        <f t="shared" si="9"/>
        <v>2.2422046400000002</v>
      </c>
      <c r="I67" s="13">
        <v>0</v>
      </c>
      <c r="J67" s="5"/>
      <c r="K67" s="5"/>
      <c r="L67" s="5"/>
      <c r="M67" s="5"/>
      <c r="N67" s="5"/>
      <c r="O67" s="5"/>
      <c r="P67" s="5"/>
      <c r="Q67" s="5"/>
      <c r="R67" s="177"/>
      <c r="S67" s="177"/>
      <c r="T67" s="177"/>
      <c r="U67" s="177"/>
    </row>
    <row r="68" spans="1:21" ht="15.75" hidden="1" customHeight="1">
      <c r="A68" s="30"/>
      <c r="B68" s="58" t="s">
        <v>50</v>
      </c>
      <c r="C68" s="42" t="s">
        <v>75</v>
      </c>
      <c r="D68" s="41" t="s">
        <v>53</v>
      </c>
      <c r="E68" s="100">
        <v>1645</v>
      </c>
      <c r="F68" s="39">
        <f>SUM(E68/100)</f>
        <v>16.45</v>
      </c>
      <c r="G68" s="39">
        <v>2720.94</v>
      </c>
      <c r="H68" s="79">
        <f t="shared" si="9"/>
        <v>44.759462999999997</v>
      </c>
      <c r="I68" s="13">
        <v>0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hidden="1" customHeight="1">
      <c r="A69" s="30"/>
      <c r="B69" s="53" t="s">
        <v>109</v>
      </c>
      <c r="C69" s="42" t="s">
        <v>32</v>
      </c>
      <c r="D69" s="41"/>
      <c r="E69" s="100">
        <v>9</v>
      </c>
      <c r="F69" s="39">
        <f>E69</f>
        <v>9</v>
      </c>
      <c r="G69" s="39">
        <v>42.61</v>
      </c>
      <c r="H69" s="79">
        <f t="shared" si="9"/>
        <v>0.38349</v>
      </c>
      <c r="I69" s="13">
        <v>0</v>
      </c>
    </row>
    <row r="70" spans="1:21" ht="15.75" hidden="1" customHeight="1">
      <c r="A70" s="30"/>
      <c r="B70" s="53" t="s">
        <v>110</v>
      </c>
      <c r="C70" s="42" t="s">
        <v>32</v>
      </c>
      <c r="D70" s="41"/>
      <c r="E70" s="100">
        <v>9</v>
      </c>
      <c r="F70" s="39">
        <f t="shared" ref="F70:F71" si="10">E70</f>
        <v>9</v>
      </c>
      <c r="G70" s="39">
        <v>46.04</v>
      </c>
      <c r="H70" s="79">
        <f t="shared" si="9"/>
        <v>0.41436000000000001</v>
      </c>
      <c r="I70" s="13">
        <v>0</v>
      </c>
    </row>
    <row r="71" spans="1:21" ht="15.75" hidden="1" customHeight="1">
      <c r="A71" s="30">
        <v>21</v>
      </c>
      <c r="B71" s="41" t="s">
        <v>57</v>
      </c>
      <c r="C71" s="42" t="s">
        <v>58</v>
      </c>
      <c r="D71" s="41" t="s">
        <v>53</v>
      </c>
      <c r="E71" s="17">
        <v>2</v>
      </c>
      <c r="F71" s="39">
        <f t="shared" si="10"/>
        <v>2</v>
      </c>
      <c r="G71" s="39">
        <v>65.42</v>
      </c>
      <c r="H71" s="79">
        <f t="shared" si="9"/>
        <v>0.13084000000000001</v>
      </c>
      <c r="I71" s="13">
        <f>F71*G71</f>
        <v>130.84</v>
      </c>
    </row>
    <row r="72" spans="1:21" ht="15.75" customHeight="1">
      <c r="A72" s="30"/>
      <c r="B72" s="130" t="s">
        <v>71</v>
      </c>
      <c r="C72" s="16"/>
      <c r="D72" s="14"/>
      <c r="E72" s="18"/>
      <c r="F72" s="13"/>
      <c r="G72" s="13"/>
      <c r="H72" s="80" t="s">
        <v>113</v>
      </c>
      <c r="I72" s="13"/>
    </row>
    <row r="73" spans="1:21" ht="15.75" hidden="1" customHeight="1">
      <c r="A73" s="30"/>
      <c r="B73" s="14" t="s">
        <v>150</v>
      </c>
      <c r="C73" s="16" t="s">
        <v>151</v>
      </c>
      <c r="D73" s="41" t="s">
        <v>66</v>
      </c>
      <c r="E73" s="18">
        <v>1</v>
      </c>
      <c r="F73" s="13">
        <f>E73</f>
        <v>1</v>
      </c>
      <c r="G73" s="13">
        <v>1029.1199999999999</v>
      </c>
      <c r="H73" s="80">
        <f t="shared" ref="H73:H74" si="11">SUM(F73*G73/1000)</f>
        <v>1.0291199999999998</v>
      </c>
      <c r="I73" s="13">
        <v>0</v>
      </c>
    </row>
    <row r="74" spans="1:21" ht="15.75" hidden="1" customHeight="1">
      <c r="A74" s="30"/>
      <c r="B74" s="14" t="s">
        <v>152</v>
      </c>
      <c r="C74" s="16" t="s">
        <v>153</v>
      </c>
      <c r="D74" s="120"/>
      <c r="E74" s="18">
        <v>1</v>
      </c>
      <c r="F74" s="13">
        <v>1</v>
      </c>
      <c r="G74" s="13">
        <v>735</v>
      </c>
      <c r="H74" s="80">
        <f t="shared" si="11"/>
        <v>0.73499999999999999</v>
      </c>
      <c r="I74" s="13">
        <v>0</v>
      </c>
    </row>
    <row r="75" spans="1:21" ht="15.75" hidden="1" customHeight="1">
      <c r="A75" s="30">
        <v>15</v>
      </c>
      <c r="B75" s="14" t="s">
        <v>72</v>
      </c>
      <c r="C75" s="16" t="s">
        <v>73</v>
      </c>
      <c r="D75" s="41" t="s">
        <v>66</v>
      </c>
      <c r="E75" s="18">
        <v>2</v>
      </c>
      <c r="F75" s="84">
        <f>SUM(E75/10)</f>
        <v>0.2</v>
      </c>
      <c r="G75" s="13">
        <v>657.87</v>
      </c>
      <c r="H75" s="80">
        <f>SUM(F75*G75/1000)</f>
        <v>0.13157400000000002</v>
      </c>
      <c r="I75" s="13">
        <f>G75*0.2</f>
        <v>131.57400000000001</v>
      </c>
    </row>
    <row r="76" spans="1:21" ht="15.75" hidden="1" customHeight="1">
      <c r="A76" s="30"/>
      <c r="B76" s="14" t="s">
        <v>154</v>
      </c>
      <c r="C76" s="16" t="s">
        <v>104</v>
      </c>
      <c r="D76" s="41" t="s">
        <v>66</v>
      </c>
      <c r="E76" s="18">
        <v>2</v>
      </c>
      <c r="F76" s="13">
        <f>E76</f>
        <v>2</v>
      </c>
      <c r="G76" s="13">
        <v>1118.72</v>
      </c>
      <c r="H76" s="80">
        <f>SUM(F76*G76/1000)</f>
        <v>2.2374399999999999</v>
      </c>
      <c r="I76" s="13">
        <v>0</v>
      </c>
    </row>
    <row r="77" spans="1:21" ht="15.75" hidden="1" customHeight="1">
      <c r="A77" s="30"/>
      <c r="B77" s="56" t="s">
        <v>155</v>
      </c>
      <c r="C77" s="57" t="s">
        <v>104</v>
      </c>
      <c r="D77" s="41" t="s">
        <v>66</v>
      </c>
      <c r="E77" s="18">
        <v>1</v>
      </c>
      <c r="F77" s="75">
        <v>1</v>
      </c>
      <c r="G77" s="13">
        <v>1605.83</v>
      </c>
      <c r="H77" s="80">
        <f>SUM(F77*G77/1000)</f>
        <v>1.6058299999999999</v>
      </c>
      <c r="I77" s="13">
        <v>0</v>
      </c>
    </row>
    <row r="78" spans="1:21" ht="31.5" customHeight="1">
      <c r="A78" s="30">
        <v>13</v>
      </c>
      <c r="B78" s="56" t="s">
        <v>156</v>
      </c>
      <c r="C78" s="57" t="s">
        <v>104</v>
      </c>
      <c r="D78" s="14" t="s">
        <v>202</v>
      </c>
      <c r="E78" s="18">
        <v>2</v>
      </c>
      <c r="F78" s="84">
        <f>E78*12</f>
        <v>24</v>
      </c>
      <c r="G78" s="13">
        <v>53.42</v>
      </c>
      <c r="H78" s="80">
        <f t="shared" ref="H78:H79" si="12">SUM(F78*G78/1000)</f>
        <v>1.2820799999999999</v>
      </c>
      <c r="I78" s="13">
        <f>G78*2</f>
        <v>106.84</v>
      </c>
    </row>
    <row r="79" spans="1:21" ht="31.5" customHeight="1">
      <c r="A79" s="30">
        <v>14</v>
      </c>
      <c r="B79" s="56" t="s">
        <v>157</v>
      </c>
      <c r="C79" s="57" t="s">
        <v>104</v>
      </c>
      <c r="D79" s="14" t="s">
        <v>202</v>
      </c>
      <c r="E79" s="18">
        <v>1</v>
      </c>
      <c r="F79" s="84">
        <f>E79*12</f>
        <v>12</v>
      </c>
      <c r="G79" s="13">
        <v>1194</v>
      </c>
      <c r="H79" s="80">
        <f t="shared" si="12"/>
        <v>14.327999999999999</v>
      </c>
      <c r="I79" s="13">
        <f>G79</f>
        <v>1194</v>
      </c>
    </row>
    <row r="80" spans="1:21" ht="15.75" hidden="1" customHeight="1">
      <c r="A80" s="30"/>
      <c r="B80" s="90" t="s">
        <v>74</v>
      </c>
      <c r="C80" s="16"/>
      <c r="D80" s="14"/>
      <c r="E80" s="18"/>
      <c r="F80" s="13"/>
      <c r="G80" s="13" t="s">
        <v>113</v>
      </c>
      <c r="H80" s="80" t="s">
        <v>113</v>
      </c>
      <c r="I80" s="13"/>
    </row>
    <row r="81" spans="1:9" ht="15.75" hidden="1" customHeight="1">
      <c r="A81" s="30"/>
      <c r="B81" s="43" t="s">
        <v>114</v>
      </c>
      <c r="C81" s="44" t="s">
        <v>75</v>
      </c>
      <c r="D81" s="58"/>
      <c r="E81" s="121"/>
      <c r="F81" s="40">
        <v>0.6</v>
      </c>
      <c r="G81" s="40">
        <v>3619.09</v>
      </c>
      <c r="H81" s="79">
        <f t="shared" ref="H81" si="13">SUM(F81*G81/1000)</f>
        <v>2.1714540000000002</v>
      </c>
      <c r="I81" s="13">
        <v>0</v>
      </c>
    </row>
    <row r="82" spans="1:9" ht="15.75" hidden="1" customHeight="1">
      <c r="A82" s="30"/>
      <c r="B82" s="93" t="s">
        <v>88</v>
      </c>
      <c r="C82" s="90"/>
      <c r="D82" s="32"/>
      <c r="E82" s="33"/>
      <c r="F82" s="87"/>
      <c r="G82" s="87"/>
      <c r="H82" s="91">
        <f>SUM(H58:H81)</f>
        <v>115.48976176000001</v>
      </c>
      <c r="I82" s="87"/>
    </row>
    <row r="83" spans="1:9" ht="15.75" hidden="1" customHeight="1">
      <c r="A83" s="109">
        <v>17</v>
      </c>
      <c r="B83" s="123" t="s">
        <v>111</v>
      </c>
      <c r="C83" s="124"/>
      <c r="D83" s="125"/>
      <c r="E83" s="122"/>
      <c r="F83" s="126">
        <v>1</v>
      </c>
      <c r="G83" s="126">
        <v>7005.5</v>
      </c>
      <c r="H83" s="127">
        <f>G83*F83/1000</f>
        <v>7.0054999999999996</v>
      </c>
      <c r="I83" s="112">
        <f>G83</f>
        <v>7005.5</v>
      </c>
    </row>
    <row r="84" spans="1:9" ht="15.75" customHeight="1">
      <c r="A84" s="189" t="s">
        <v>133</v>
      </c>
      <c r="B84" s="189"/>
      <c r="C84" s="189"/>
      <c r="D84" s="189"/>
      <c r="E84" s="189"/>
      <c r="F84" s="189"/>
      <c r="G84" s="189"/>
      <c r="H84" s="189"/>
      <c r="I84" s="189"/>
    </row>
    <row r="85" spans="1:9" ht="15.75" customHeight="1">
      <c r="A85" s="30">
        <v>15</v>
      </c>
      <c r="B85" s="41" t="s">
        <v>112</v>
      </c>
      <c r="C85" s="42" t="s">
        <v>54</v>
      </c>
      <c r="D85" s="59"/>
      <c r="E85" s="39">
        <v>2135.1999999999998</v>
      </c>
      <c r="F85" s="39">
        <f>SUM(E85*12)</f>
        <v>25622.399999999998</v>
      </c>
      <c r="G85" s="39">
        <v>3.1</v>
      </c>
      <c r="H85" s="39">
        <f>SUM(F85*G85/1000)</f>
        <v>79.42944</v>
      </c>
      <c r="I85" s="13">
        <f>F85/12*G85</f>
        <v>6619.12</v>
      </c>
    </row>
    <row r="86" spans="1:9" ht="31.5" customHeight="1">
      <c r="A86" s="30">
        <v>16</v>
      </c>
      <c r="B86" s="14" t="s">
        <v>76</v>
      </c>
      <c r="C86" s="16"/>
      <c r="D86" s="59"/>
      <c r="E86" s="83">
        <v>2135.1999999999998</v>
      </c>
      <c r="F86" s="13">
        <f>E86*12</f>
        <v>25622.399999999998</v>
      </c>
      <c r="G86" s="13">
        <v>3.5</v>
      </c>
      <c r="H86" s="80">
        <f>F86*G86/1000</f>
        <v>89.678399999999996</v>
      </c>
      <c r="I86" s="13">
        <f>F86/12*G86</f>
        <v>7473.1999999999989</v>
      </c>
    </row>
    <row r="87" spans="1:9" ht="15.75" customHeight="1">
      <c r="A87" s="30"/>
      <c r="B87" s="45" t="s">
        <v>78</v>
      </c>
      <c r="C87" s="90"/>
      <c r="D87" s="89"/>
      <c r="E87" s="87"/>
      <c r="F87" s="87"/>
      <c r="G87" s="87"/>
      <c r="H87" s="91">
        <f>H86</f>
        <v>89.678399999999996</v>
      </c>
      <c r="I87" s="87">
        <f>I86+I85+I79+I78+I62+I44+I43+I42+I40+I39+I38+I27+I20+I18+I17+I16</f>
        <v>29140.536986666666</v>
      </c>
    </row>
    <row r="88" spans="1:9" ht="15.75" customHeight="1">
      <c r="A88" s="178" t="s">
        <v>60</v>
      </c>
      <c r="B88" s="179"/>
      <c r="C88" s="179"/>
      <c r="D88" s="179"/>
      <c r="E88" s="179"/>
      <c r="F88" s="179"/>
      <c r="G88" s="179"/>
      <c r="H88" s="179"/>
      <c r="I88" s="180"/>
    </row>
    <row r="89" spans="1:9" ht="30" customHeight="1">
      <c r="A89" s="30">
        <v>17</v>
      </c>
      <c r="B89" s="134" t="s">
        <v>173</v>
      </c>
      <c r="C89" s="61" t="s">
        <v>28</v>
      </c>
      <c r="D89" s="60"/>
      <c r="E89" s="39"/>
      <c r="F89" s="39">
        <v>120</v>
      </c>
      <c r="G89" s="39">
        <v>19757.060000000001</v>
      </c>
      <c r="H89" s="79">
        <f>G89*F89/1000</f>
        <v>2370.8472000000002</v>
      </c>
      <c r="I89" s="13">
        <f>G89*0.599*6/1000</f>
        <v>71.006873640000009</v>
      </c>
    </row>
    <row r="90" spans="1:9" ht="31.5" customHeight="1">
      <c r="A90" s="30">
        <v>18</v>
      </c>
      <c r="B90" s="134" t="s">
        <v>181</v>
      </c>
      <c r="C90" s="61" t="s">
        <v>38</v>
      </c>
      <c r="D90" s="52"/>
      <c r="E90" s="39"/>
      <c r="F90" s="39">
        <v>1</v>
      </c>
      <c r="G90" s="39">
        <v>3914.31</v>
      </c>
      <c r="H90" s="79">
        <f>G90*F90/1000</f>
        <v>3.91431</v>
      </c>
      <c r="I90" s="13">
        <f>G90*0.01</f>
        <v>39.143099999999997</v>
      </c>
    </row>
    <row r="91" spans="1:9" ht="30.75" customHeight="1">
      <c r="A91" s="30">
        <v>19</v>
      </c>
      <c r="B91" s="134" t="s">
        <v>182</v>
      </c>
      <c r="C91" s="61" t="s">
        <v>172</v>
      </c>
      <c r="D91" s="60"/>
      <c r="E91" s="39"/>
      <c r="F91" s="39">
        <v>1</v>
      </c>
      <c r="G91" s="39">
        <v>1367</v>
      </c>
      <c r="H91" s="79">
        <f>G91*F91/1000</f>
        <v>1.367</v>
      </c>
      <c r="I91" s="13">
        <f>G91*1</f>
        <v>1367</v>
      </c>
    </row>
    <row r="92" spans="1:9" ht="27.75" customHeight="1">
      <c r="A92" s="30">
        <v>20</v>
      </c>
      <c r="B92" s="134" t="s">
        <v>183</v>
      </c>
      <c r="C92" s="61" t="s">
        <v>104</v>
      </c>
      <c r="D92" s="60"/>
      <c r="E92" s="39"/>
      <c r="F92" s="39">
        <v>1</v>
      </c>
      <c r="G92" s="39">
        <v>2510.73</v>
      </c>
      <c r="H92" s="79">
        <f>G92*F92/1000</f>
        <v>2.5107300000000001</v>
      </c>
      <c r="I92" s="13">
        <f>G92*1</f>
        <v>2510.73</v>
      </c>
    </row>
    <row r="93" spans="1:9" ht="15.75" customHeight="1">
      <c r="A93" s="30"/>
      <c r="B93" s="50" t="s">
        <v>51</v>
      </c>
      <c r="C93" s="57"/>
      <c r="D93" s="52"/>
      <c r="E93" s="13"/>
      <c r="F93" s="13"/>
      <c r="G93" s="13"/>
      <c r="H93" s="80"/>
      <c r="I93" s="87">
        <f>SUM(I89:I92)</f>
        <v>3987.8799736400001</v>
      </c>
    </row>
    <row r="94" spans="1:9">
      <c r="A94" s="30"/>
      <c r="B94" s="52" t="s">
        <v>77</v>
      </c>
      <c r="C94" s="15"/>
      <c r="D94" s="15"/>
      <c r="E94" s="47"/>
      <c r="F94" s="47"/>
      <c r="G94" s="48"/>
      <c r="H94" s="48"/>
      <c r="I94" s="17">
        <v>0</v>
      </c>
    </row>
    <row r="95" spans="1:9">
      <c r="A95" s="54"/>
      <c r="B95" s="51" t="s">
        <v>139</v>
      </c>
      <c r="C95" s="38"/>
      <c r="D95" s="38"/>
      <c r="E95" s="38"/>
      <c r="F95" s="38"/>
      <c r="G95" s="38"/>
      <c r="H95" s="38"/>
      <c r="I95" s="49">
        <f>I87+I93</f>
        <v>33128.416960306669</v>
      </c>
    </row>
    <row r="96" spans="1:9" ht="15.75" customHeight="1">
      <c r="A96" s="181" t="s">
        <v>257</v>
      </c>
      <c r="B96" s="181"/>
      <c r="C96" s="181"/>
      <c r="D96" s="181"/>
      <c r="E96" s="181"/>
      <c r="F96" s="181"/>
      <c r="G96" s="181"/>
      <c r="H96" s="181"/>
      <c r="I96" s="181"/>
    </row>
    <row r="97" spans="1:9" ht="15.75" customHeight="1">
      <c r="A97" s="68"/>
      <c r="B97" s="182" t="s">
        <v>210</v>
      </c>
      <c r="C97" s="182"/>
      <c r="D97" s="182"/>
      <c r="E97" s="182"/>
      <c r="F97" s="182"/>
      <c r="G97" s="182"/>
      <c r="H97" s="78"/>
      <c r="I97" s="3"/>
    </row>
    <row r="98" spans="1:9">
      <c r="A98" s="128"/>
      <c r="B98" s="183" t="s">
        <v>6</v>
      </c>
      <c r="C98" s="183"/>
      <c r="D98" s="183"/>
      <c r="E98" s="183"/>
      <c r="F98" s="183"/>
      <c r="G98" s="183"/>
      <c r="H98" s="25"/>
      <c r="I98" s="5"/>
    </row>
    <row r="99" spans="1:9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>
      <c r="A100" s="184" t="s">
        <v>7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 customHeight="1">
      <c r="A101" s="184" t="s">
        <v>8</v>
      </c>
      <c r="B101" s="184"/>
      <c r="C101" s="184"/>
      <c r="D101" s="184"/>
      <c r="E101" s="184"/>
      <c r="F101" s="184"/>
      <c r="G101" s="184"/>
      <c r="H101" s="184"/>
      <c r="I101" s="184"/>
    </row>
    <row r="102" spans="1:9" ht="15.75">
      <c r="A102" s="185" t="s">
        <v>61</v>
      </c>
      <c r="B102" s="185"/>
      <c r="C102" s="185"/>
      <c r="D102" s="185"/>
      <c r="E102" s="185"/>
      <c r="F102" s="185"/>
      <c r="G102" s="185"/>
      <c r="H102" s="185"/>
      <c r="I102" s="185"/>
    </row>
    <row r="103" spans="1:9" ht="15.75">
      <c r="A103" s="11"/>
    </row>
    <row r="104" spans="1:9" ht="15.75" customHeight="1">
      <c r="A104" s="186" t="s">
        <v>9</v>
      </c>
      <c r="B104" s="186"/>
      <c r="C104" s="186"/>
      <c r="D104" s="186"/>
      <c r="E104" s="186"/>
      <c r="F104" s="186"/>
      <c r="G104" s="186"/>
      <c r="H104" s="186"/>
      <c r="I104" s="186"/>
    </row>
    <row r="105" spans="1:9" ht="15.75" customHeight="1">
      <c r="A105" s="4"/>
    </row>
    <row r="106" spans="1:9" ht="15.75" customHeight="1">
      <c r="B106" s="133" t="s">
        <v>10</v>
      </c>
      <c r="C106" s="187" t="s">
        <v>124</v>
      </c>
      <c r="D106" s="187"/>
      <c r="E106" s="187"/>
      <c r="F106" s="76"/>
      <c r="I106" s="132"/>
    </row>
    <row r="107" spans="1:9" ht="15.75" customHeight="1">
      <c r="A107" s="128"/>
      <c r="C107" s="183" t="s">
        <v>11</v>
      </c>
      <c r="D107" s="183"/>
      <c r="E107" s="183"/>
      <c r="F107" s="25"/>
      <c r="I107" s="131" t="s">
        <v>12</v>
      </c>
    </row>
    <row r="108" spans="1:9" ht="15.75" customHeight="1">
      <c r="A108" s="26"/>
      <c r="C108" s="12"/>
      <c r="D108" s="12"/>
      <c r="G108" s="12"/>
      <c r="H108" s="12"/>
    </row>
    <row r="109" spans="1:9" ht="15.75" customHeight="1">
      <c r="B109" s="133" t="s">
        <v>13</v>
      </c>
      <c r="C109" s="188"/>
      <c r="D109" s="188"/>
      <c r="E109" s="188"/>
      <c r="F109" s="77"/>
      <c r="I109" s="132"/>
    </row>
    <row r="110" spans="1:9">
      <c r="A110" s="128"/>
      <c r="C110" s="177" t="s">
        <v>11</v>
      </c>
      <c r="D110" s="177"/>
      <c r="E110" s="177"/>
      <c r="F110" s="128"/>
      <c r="I110" s="131" t="s">
        <v>12</v>
      </c>
    </row>
    <row r="111" spans="1:9" ht="15.75">
      <c r="A111" s="4" t="s">
        <v>14</v>
      </c>
    </row>
    <row r="112" spans="1:9">
      <c r="A112" s="175" t="s">
        <v>15</v>
      </c>
      <c r="B112" s="175"/>
      <c r="C112" s="175"/>
      <c r="D112" s="175"/>
      <c r="E112" s="175"/>
      <c r="F112" s="175"/>
      <c r="G112" s="175"/>
      <c r="H112" s="175"/>
      <c r="I112" s="175"/>
    </row>
    <row r="113" spans="1:9" ht="45" customHeight="1">
      <c r="A113" s="176" t="s">
        <v>16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30" customHeight="1">
      <c r="A114" s="176" t="s">
        <v>17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30" customHeight="1">
      <c r="A115" s="176" t="s">
        <v>21</v>
      </c>
      <c r="B115" s="176"/>
      <c r="C115" s="176"/>
      <c r="D115" s="176"/>
      <c r="E115" s="176"/>
      <c r="F115" s="176"/>
      <c r="G115" s="176"/>
      <c r="H115" s="176"/>
      <c r="I115" s="176"/>
    </row>
    <row r="116" spans="1:9" ht="15" customHeight="1">
      <c r="A116" s="176" t="s">
        <v>20</v>
      </c>
      <c r="B116" s="176"/>
      <c r="C116" s="176"/>
      <c r="D116" s="176"/>
      <c r="E116" s="176"/>
      <c r="F116" s="176"/>
      <c r="G116" s="176"/>
      <c r="H116" s="176"/>
      <c r="I116" s="176"/>
    </row>
  </sheetData>
  <autoFilter ref="I12:I61"/>
  <mergeCells count="29">
    <mergeCell ref="A14:I14"/>
    <mergeCell ref="A15:I15"/>
    <mergeCell ref="A28:I28"/>
    <mergeCell ref="A45:I45"/>
    <mergeCell ref="A56:I56"/>
    <mergeCell ref="A3:I3"/>
    <mergeCell ref="A4:I4"/>
    <mergeCell ref="A5:I5"/>
    <mergeCell ref="A8:I8"/>
    <mergeCell ref="A10:I10"/>
    <mergeCell ref="R67:U67"/>
    <mergeCell ref="C110:E110"/>
    <mergeCell ref="A88:I88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4:I84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17"/>
  <sheetViews>
    <sheetView workbookViewId="0">
      <selection activeCell="B16" sqref="B16:I27"/>
    </sheetView>
  </sheetViews>
  <sheetFormatPr defaultRowHeight="15"/>
  <cols>
    <col min="2" max="2" width="51.28515625" customWidth="1"/>
    <col min="3" max="3" width="17" customWidth="1"/>
    <col min="4" max="4" width="15.85546875" customWidth="1"/>
    <col min="5" max="6" width="0" hidden="1" customWidth="1"/>
    <col min="7" max="7" width="17.5703125" customWidth="1"/>
    <col min="8" max="8" width="0" hidden="1" customWidth="1"/>
    <col min="9" max="9" width="18.7109375" customWidth="1"/>
  </cols>
  <sheetData>
    <row r="1" spans="1:9" ht="15.75">
      <c r="A1" s="28" t="s">
        <v>167</v>
      </c>
      <c r="I1" s="27"/>
    </row>
    <row r="2" spans="1:9" ht="15.75">
      <c r="A2" s="29" t="s">
        <v>62</v>
      </c>
    </row>
    <row r="3" spans="1:9" ht="15.75">
      <c r="A3" s="190" t="s">
        <v>162</v>
      </c>
      <c r="B3" s="190"/>
      <c r="C3" s="190"/>
      <c r="D3" s="190"/>
      <c r="E3" s="190"/>
      <c r="F3" s="190"/>
      <c r="G3" s="190"/>
      <c r="H3" s="190"/>
      <c r="I3" s="190"/>
    </row>
    <row r="4" spans="1:9" ht="31.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9" ht="15.75">
      <c r="A5" s="190" t="s">
        <v>184</v>
      </c>
      <c r="B5" s="192"/>
      <c r="C5" s="192"/>
      <c r="D5" s="192"/>
      <c r="E5" s="192"/>
      <c r="F5" s="192"/>
      <c r="G5" s="192"/>
      <c r="H5" s="192"/>
      <c r="I5" s="192"/>
    </row>
    <row r="6" spans="1:9" ht="15.75">
      <c r="A6" s="2"/>
      <c r="B6" s="141"/>
      <c r="C6" s="141"/>
      <c r="D6" s="141"/>
      <c r="E6" s="141"/>
      <c r="F6" s="141"/>
      <c r="G6" s="141"/>
      <c r="H6" s="141"/>
      <c r="I6" s="31">
        <v>43585</v>
      </c>
    </row>
    <row r="7" spans="1:9" ht="15.75">
      <c r="B7" s="140"/>
      <c r="C7" s="140"/>
      <c r="D7" s="140"/>
      <c r="E7" s="3"/>
      <c r="F7" s="3"/>
      <c r="G7" s="3"/>
      <c r="H7" s="3"/>
    </row>
    <row r="8" spans="1:9" ht="106.5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</row>
    <row r="9" spans="1:9" ht="15.75">
      <c r="A9" s="4"/>
    </row>
    <row r="10" spans="1:9" ht="64.5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</row>
    <row r="11" spans="1:9" ht="15.75">
      <c r="A11" s="4"/>
    </row>
    <row r="12" spans="1:9" ht="57.7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</row>
    <row r="17" spans="1:9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</row>
    <row r="18" spans="1:9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</row>
    <row r="19" spans="1:9" hidden="1">
      <c r="A19" s="30"/>
      <c r="B19" s="35" t="s">
        <v>89</v>
      </c>
      <c r="C19" s="46" t="s">
        <v>90</v>
      </c>
      <c r="D19" s="35" t="s">
        <v>91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</row>
    <row r="20" spans="1:9">
      <c r="A20" s="30">
        <v>4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</row>
    <row r="21" spans="1:9" hidden="1">
      <c r="A21" s="30">
        <v>5</v>
      </c>
      <c r="B21" s="35" t="s">
        <v>93</v>
      </c>
      <c r="C21" s="46" t="s">
        <v>82</v>
      </c>
      <c r="D21" s="35" t="s">
        <v>42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</row>
    <row r="22" spans="1:9" hidden="1">
      <c r="A22" s="30"/>
      <c r="B22" s="35" t="s">
        <v>94</v>
      </c>
      <c r="C22" s="46" t="s">
        <v>52</v>
      </c>
      <c r="D22" s="35" t="s">
        <v>91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</row>
    <row r="23" spans="1:9" hidden="1">
      <c r="A23" s="30"/>
      <c r="B23" s="35" t="s">
        <v>95</v>
      </c>
      <c r="C23" s="46" t="s">
        <v>52</v>
      </c>
      <c r="D23" s="35" t="s">
        <v>91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</row>
    <row r="24" spans="1:9" hidden="1">
      <c r="A24" s="30"/>
      <c r="B24" s="35" t="s">
        <v>96</v>
      </c>
      <c r="C24" s="46" t="s">
        <v>52</v>
      </c>
      <c r="D24" s="35" t="s">
        <v>97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</row>
    <row r="25" spans="1:9" ht="30" hidden="1">
      <c r="A25" s="30"/>
      <c r="B25" s="35" t="s">
        <v>98</v>
      </c>
      <c r="C25" s="46" t="s">
        <v>52</v>
      </c>
      <c r="D25" s="35" t="s">
        <v>53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</row>
    <row r="26" spans="1:9" hidden="1">
      <c r="A26" s="30"/>
      <c r="B26" s="35" t="s">
        <v>99</v>
      </c>
      <c r="C26" s="46" t="s">
        <v>52</v>
      </c>
      <c r="D26" s="35" t="s">
        <v>91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</row>
    <row r="27" spans="1:9">
      <c r="A27" s="30">
        <v>5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</row>
    <row r="28" spans="1:9">
      <c r="A28" s="196" t="s">
        <v>160</v>
      </c>
      <c r="B28" s="197"/>
      <c r="C28" s="197"/>
      <c r="D28" s="197"/>
      <c r="E28" s="197"/>
      <c r="F28" s="197"/>
      <c r="G28" s="197"/>
      <c r="H28" s="197"/>
      <c r="I28" s="198"/>
    </row>
    <row r="29" spans="1:9" hidden="1">
      <c r="A29" s="30"/>
      <c r="B29" s="92" t="s">
        <v>27</v>
      </c>
      <c r="C29" s="82"/>
      <c r="D29" s="81"/>
      <c r="E29" s="83"/>
      <c r="F29" s="84"/>
      <c r="G29" s="84"/>
      <c r="H29" s="85"/>
      <c r="I29" s="13"/>
    </row>
    <row r="30" spans="1:9" hidden="1">
      <c r="A30" s="30">
        <v>7</v>
      </c>
      <c r="B30" s="81" t="s">
        <v>102</v>
      </c>
      <c r="C30" s="46" t="s">
        <v>85</v>
      </c>
      <c r="D30" s="35" t="s">
        <v>140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6" si="2">SUM(F30*G30/1000)</f>
        <v>3.528389072</v>
      </c>
      <c r="I30" s="13">
        <f t="shared" ref="I30:I34" si="3">F30/6*G30</f>
        <v>588.06484533333344</v>
      </c>
    </row>
    <row r="31" spans="1:9" ht="45" hidden="1">
      <c r="A31" s="30">
        <v>8</v>
      </c>
      <c r="B31" s="81" t="s">
        <v>101</v>
      </c>
      <c r="C31" s="46" t="s">
        <v>85</v>
      </c>
      <c r="D31" s="35" t="s">
        <v>141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</row>
    <row r="32" spans="1:9" hidden="1">
      <c r="A32" s="30"/>
      <c r="B32" s="81" t="s">
        <v>26</v>
      </c>
      <c r="C32" s="46" t="s">
        <v>85</v>
      </c>
      <c r="D32" s="35" t="s">
        <v>53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</row>
    <row r="33" spans="1:9" hidden="1">
      <c r="A33" s="30">
        <v>9</v>
      </c>
      <c r="B33" s="81" t="s">
        <v>128</v>
      </c>
      <c r="C33" s="46" t="s">
        <v>40</v>
      </c>
      <c r="D33" s="35" t="s">
        <v>63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</row>
    <row r="34" spans="1:9" hidden="1">
      <c r="A34" s="30">
        <v>10</v>
      </c>
      <c r="B34" s="81" t="s">
        <v>100</v>
      </c>
      <c r="C34" s="46" t="s">
        <v>30</v>
      </c>
      <c r="D34" s="35" t="s">
        <v>63</v>
      </c>
      <c r="E34" s="104">
        <f>1/3</f>
        <v>0.33333333333333331</v>
      </c>
      <c r="F34" s="34">
        <f>155/3</f>
        <v>51.666666666666664</v>
      </c>
      <c r="G34" s="34">
        <v>74.349999999999994</v>
      </c>
      <c r="H34" s="101">
        <f t="shared" si="2"/>
        <v>3.841416666666666</v>
      </c>
      <c r="I34" s="13">
        <f t="shared" si="3"/>
        <v>640.23611111111109</v>
      </c>
    </row>
    <row r="35" spans="1:9" ht="30" hidden="1">
      <c r="A35" s="30"/>
      <c r="B35" s="35" t="s">
        <v>64</v>
      </c>
      <c r="C35" s="46" t="s">
        <v>32</v>
      </c>
      <c r="D35" s="35" t="s">
        <v>66</v>
      </c>
      <c r="E35" s="100"/>
      <c r="F35" s="34">
        <v>2</v>
      </c>
      <c r="G35" s="34">
        <v>250.92</v>
      </c>
      <c r="H35" s="101">
        <f t="shared" si="2"/>
        <v>0.50183999999999995</v>
      </c>
      <c r="I35" s="13">
        <v>0</v>
      </c>
    </row>
    <row r="36" spans="1:9" ht="30" hidden="1">
      <c r="A36" s="30"/>
      <c r="B36" s="35" t="s">
        <v>65</v>
      </c>
      <c r="C36" s="46" t="s">
        <v>31</v>
      </c>
      <c r="D36" s="35" t="s">
        <v>66</v>
      </c>
      <c r="E36" s="100"/>
      <c r="F36" s="34">
        <v>1</v>
      </c>
      <c r="G36" s="34">
        <v>1490.31</v>
      </c>
      <c r="H36" s="101">
        <f t="shared" si="2"/>
        <v>1.49031</v>
      </c>
      <c r="I36" s="13">
        <v>0</v>
      </c>
    </row>
    <row r="37" spans="1:9">
      <c r="A37" s="30"/>
      <c r="B37" s="92" t="s">
        <v>5</v>
      </c>
      <c r="C37" s="82"/>
      <c r="D37" s="81"/>
      <c r="E37" s="83"/>
      <c r="F37" s="84"/>
      <c r="G37" s="84"/>
      <c r="H37" s="85" t="s">
        <v>113</v>
      </c>
      <c r="I37" s="13"/>
    </row>
    <row r="38" spans="1:9">
      <c r="A38" s="30">
        <v>6</v>
      </c>
      <c r="B38" s="36" t="s">
        <v>25</v>
      </c>
      <c r="C38" s="46" t="s">
        <v>31</v>
      </c>
      <c r="D38" s="35"/>
      <c r="E38" s="100"/>
      <c r="F38" s="34">
        <v>4</v>
      </c>
      <c r="G38" s="34">
        <v>2003</v>
      </c>
      <c r="H38" s="101">
        <f t="shared" ref="H38:H44" si="4">SUM(F38*G38/1000)</f>
        <v>8.0120000000000005</v>
      </c>
      <c r="I38" s="13">
        <f>G38*1.4</f>
        <v>2804.2</v>
      </c>
    </row>
    <row r="39" spans="1:9">
      <c r="A39" s="30">
        <v>7</v>
      </c>
      <c r="B39" s="36" t="s">
        <v>142</v>
      </c>
      <c r="C39" s="55" t="s">
        <v>28</v>
      </c>
      <c r="D39" s="35" t="s">
        <v>203</v>
      </c>
      <c r="E39" s="100">
        <v>108.9</v>
      </c>
      <c r="F39" s="37">
        <f>E39*30/1000</f>
        <v>3.2669999999999999</v>
      </c>
      <c r="G39" s="34">
        <v>2757.78</v>
      </c>
      <c r="H39" s="101">
        <f t="shared" si="4"/>
        <v>9.0096672600000005</v>
      </c>
      <c r="I39" s="13">
        <f t="shared" ref="I39:I42" si="5">F39/6*G39</f>
        <v>1501.61121</v>
      </c>
    </row>
    <row r="40" spans="1:9" ht="15" customHeight="1">
      <c r="A40" s="30">
        <v>8</v>
      </c>
      <c r="B40" s="35" t="s">
        <v>67</v>
      </c>
      <c r="C40" s="46" t="s">
        <v>28</v>
      </c>
      <c r="D40" s="35" t="s">
        <v>204</v>
      </c>
      <c r="E40" s="34">
        <v>108.9</v>
      </c>
      <c r="F40" s="37">
        <f>SUM(E40*155/1000)</f>
        <v>16.8795</v>
      </c>
      <c r="G40" s="34">
        <v>460.02</v>
      </c>
      <c r="H40" s="101">
        <f t="shared" si="4"/>
        <v>7.76490759</v>
      </c>
      <c r="I40" s="13">
        <f t="shared" si="5"/>
        <v>1294.151265</v>
      </c>
    </row>
    <row r="41" spans="1:9" ht="15" customHeight="1">
      <c r="A41" s="30">
        <v>9</v>
      </c>
      <c r="B41" s="35" t="s">
        <v>143</v>
      </c>
      <c r="C41" s="46" t="s">
        <v>144</v>
      </c>
      <c r="D41" s="35" t="s">
        <v>188</v>
      </c>
      <c r="E41" s="100"/>
      <c r="F41" s="37">
        <v>39</v>
      </c>
      <c r="G41" s="34">
        <v>314</v>
      </c>
      <c r="H41" s="101">
        <f t="shared" si="4"/>
        <v>12.246</v>
      </c>
      <c r="I41" s="13">
        <f>G41*39</f>
        <v>12246</v>
      </c>
    </row>
    <row r="42" spans="1:9" ht="50.25" customHeight="1">
      <c r="A42" s="30">
        <v>10</v>
      </c>
      <c r="B42" s="35" t="s">
        <v>79</v>
      </c>
      <c r="C42" s="46" t="s">
        <v>85</v>
      </c>
      <c r="D42" s="35" t="s">
        <v>209</v>
      </c>
      <c r="E42" s="34">
        <v>40</v>
      </c>
      <c r="F42" s="37">
        <f>SUM(E42*35/1000)</f>
        <v>1.4</v>
      </c>
      <c r="G42" s="34">
        <v>7611.16</v>
      </c>
      <c r="H42" s="101">
        <f t="shared" si="4"/>
        <v>10.655624</v>
      </c>
      <c r="I42" s="13">
        <f t="shared" si="5"/>
        <v>1775.9373333333331</v>
      </c>
    </row>
    <row r="43" spans="1:9">
      <c r="A43" s="30">
        <v>11</v>
      </c>
      <c r="B43" s="35" t="s">
        <v>116</v>
      </c>
      <c r="C43" s="46" t="s">
        <v>85</v>
      </c>
      <c r="D43" s="35" t="s">
        <v>205</v>
      </c>
      <c r="E43" s="34">
        <v>108.9</v>
      </c>
      <c r="F43" s="37">
        <f>SUM(E43*45/1000)</f>
        <v>4.9005000000000001</v>
      </c>
      <c r="G43" s="34">
        <v>562.25</v>
      </c>
      <c r="H43" s="101">
        <f t="shared" si="4"/>
        <v>2.7553061250000002</v>
      </c>
      <c r="I43" s="13">
        <f>(F43/7.5*1.5)*G43</f>
        <v>551.06122500000004</v>
      </c>
    </row>
    <row r="44" spans="1:9">
      <c r="A44" s="30">
        <v>12</v>
      </c>
      <c r="B44" s="36" t="s">
        <v>69</v>
      </c>
      <c r="C44" s="55" t="s">
        <v>32</v>
      </c>
      <c r="D44" s="36"/>
      <c r="E44" s="103"/>
      <c r="F44" s="37">
        <v>0.5</v>
      </c>
      <c r="G44" s="37">
        <v>974.83</v>
      </c>
      <c r="H44" s="101">
        <f t="shared" si="4"/>
        <v>0.48741500000000004</v>
      </c>
      <c r="I44" s="13">
        <f>(F44/7.5*1.5)*G44</f>
        <v>97.483000000000004</v>
      </c>
    </row>
    <row r="45" spans="1:9" ht="15.75" hidden="1" customHeight="1">
      <c r="A45" s="196" t="s">
        <v>123</v>
      </c>
      <c r="B45" s="197"/>
      <c r="C45" s="197"/>
      <c r="D45" s="197"/>
      <c r="E45" s="197"/>
      <c r="F45" s="197"/>
      <c r="G45" s="197"/>
      <c r="H45" s="197"/>
      <c r="I45" s="198"/>
    </row>
    <row r="46" spans="1:9" ht="23.25" hidden="1" customHeight="1">
      <c r="A46" s="30">
        <v>12</v>
      </c>
      <c r="B46" s="35" t="s">
        <v>103</v>
      </c>
      <c r="C46" s="46" t="s">
        <v>85</v>
      </c>
      <c r="D46" s="35" t="s">
        <v>42</v>
      </c>
      <c r="E46" s="100">
        <v>838.88</v>
      </c>
      <c r="F46" s="34">
        <f>SUM(E46*2/1000)</f>
        <v>1.6777599999999999</v>
      </c>
      <c r="G46" s="39">
        <v>1062</v>
      </c>
      <c r="H46" s="101">
        <f t="shared" ref="H46:H55" si="6">SUM(F46*G46/1000)</f>
        <v>1.7817811199999998</v>
      </c>
      <c r="I46" s="13">
        <f t="shared" ref="I46:I49" si="7">F46/2*G46</f>
        <v>890.89055999999994</v>
      </c>
    </row>
    <row r="47" spans="1:9" ht="22.5" hidden="1" customHeight="1">
      <c r="A47" s="30">
        <v>13</v>
      </c>
      <c r="B47" s="35" t="s">
        <v>35</v>
      </c>
      <c r="C47" s="46" t="s">
        <v>85</v>
      </c>
      <c r="D47" s="35" t="s">
        <v>42</v>
      </c>
      <c r="E47" s="100">
        <v>26</v>
      </c>
      <c r="F47" s="34">
        <f>E47*2/1000</f>
        <v>5.1999999999999998E-2</v>
      </c>
      <c r="G47" s="39">
        <v>759.98</v>
      </c>
      <c r="H47" s="101">
        <f t="shared" si="6"/>
        <v>3.9518959999999999E-2</v>
      </c>
      <c r="I47" s="13">
        <f t="shared" si="7"/>
        <v>19.75948</v>
      </c>
    </row>
    <row r="48" spans="1:9" ht="25.5" hidden="1" customHeight="1">
      <c r="A48" s="30">
        <v>14</v>
      </c>
      <c r="B48" s="35" t="s">
        <v>36</v>
      </c>
      <c r="C48" s="46" t="s">
        <v>85</v>
      </c>
      <c r="D48" s="35" t="s">
        <v>42</v>
      </c>
      <c r="E48" s="100">
        <v>879</v>
      </c>
      <c r="F48" s="34">
        <f>SUM(E48*2/1000)</f>
        <v>1.758</v>
      </c>
      <c r="G48" s="39">
        <v>759.98</v>
      </c>
      <c r="H48" s="101">
        <f t="shared" si="6"/>
        <v>1.33604484</v>
      </c>
      <c r="I48" s="13">
        <f t="shared" si="7"/>
        <v>668.02242000000001</v>
      </c>
    </row>
    <row r="49" spans="1:9" ht="25.5" hidden="1" customHeight="1">
      <c r="A49" s="30">
        <v>15</v>
      </c>
      <c r="B49" s="35" t="s">
        <v>37</v>
      </c>
      <c r="C49" s="46" t="s">
        <v>85</v>
      </c>
      <c r="D49" s="35" t="s">
        <v>42</v>
      </c>
      <c r="E49" s="100">
        <v>1490.75</v>
      </c>
      <c r="F49" s="34">
        <f>SUM(E49*2/1000)</f>
        <v>2.9815</v>
      </c>
      <c r="G49" s="39">
        <v>795.82</v>
      </c>
      <c r="H49" s="101">
        <f t="shared" si="6"/>
        <v>2.3727373300000005</v>
      </c>
      <c r="I49" s="13">
        <f t="shared" si="7"/>
        <v>1186.3686650000002</v>
      </c>
    </row>
    <row r="50" spans="1:9" ht="23.25" hidden="1" customHeight="1">
      <c r="A50" s="30">
        <v>16</v>
      </c>
      <c r="B50" s="35" t="s">
        <v>33</v>
      </c>
      <c r="C50" s="46" t="s">
        <v>34</v>
      </c>
      <c r="D50" s="35" t="s">
        <v>42</v>
      </c>
      <c r="E50" s="100">
        <v>61.04</v>
      </c>
      <c r="F50" s="34">
        <f>SUM(E50*2/100)</f>
        <v>1.2207999999999999</v>
      </c>
      <c r="G50" s="39">
        <v>95.49</v>
      </c>
      <c r="H50" s="101">
        <f t="shared" si="6"/>
        <v>0.11657419199999998</v>
      </c>
      <c r="I50" s="13">
        <f>F50/2*G50</f>
        <v>58.287095999999991</v>
      </c>
    </row>
    <row r="51" spans="1:9" ht="25.5" hidden="1" customHeight="1">
      <c r="A51" s="30">
        <v>13</v>
      </c>
      <c r="B51" s="35" t="s">
        <v>56</v>
      </c>
      <c r="C51" s="46" t="s">
        <v>85</v>
      </c>
      <c r="D51" s="35" t="s">
        <v>129</v>
      </c>
      <c r="E51" s="100">
        <v>2135.1999999999998</v>
      </c>
      <c r="F51" s="34">
        <f>SUM(E51*5/1000)</f>
        <v>10.676</v>
      </c>
      <c r="G51" s="39">
        <v>1591.6</v>
      </c>
      <c r="H51" s="101">
        <f t="shared" si="6"/>
        <v>16.991921599999998</v>
      </c>
      <c r="I51" s="13">
        <f>F51/5*G51</f>
        <v>3398.3843200000001</v>
      </c>
    </row>
    <row r="52" spans="1:9" ht="33.75" hidden="1" customHeight="1">
      <c r="A52" s="30">
        <v>13</v>
      </c>
      <c r="B52" s="35" t="s">
        <v>86</v>
      </c>
      <c r="C52" s="46" t="s">
        <v>85</v>
      </c>
      <c r="D52" s="35" t="s">
        <v>42</v>
      </c>
      <c r="E52" s="100">
        <v>2135.1999999999998</v>
      </c>
      <c r="F52" s="34">
        <f>SUM(E52*2/1000)</f>
        <v>4.2703999999999995</v>
      </c>
      <c r="G52" s="39">
        <v>1591.6</v>
      </c>
      <c r="H52" s="101">
        <f t="shared" si="6"/>
        <v>6.796768639999998</v>
      </c>
      <c r="I52" s="13">
        <f>F52/2*G52</f>
        <v>3398.3843199999992</v>
      </c>
    </row>
    <row r="53" spans="1:9" ht="20.25" hidden="1" customHeight="1">
      <c r="A53" s="30">
        <v>14</v>
      </c>
      <c r="B53" s="35" t="s">
        <v>87</v>
      </c>
      <c r="C53" s="46" t="s">
        <v>38</v>
      </c>
      <c r="D53" s="35" t="s">
        <v>42</v>
      </c>
      <c r="E53" s="100">
        <v>10</v>
      </c>
      <c r="F53" s="34">
        <f>SUM(E53*2/100)</f>
        <v>0.2</v>
      </c>
      <c r="G53" s="39">
        <v>3581.13</v>
      </c>
      <c r="H53" s="101">
        <f t="shared" si="6"/>
        <v>0.71622600000000014</v>
      </c>
      <c r="I53" s="13">
        <f t="shared" ref="I53:I54" si="8">F53/2*G53</f>
        <v>358.11300000000006</v>
      </c>
    </row>
    <row r="54" spans="1:9" ht="22.5" hidden="1" customHeight="1">
      <c r="A54" s="30">
        <v>15</v>
      </c>
      <c r="B54" s="35" t="s">
        <v>39</v>
      </c>
      <c r="C54" s="46" t="s">
        <v>40</v>
      </c>
      <c r="D54" s="35" t="s">
        <v>42</v>
      </c>
      <c r="E54" s="100">
        <v>1</v>
      </c>
      <c r="F54" s="34">
        <v>0.02</v>
      </c>
      <c r="G54" s="39">
        <v>7412.92</v>
      </c>
      <c r="H54" s="101">
        <f t="shared" si="6"/>
        <v>0.14825839999999998</v>
      </c>
      <c r="I54" s="13">
        <f t="shared" si="8"/>
        <v>74.129199999999997</v>
      </c>
    </row>
    <row r="55" spans="1:9" ht="18.75" hidden="1" customHeight="1">
      <c r="A55" s="109">
        <v>14</v>
      </c>
      <c r="B55" s="105" t="s">
        <v>41</v>
      </c>
      <c r="C55" s="106" t="s">
        <v>104</v>
      </c>
      <c r="D55" s="105" t="s">
        <v>70</v>
      </c>
      <c r="E55" s="107">
        <v>80</v>
      </c>
      <c r="F55" s="108">
        <f>SUM(E55)*3</f>
        <v>240</v>
      </c>
      <c r="G55" s="110">
        <v>86.15</v>
      </c>
      <c r="H55" s="111">
        <f t="shared" si="6"/>
        <v>20.675999999999998</v>
      </c>
      <c r="I55" s="112">
        <f>E55*G55</f>
        <v>6892</v>
      </c>
    </row>
    <row r="56" spans="1:9">
      <c r="A56" s="189" t="s">
        <v>132</v>
      </c>
      <c r="B56" s="189"/>
      <c r="C56" s="189"/>
      <c r="D56" s="189"/>
      <c r="E56" s="189"/>
      <c r="F56" s="189"/>
      <c r="G56" s="189"/>
      <c r="H56" s="189"/>
      <c r="I56" s="189"/>
    </row>
    <row r="57" spans="1:9" hidden="1">
      <c r="A57" s="30"/>
      <c r="B57" s="142" t="s">
        <v>43</v>
      </c>
      <c r="C57" s="16"/>
      <c r="D57" s="14"/>
      <c r="E57" s="18"/>
      <c r="F57" s="13"/>
      <c r="G57" s="13"/>
      <c r="H57" s="13"/>
      <c r="I57" s="13"/>
    </row>
    <row r="58" spans="1:9" ht="30" hidden="1">
      <c r="A58" s="30">
        <v>16</v>
      </c>
      <c r="B58" s="41" t="s">
        <v>105</v>
      </c>
      <c r="C58" s="42" t="s">
        <v>82</v>
      </c>
      <c r="D58" s="158" t="s">
        <v>164</v>
      </c>
      <c r="E58" s="17">
        <v>45.9</v>
      </c>
      <c r="F58" s="39">
        <f>SUM(E58*6/100)</f>
        <v>2.7539999999999996</v>
      </c>
      <c r="G58" s="39">
        <v>2431.1799999999998</v>
      </c>
      <c r="H58" s="39">
        <f>SUM(F58*G58/1000)</f>
        <v>6.6954697199999984</v>
      </c>
      <c r="I58" s="13">
        <f>G58*0.28</f>
        <v>680.73040000000003</v>
      </c>
    </row>
    <row r="59" spans="1:9" ht="30" hidden="1">
      <c r="A59" s="30"/>
      <c r="B59" s="41" t="s">
        <v>145</v>
      </c>
      <c r="C59" s="42" t="s">
        <v>146</v>
      </c>
      <c r="D59" s="41" t="s">
        <v>66</v>
      </c>
      <c r="E59" s="17"/>
      <c r="F59" s="39">
        <v>2</v>
      </c>
      <c r="G59" s="39">
        <v>1582.05</v>
      </c>
      <c r="H59" s="39">
        <f>SUM(F59*G59/1000)</f>
        <v>3.1640999999999999</v>
      </c>
      <c r="I59" s="13">
        <v>0</v>
      </c>
    </row>
    <row r="60" spans="1:9">
      <c r="A60" s="30"/>
      <c r="B60" s="142" t="s">
        <v>44</v>
      </c>
      <c r="C60" s="16"/>
      <c r="D60" s="14"/>
      <c r="E60" s="18"/>
      <c r="F60" s="13"/>
      <c r="G60" s="13"/>
      <c r="H60" s="13"/>
      <c r="I60" s="13"/>
    </row>
    <row r="61" spans="1:9" hidden="1">
      <c r="A61" s="30"/>
      <c r="B61" s="41" t="s">
        <v>117</v>
      </c>
      <c r="C61" s="42" t="s">
        <v>82</v>
      </c>
      <c r="D61" s="41" t="s">
        <v>53</v>
      </c>
      <c r="E61" s="17">
        <v>168</v>
      </c>
      <c r="F61" s="39">
        <f>E61/100</f>
        <v>1.68</v>
      </c>
      <c r="G61" s="39">
        <v>1040.8399999999999</v>
      </c>
      <c r="H61" s="39">
        <f>F61*G61/1000</f>
        <v>1.7486111999999998</v>
      </c>
      <c r="I61" s="13">
        <v>0</v>
      </c>
    </row>
    <row r="62" spans="1:9">
      <c r="A62" s="30">
        <v>13</v>
      </c>
      <c r="B62" s="143" t="s">
        <v>147</v>
      </c>
      <c r="C62" s="42" t="s">
        <v>148</v>
      </c>
      <c r="D62" s="41" t="s">
        <v>185</v>
      </c>
      <c r="E62" s="17">
        <v>100</v>
      </c>
      <c r="F62" s="39">
        <f>E62*12</f>
        <v>1200</v>
      </c>
      <c r="G62" s="39">
        <v>1.4</v>
      </c>
      <c r="H62" s="39">
        <f>F62*G62/1000</f>
        <v>1.68</v>
      </c>
      <c r="I62" s="13">
        <f>F62/12*G62</f>
        <v>140</v>
      </c>
    </row>
    <row r="63" spans="1:9" ht="16.5" customHeight="1">
      <c r="A63" s="113"/>
      <c r="B63" s="144" t="s">
        <v>45</v>
      </c>
      <c r="C63" s="16"/>
      <c r="D63" s="14"/>
      <c r="E63" s="18"/>
      <c r="F63" s="13"/>
      <c r="G63" s="13"/>
      <c r="H63" s="13" t="s">
        <v>113</v>
      </c>
      <c r="I63" s="13"/>
    </row>
    <row r="64" spans="1:9" ht="18.75" customHeight="1">
      <c r="A64" s="30">
        <v>14</v>
      </c>
      <c r="B64" s="145" t="s">
        <v>46</v>
      </c>
      <c r="C64" s="42" t="s">
        <v>104</v>
      </c>
      <c r="D64" s="41" t="s">
        <v>201</v>
      </c>
      <c r="E64" s="17">
        <v>5</v>
      </c>
      <c r="F64" s="39">
        <f>E64</f>
        <v>5</v>
      </c>
      <c r="G64" s="39">
        <v>291.68</v>
      </c>
      <c r="H64" s="39">
        <f t="shared" ref="H64:H71" si="9">SUM(F64*G64/1000)</f>
        <v>1.4584000000000001</v>
      </c>
      <c r="I64" s="13">
        <f>G64*2</f>
        <v>583.36</v>
      </c>
    </row>
    <row r="65" spans="1:9" ht="27.75" hidden="1" customHeight="1">
      <c r="A65" s="30"/>
      <c r="B65" s="58" t="s">
        <v>47</v>
      </c>
      <c r="C65" s="146" t="s">
        <v>104</v>
      </c>
      <c r="D65" s="147" t="s">
        <v>66</v>
      </c>
      <c r="E65" s="148">
        <v>5</v>
      </c>
      <c r="F65" s="149">
        <f>E65</f>
        <v>5</v>
      </c>
      <c r="G65" s="150">
        <v>100.01</v>
      </c>
      <c r="H65" s="151">
        <f t="shared" si="9"/>
        <v>0.50004999999999999</v>
      </c>
      <c r="I65" s="119">
        <v>0</v>
      </c>
    </row>
    <row r="66" spans="1:9" ht="27" hidden="1" customHeight="1">
      <c r="A66" s="30"/>
      <c r="B66" s="58" t="s">
        <v>48</v>
      </c>
      <c r="C66" s="44" t="s">
        <v>107</v>
      </c>
      <c r="D66" s="41" t="s">
        <v>53</v>
      </c>
      <c r="E66" s="100">
        <v>10348</v>
      </c>
      <c r="F66" s="40">
        <f>SUM(E66/100)</f>
        <v>103.48</v>
      </c>
      <c r="G66" s="39">
        <v>278.24</v>
      </c>
      <c r="H66" s="79">
        <f t="shared" si="9"/>
        <v>28.792275200000002</v>
      </c>
      <c r="I66" s="13">
        <v>0</v>
      </c>
    </row>
    <row r="67" spans="1:9" ht="24.75" hidden="1" customHeight="1">
      <c r="A67" s="30"/>
      <c r="B67" s="58" t="s">
        <v>49</v>
      </c>
      <c r="C67" s="42" t="s">
        <v>108</v>
      </c>
      <c r="D67" s="41" t="s">
        <v>53</v>
      </c>
      <c r="E67" s="100">
        <v>10348</v>
      </c>
      <c r="F67" s="39">
        <f>SUM(E67/1000)</f>
        <v>10.348000000000001</v>
      </c>
      <c r="G67" s="39">
        <v>216.68</v>
      </c>
      <c r="H67" s="79">
        <f t="shared" si="9"/>
        <v>2.2422046400000002</v>
      </c>
      <c r="I67" s="13">
        <v>0</v>
      </c>
    </row>
    <row r="68" spans="1:9" ht="24.75" hidden="1" customHeight="1">
      <c r="A68" s="30"/>
      <c r="B68" s="58" t="s">
        <v>50</v>
      </c>
      <c r="C68" s="42" t="s">
        <v>75</v>
      </c>
      <c r="D68" s="41" t="s">
        <v>53</v>
      </c>
      <c r="E68" s="100">
        <v>1645</v>
      </c>
      <c r="F68" s="39">
        <f>SUM(E68/100)</f>
        <v>16.45</v>
      </c>
      <c r="G68" s="39">
        <v>2720.94</v>
      </c>
      <c r="H68" s="79">
        <f t="shared" si="9"/>
        <v>44.759462999999997</v>
      </c>
      <c r="I68" s="13">
        <v>0</v>
      </c>
    </row>
    <row r="69" spans="1:9" ht="21" hidden="1" customHeight="1">
      <c r="A69" s="30"/>
      <c r="B69" s="53" t="s">
        <v>109</v>
      </c>
      <c r="C69" s="42" t="s">
        <v>32</v>
      </c>
      <c r="D69" s="41"/>
      <c r="E69" s="100">
        <v>9</v>
      </c>
      <c r="F69" s="39">
        <f>E69</f>
        <v>9</v>
      </c>
      <c r="G69" s="39">
        <v>42.61</v>
      </c>
      <c r="H69" s="79">
        <f t="shared" si="9"/>
        <v>0.38349</v>
      </c>
      <c r="I69" s="13">
        <v>0</v>
      </c>
    </row>
    <row r="70" spans="1:9" ht="20.25" hidden="1" customHeight="1">
      <c r="A70" s="30"/>
      <c r="B70" s="53" t="s">
        <v>110</v>
      </c>
      <c r="C70" s="42" t="s">
        <v>32</v>
      </c>
      <c r="D70" s="41"/>
      <c r="E70" s="100">
        <v>9</v>
      </c>
      <c r="F70" s="39">
        <f t="shared" ref="F70:F71" si="10">E70</f>
        <v>9</v>
      </c>
      <c r="G70" s="39">
        <v>46.04</v>
      </c>
      <c r="H70" s="79">
        <f t="shared" si="9"/>
        <v>0.41436000000000001</v>
      </c>
      <c r="I70" s="13">
        <v>0</v>
      </c>
    </row>
    <row r="71" spans="1:9" ht="21" hidden="1" customHeight="1">
      <c r="A71" s="30">
        <v>21</v>
      </c>
      <c r="B71" s="41" t="s">
        <v>57</v>
      </c>
      <c r="C71" s="42" t="s">
        <v>58</v>
      </c>
      <c r="D71" s="41" t="s">
        <v>53</v>
      </c>
      <c r="E71" s="17">
        <v>2</v>
      </c>
      <c r="F71" s="39">
        <f t="shared" si="10"/>
        <v>2</v>
      </c>
      <c r="G71" s="39">
        <v>65.42</v>
      </c>
      <c r="H71" s="79">
        <f t="shared" si="9"/>
        <v>0.13084000000000001</v>
      </c>
      <c r="I71" s="13">
        <f>F71*G71</f>
        <v>130.84</v>
      </c>
    </row>
    <row r="72" spans="1:9">
      <c r="A72" s="30"/>
      <c r="B72" s="142" t="s">
        <v>71</v>
      </c>
      <c r="C72" s="16"/>
      <c r="D72" s="14"/>
      <c r="E72" s="18"/>
      <c r="F72" s="13"/>
      <c r="G72" s="13"/>
      <c r="H72" s="80" t="s">
        <v>113</v>
      </c>
      <c r="I72" s="13"/>
    </row>
    <row r="73" spans="1:9" ht="30" hidden="1">
      <c r="A73" s="30"/>
      <c r="B73" s="14" t="s">
        <v>150</v>
      </c>
      <c r="C73" s="16" t="s">
        <v>151</v>
      </c>
      <c r="D73" s="41" t="s">
        <v>66</v>
      </c>
      <c r="E73" s="18">
        <v>1</v>
      </c>
      <c r="F73" s="13">
        <f>E73</f>
        <v>1</v>
      </c>
      <c r="G73" s="13">
        <v>1029.1199999999999</v>
      </c>
      <c r="H73" s="80">
        <f t="shared" ref="H73:H74" si="11">SUM(F73*G73/1000)</f>
        <v>1.0291199999999998</v>
      </c>
      <c r="I73" s="13">
        <v>0</v>
      </c>
    </row>
    <row r="74" spans="1:9" hidden="1">
      <c r="A74" s="30"/>
      <c r="B74" s="14" t="s">
        <v>152</v>
      </c>
      <c r="C74" s="16" t="s">
        <v>153</v>
      </c>
      <c r="D74" s="120"/>
      <c r="E74" s="18">
        <v>1</v>
      </c>
      <c r="F74" s="13">
        <v>1</v>
      </c>
      <c r="G74" s="13">
        <v>735</v>
      </c>
      <c r="H74" s="80">
        <f t="shared" si="11"/>
        <v>0.73499999999999999</v>
      </c>
      <c r="I74" s="13">
        <v>0</v>
      </c>
    </row>
    <row r="75" spans="1:9" ht="30" hidden="1">
      <c r="A75" s="30">
        <v>16</v>
      </c>
      <c r="B75" s="14" t="s">
        <v>72</v>
      </c>
      <c r="C75" s="16" t="s">
        <v>73</v>
      </c>
      <c r="D75" s="41" t="s">
        <v>66</v>
      </c>
      <c r="E75" s="18">
        <v>2</v>
      </c>
      <c r="F75" s="84">
        <f>SUM(E75/10)</f>
        <v>0.2</v>
      </c>
      <c r="G75" s="13">
        <v>657.87</v>
      </c>
      <c r="H75" s="80">
        <f>SUM(F75*G75/1000)</f>
        <v>0.13157400000000002</v>
      </c>
      <c r="I75" s="13">
        <f>G75*0.2</f>
        <v>131.57400000000001</v>
      </c>
    </row>
    <row r="76" spans="1:9" ht="30" hidden="1">
      <c r="A76" s="30"/>
      <c r="B76" s="14" t="s">
        <v>154</v>
      </c>
      <c r="C76" s="16" t="s">
        <v>104</v>
      </c>
      <c r="D76" s="41" t="s">
        <v>66</v>
      </c>
      <c r="E76" s="18">
        <v>2</v>
      </c>
      <c r="F76" s="13">
        <f>E76</f>
        <v>2</v>
      </c>
      <c r="G76" s="13">
        <v>1118.72</v>
      </c>
      <c r="H76" s="80">
        <f>SUM(F76*G76/1000)</f>
        <v>2.2374399999999999</v>
      </c>
      <c r="I76" s="13">
        <v>0</v>
      </c>
    </row>
    <row r="77" spans="1:9" ht="30" hidden="1">
      <c r="A77" s="30"/>
      <c r="B77" s="56" t="s">
        <v>155</v>
      </c>
      <c r="C77" s="57" t="s">
        <v>104</v>
      </c>
      <c r="D77" s="41" t="s">
        <v>66</v>
      </c>
      <c r="E77" s="18">
        <v>1</v>
      </c>
      <c r="F77" s="75">
        <v>1</v>
      </c>
      <c r="G77" s="13">
        <v>1605.83</v>
      </c>
      <c r="H77" s="80">
        <f>SUM(F77*G77/1000)</f>
        <v>1.6058299999999999</v>
      </c>
      <c r="I77" s="13">
        <v>0</v>
      </c>
    </row>
    <row r="78" spans="1:9" ht="30">
      <c r="A78" s="30">
        <v>15</v>
      </c>
      <c r="B78" s="56" t="s">
        <v>156</v>
      </c>
      <c r="C78" s="57" t="s">
        <v>104</v>
      </c>
      <c r="D78" s="14" t="s">
        <v>202</v>
      </c>
      <c r="E78" s="18">
        <v>2</v>
      </c>
      <c r="F78" s="84">
        <f>E78*12</f>
        <v>24</v>
      </c>
      <c r="G78" s="13">
        <v>53.42</v>
      </c>
      <c r="H78" s="80">
        <f t="shared" ref="H78:H79" si="12">SUM(F78*G78/1000)</f>
        <v>1.2820799999999999</v>
      </c>
      <c r="I78" s="13">
        <f>G78*2</f>
        <v>106.84</v>
      </c>
    </row>
    <row r="79" spans="1:9" ht="30">
      <c r="A79" s="30">
        <v>16</v>
      </c>
      <c r="B79" s="56" t="s">
        <v>157</v>
      </c>
      <c r="C79" s="57" t="s">
        <v>104</v>
      </c>
      <c r="D79" s="14" t="s">
        <v>202</v>
      </c>
      <c r="E79" s="18">
        <v>1</v>
      </c>
      <c r="F79" s="84">
        <f>E79*12</f>
        <v>12</v>
      </c>
      <c r="G79" s="13">
        <v>1194</v>
      </c>
      <c r="H79" s="80">
        <f t="shared" si="12"/>
        <v>14.327999999999999</v>
      </c>
      <c r="I79" s="13">
        <f>G79</f>
        <v>1194</v>
      </c>
    </row>
    <row r="80" spans="1:9" hidden="1">
      <c r="A80" s="30"/>
      <c r="B80" s="90" t="s">
        <v>74</v>
      </c>
      <c r="C80" s="16"/>
      <c r="D80" s="14"/>
      <c r="E80" s="18"/>
      <c r="F80" s="13"/>
      <c r="G80" s="13" t="s">
        <v>113</v>
      </c>
      <c r="H80" s="80" t="s">
        <v>113</v>
      </c>
      <c r="I80" s="13"/>
    </row>
    <row r="81" spans="1:9" hidden="1">
      <c r="A81" s="30"/>
      <c r="B81" s="43" t="s">
        <v>114</v>
      </c>
      <c r="C81" s="44" t="s">
        <v>75</v>
      </c>
      <c r="D81" s="58"/>
      <c r="E81" s="121"/>
      <c r="F81" s="40">
        <v>0.6</v>
      </c>
      <c r="G81" s="40">
        <v>3619.09</v>
      </c>
      <c r="H81" s="79">
        <f t="shared" ref="H81" si="13">SUM(F81*G81/1000)</f>
        <v>2.1714540000000002</v>
      </c>
      <c r="I81" s="13">
        <v>0</v>
      </c>
    </row>
    <row r="82" spans="1:9" ht="28.5" hidden="1">
      <c r="A82" s="30"/>
      <c r="B82" s="93" t="s">
        <v>88</v>
      </c>
      <c r="C82" s="90"/>
      <c r="D82" s="32"/>
      <c r="E82" s="33"/>
      <c r="F82" s="87"/>
      <c r="G82" s="87"/>
      <c r="H82" s="91">
        <f>SUM(H58:H81)</f>
        <v>115.48976176000001</v>
      </c>
      <c r="I82" s="87"/>
    </row>
    <row r="83" spans="1:9" hidden="1">
      <c r="A83" s="109">
        <v>17</v>
      </c>
      <c r="B83" s="123" t="s">
        <v>111</v>
      </c>
      <c r="C83" s="124"/>
      <c r="D83" s="125"/>
      <c r="E83" s="122"/>
      <c r="F83" s="126">
        <v>1</v>
      </c>
      <c r="G83" s="126">
        <v>7005.5</v>
      </c>
      <c r="H83" s="127">
        <f>G83*F83/1000</f>
        <v>7.0054999999999996</v>
      </c>
      <c r="I83" s="112">
        <f>G83</f>
        <v>7005.5</v>
      </c>
    </row>
    <row r="84" spans="1:9">
      <c r="A84" s="189" t="s">
        <v>133</v>
      </c>
      <c r="B84" s="189"/>
      <c r="C84" s="189"/>
      <c r="D84" s="189"/>
      <c r="E84" s="189"/>
      <c r="F84" s="189"/>
      <c r="G84" s="189"/>
      <c r="H84" s="189"/>
      <c r="I84" s="189"/>
    </row>
    <row r="85" spans="1:9">
      <c r="A85" s="30">
        <v>17</v>
      </c>
      <c r="B85" s="41" t="s">
        <v>112</v>
      </c>
      <c r="C85" s="42" t="s">
        <v>54</v>
      </c>
      <c r="D85" s="59"/>
      <c r="E85" s="39">
        <v>2135.1999999999998</v>
      </c>
      <c r="F85" s="39">
        <f>SUM(E85*12)</f>
        <v>25622.399999999998</v>
      </c>
      <c r="G85" s="39">
        <v>3.1</v>
      </c>
      <c r="H85" s="39">
        <f>SUM(F85*G85/1000)</f>
        <v>79.42944</v>
      </c>
      <c r="I85" s="13">
        <f>F85/12*G85</f>
        <v>6619.12</v>
      </c>
    </row>
    <row r="86" spans="1:9" ht="30">
      <c r="A86" s="30">
        <v>18</v>
      </c>
      <c r="B86" s="14" t="s">
        <v>76</v>
      </c>
      <c r="C86" s="16"/>
      <c r="D86" s="59"/>
      <c r="E86" s="83">
        <v>2135.1999999999998</v>
      </c>
      <c r="F86" s="13">
        <f>E86*12</f>
        <v>25622.399999999998</v>
      </c>
      <c r="G86" s="13">
        <v>3.5</v>
      </c>
      <c r="H86" s="80">
        <f>F86*G86/1000</f>
        <v>89.678399999999996</v>
      </c>
      <c r="I86" s="13">
        <f>F86/12*G86</f>
        <v>7473.1999999999989</v>
      </c>
    </row>
    <row r="87" spans="1:9">
      <c r="A87" s="30"/>
      <c r="B87" s="45" t="s">
        <v>78</v>
      </c>
      <c r="C87" s="90"/>
      <c r="D87" s="89"/>
      <c r="E87" s="87"/>
      <c r="F87" s="87"/>
      <c r="G87" s="87"/>
      <c r="H87" s="91">
        <f>H86</f>
        <v>89.678399999999996</v>
      </c>
      <c r="I87" s="87">
        <f>I86+I85+I79+I78+I64+I62+I44+I43+I42+I41+I40+I39+I38+I27+I20+I18+I17+I16</f>
        <v>43972.896986666667</v>
      </c>
    </row>
    <row r="88" spans="1:9">
      <c r="A88" s="178" t="s">
        <v>60</v>
      </c>
      <c r="B88" s="179"/>
      <c r="C88" s="179"/>
      <c r="D88" s="179"/>
      <c r="E88" s="179"/>
      <c r="F88" s="179"/>
      <c r="G88" s="179"/>
      <c r="H88" s="179"/>
      <c r="I88" s="180"/>
    </row>
    <row r="89" spans="1:9" ht="30">
      <c r="A89" s="30">
        <v>19</v>
      </c>
      <c r="B89" s="134" t="s">
        <v>118</v>
      </c>
      <c r="C89" s="61" t="s">
        <v>119</v>
      </c>
      <c r="D89" s="60"/>
      <c r="E89" s="39"/>
      <c r="F89" s="39">
        <v>120</v>
      </c>
      <c r="G89" s="39">
        <v>644.72</v>
      </c>
      <c r="H89" s="79">
        <f>G89*F89/1000</f>
        <v>77.366400000000013</v>
      </c>
      <c r="I89" s="13">
        <f>G89*1</f>
        <v>644.72</v>
      </c>
    </row>
    <row r="90" spans="1:9" ht="30">
      <c r="A90" s="30">
        <v>20</v>
      </c>
      <c r="B90" s="134" t="s">
        <v>186</v>
      </c>
      <c r="C90" s="61" t="s">
        <v>172</v>
      </c>
      <c r="D90" s="60"/>
      <c r="E90" s="39"/>
      <c r="F90" s="39">
        <v>1</v>
      </c>
      <c r="G90" s="39">
        <v>1465</v>
      </c>
      <c r="H90" s="79">
        <f>G90*F90/1000</f>
        <v>1.4650000000000001</v>
      </c>
      <c r="I90" s="39">
        <f>G90*1</f>
        <v>1465</v>
      </c>
    </row>
    <row r="91" spans="1:9">
      <c r="A91" s="30">
        <v>21</v>
      </c>
      <c r="B91" s="134" t="s">
        <v>187</v>
      </c>
      <c r="C91" s="61" t="s">
        <v>28</v>
      </c>
      <c r="D91" s="60"/>
      <c r="E91" s="39"/>
      <c r="F91" s="39"/>
      <c r="G91" s="39">
        <v>1160.81</v>
      </c>
      <c r="H91" s="79"/>
      <c r="I91" s="39">
        <f>G91*0.0664</f>
        <v>77.077783999999994</v>
      </c>
    </row>
    <row r="92" spans="1:9">
      <c r="A92" s="30">
        <v>22</v>
      </c>
      <c r="B92" s="134" t="s">
        <v>166</v>
      </c>
      <c r="C92" s="61" t="s">
        <v>104</v>
      </c>
      <c r="D92" s="60"/>
      <c r="E92" s="39"/>
      <c r="F92" s="39"/>
      <c r="G92" s="39">
        <v>207.55</v>
      </c>
      <c r="H92" s="79"/>
      <c r="I92" s="39">
        <f>G92*2</f>
        <v>415.1</v>
      </c>
    </row>
    <row r="93" spans="1:9">
      <c r="A93" s="30">
        <v>23</v>
      </c>
      <c r="B93" s="134" t="s">
        <v>190</v>
      </c>
      <c r="C93" s="61" t="s">
        <v>189</v>
      </c>
      <c r="D93" s="60"/>
      <c r="E93" s="39"/>
      <c r="F93" s="39"/>
      <c r="G93" s="159">
        <v>24628.49</v>
      </c>
      <c r="H93" s="79"/>
      <c r="I93" s="39">
        <f>G93*0.025</f>
        <v>615.71225000000004</v>
      </c>
    </row>
    <row r="94" spans="1:9">
      <c r="A94" s="30"/>
      <c r="B94" s="50" t="s">
        <v>51</v>
      </c>
      <c r="C94" s="57"/>
      <c r="D94" s="52"/>
      <c r="E94" s="13"/>
      <c r="F94" s="13"/>
      <c r="G94" s="13"/>
      <c r="H94" s="80"/>
      <c r="I94" s="87">
        <f>SUM(I89:I93)</f>
        <v>3217.6100340000003</v>
      </c>
    </row>
    <row r="95" spans="1:9">
      <c r="A95" s="30"/>
      <c r="B95" s="52" t="s">
        <v>77</v>
      </c>
      <c r="C95" s="15"/>
      <c r="D95" s="15"/>
      <c r="E95" s="47"/>
      <c r="F95" s="47"/>
      <c r="G95" s="48"/>
      <c r="H95" s="48"/>
      <c r="I95" s="17">
        <v>0</v>
      </c>
    </row>
    <row r="96" spans="1:9">
      <c r="A96" s="54"/>
      <c r="B96" s="51" t="s">
        <v>139</v>
      </c>
      <c r="C96" s="38"/>
      <c r="D96" s="38"/>
      <c r="E96" s="38"/>
      <c r="F96" s="38"/>
      <c r="G96" s="38"/>
      <c r="H96" s="38"/>
      <c r="I96" s="49">
        <f>I87+I94</f>
        <v>47190.507020666664</v>
      </c>
    </row>
    <row r="97" spans="1:9" ht="15.75">
      <c r="A97" s="181" t="s">
        <v>211</v>
      </c>
      <c r="B97" s="181"/>
      <c r="C97" s="181"/>
      <c r="D97" s="181"/>
      <c r="E97" s="181"/>
      <c r="F97" s="181"/>
      <c r="G97" s="181"/>
      <c r="H97" s="181"/>
      <c r="I97" s="181"/>
    </row>
    <row r="98" spans="1:9" ht="15.75">
      <c r="A98" s="68">
        <v>5</v>
      </c>
      <c r="B98" s="182" t="s">
        <v>212</v>
      </c>
      <c r="C98" s="182"/>
      <c r="D98" s="182"/>
      <c r="E98" s="182"/>
      <c r="F98" s="182"/>
      <c r="G98" s="182"/>
      <c r="H98" s="78"/>
      <c r="I98" s="3"/>
    </row>
    <row r="99" spans="1:9">
      <c r="A99" s="139"/>
      <c r="B99" s="183" t="s">
        <v>6</v>
      </c>
      <c r="C99" s="183"/>
      <c r="D99" s="183"/>
      <c r="E99" s="183"/>
      <c r="F99" s="183"/>
      <c r="G99" s="183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4" t="s">
        <v>7</v>
      </c>
      <c r="B101" s="184"/>
      <c r="C101" s="184"/>
      <c r="D101" s="184"/>
      <c r="E101" s="184"/>
      <c r="F101" s="184"/>
      <c r="G101" s="184"/>
      <c r="H101" s="184"/>
      <c r="I101" s="184"/>
    </row>
    <row r="102" spans="1:9" ht="15.75">
      <c r="A102" s="184" t="s">
        <v>8</v>
      </c>
      <c r="B102" s="184"/>
      <c r="C102" s="184"/>
      <c r="D102" s="184"/>
      <c r="E102" s="184"/>
      <c r="F102" s="184"/>
      <c r="G102" s="184"/>
      <c r="H102" s="184"/>
      <c r="I102" s="184"/>
    </row>
    <row r="103" spans="1:9" ht="15.75">
      <c r="A103" s="185" t="s">
        <v>61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15.75">
      <c r="A104" s="11"/>
    </row>
    <row r="105" spans="1:9" ht="15.75">
      <c r="A105" s="186" t="s">
        <v>9</v>
      </c>
      <c r="B105" s="186"/>
      <c r="C105" s="186"/>
      <c r="D105" s="186"/>
      <c r="E105" s="186"/>
      <c r="F105" s="186"/>
      <c r="G105" s="186"/>
      <c r="H105" s="186"/>
      <c r="I105" s="186"/>
    </row>
    <row r="106" spans="1:9" ht="15.75">
      <c r="A106" s="4"/>
    </row>
    <row r="107" spans="1:9" ht="15.75">
      <c r="B107" s="140" t="s">
        <v>10</v>
      </c>
      <c r="C107" s="187" t="s">
        <v>124</v>
      </c>
      <c r="D107" s="187"/>
      <c r="E107" s="187"/>
      <c r="F107" s="76"/>
      <c r="I107" s="138"/>
    </row>
    <row r="108" spans="1:9">
      <c r="A108" s="139"/>
      <c r="C108" s="183" t="s">
        <v>11</v>
      </c>
      <c r="D108" s="183"/>
      <c r="E108" s="183"/>
      <c r="F108" s="25"/>
      <c r="I108" s="137" t="s">
        <v>12</v>
      </c>
    </row>
    <row r="109" spans="1:9" ht="15.75">
      <c r="A109" s="26"/>
      <c r="C109" s="12"/>
      <c r="D109" s="12"/>
      <c r="G109" s="12"/>
      <c r="H109" s="12"/>
    </row>
    <row r="110" spans="1:9" ht="15.75">
      <c r="B110" s="140" t="s">
        <v>13</v>
      </c>
      <c r="C110" s="188"/>
      <c r="D110" s="188"/>
      <c r="E110" s="188"/>
      <c r="F110" s="77"/>
      <c r="I110" s="138"/>
    </row>
    <row r="111" spans="1:9">
      <c r="A111" s="139"/>
      <c r="C111" s="177" t="s">
        <v>11</v>
      </c>
      <c r="D111" s="177"/>
      <c r="E111" s="177"/>
      <c r="F111" s="139"/>
      <c r="I111" s="137" t="s">
        <v>12</v>
      </c>
    </row>
    <row r="112" spans="1:9" ht="15.75">
      <c r="A112" s="4" t="s">
        <v>14</v>
      </c>
    </row>
    <row r="113" spans="1:9">
      <c r="A113" s="175" t="s">
        <v>15</v>
      </c>
      <c r="B113" s="175"/>
      <c r="C113" s="175"/>
      <c r="D113" s="175"/>
      <c r="E113" s="175"/>
      <c r="F113" s="175"/>
      <c r="G113" s="175"/>
      <c r="H113" s="175"/>
      <c r="I113" s="175"/>
    </row>
    <row r="114" spans="1:9" ht="50.25" customHeight="1">
      <c r="A114" s="176" t="s">
        <v>16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37.5" customHeight="1">
      <c r="A115" s="176" t="s">
        <v>17</v>
      </c>
      <c r="B115" s="176"/>
      <c r="C115" s="176"/>
      <c r="D115" s="176"/>
      <c r="E115" s="176"/>
      <c r="F115" s="176"/>
      <c r="G115" s="176"/>
      <c r="H115" s="176"/>
      <c r="I115" s="176"/>
    </row>
    <row r="116" spans="1:9" ht="30.75" customHeight="1">
      <c r="A116" s="176" t="s">
        <v>21</v>
      </c>
      <c r="B116" s="176"/>
      <c r="C116" s="176"/>
      <c r="D116" s="176"/>
      <c r="E116" s="176"/>
      <c r="F116" s="176"/>
      <c r="G116" s="176"/>
      <c r="H116" s="176"/>
      <c r="I116" s="176"/>
    </row>
    <row r="117" spans="1:9" ht="23.25" customHeight="1">
      <c r="A117" s="176" t="s">
        <v>20</v>
      </c>
      <c r="B117" s="176"/>
      <c r="C117" s="176"/>
      <c r="D117" s="176"/>
      <c r="E117" s="176"/>
      <c r="F117" s="176"/>
      <c r="G117" s="176"/>
      <c r="H117" s="176"/>
      <c r="I117" s="176"/>
    </row>
  </sheetData>
  <mergeCells count="28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8:I28"/>
    <mergeCell ref="A45:I45"/>
    <mergeCell ref="A56:I56"/>
    <mergeCell ref="A84:I84"/>
    <mergeCell ref="A88:I88"/>
    <mergeCell ref="A97:I97"/>
    <mergeCell ref="B98:G98"/>
    <mergeCell ref="B99:G99"/>
    <mergeCell ref="A101:I101"/>
    <mergeCell ref="A102:I102"/>
    <mergeCell ref="A14:I14"/>
    <mergeCell ref="A3:I3"/>
    <mergeCell ref="A4:I4"/>
    <mergeCell ref="A5:I5"/>
    <mergeCell ref="A8:I8"/>
    <mergeCell ref="A10:I10"/>
  </mergeCells>
  <pageMargins left="0.70866141732283472" right="0.70866141732283472" top="0.74803149606299213" bottom="0.15748031496062992" header="0.31496062992125984" footer="0.31496062992125984"/>
  <pageSetup paperSize="9" scale="6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3"/>
  <sheetViews>
    <sheetView workbookViewId="0">
      <selection activeCell="J99" sqref="J99"/>
    </sheetView>
  </sheetViews>
  <sheetFormatPr defaultRowHeight="15"/>
  <cols>
    <col min="1" max="1" width="11" customWidth="1"/>
    <col min="2" max="2" width="47.42578125" customWidth="1"/>
    <col min="3" max="3" width="18.140625" customWidth="1"/>
    <col min="4" max="4" width="18" customWidth="1"/>
    <col min="5" max="5" width="0" hidden="1" customWidth="1"/>
    <col min="6" max="6" width="13.42578125" hidden="1" customWidth="1"/>
    <col min="7" max="7" width="18" customWidth="1"/>
    <col min="8" max="8" width="0" hidden="1" customWidth="1"/>
    <col min="9" max="9" width="18.140625" customWidth="1"/>
  </cols>
  <sheetData>
    <row r="1" spans="1:9" ht="15.75">
      <c r="A1" s="28" t="s">
        <v>167</v>
      </c>
      <c r="I1" s="27"/>
    </row>
    <row r="2" spans="1:9" ht="15.75">
      <c r="A2" s="29" t="s">
        <v>62</v>
      </c>
    </row>
    <row r="3" spans="1:9" ht="15.75">
      <c r="A3" s="190" t="s">
        <v>170</v>
      </c>
      <c r="B3" s="190"/>
      <c r="C3" s="190"/>
      <c r="D3" s="190"/>
      <c r="E3" s="190"/>
      <c r="F3" s="190"/>
      <c r="G3" s="190"/>
      <c r="H3" s="190"/>
      <c r="I3" s="190"/>
    </row>
    <row r="4" spans="1:9" ht="34.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9" ht="15.75">
      <c r="A5" s="190" t="s">
        <v>191</v>
      </c>
      <c r="B5" s="192"/>
      <c r="C5" s="192"/>
      <c r="D5" s="192"/>
      <c r="E5" s="192"/>
      <c r="F5" s="192"/>
      <c r="G5" s="192"/>
      <c r="H5" s="192"/>
      <c r="I5" s="192"/>
    </row>
    <row r="6" spans="1:9" ht="15.75">
      <c r="A6" s="2"/>
      <c r="B6" s="152"/>
      <c r="C6" s="152"/>
      <c r="D6" s="152"/>
      <c r="E6" s="152"/>
      <c r="F6" s="152"/>
      <c r="G6" s="152"/>
      <c r="H6" s="152"/>
      <c r="I6" s="31">
        <v>43616</v>
      </c>
    </row>
    <row r="7" spans="1:9" ht="15.75">
      <c r="B7" s="156"/>
      <c r="C7" s="156"/>
      <c r="D7" s="156"/>
      <c r="E7" s="3"/>
      <c r="F7" s="3"/>
      <c r="G7" s="3"/>
      <c r="H7" s="3"/>
    </row>
    <row r="8" spans="1:9" ht="93.75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</row>
    <row r="9" spans="1:9" ht="15.75">
      <c r="A9" s="4"/>
    </row>
    <row r="10" spans="1:9" ht="63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</row>
    <row r="11" spans="1:9" ht="15.75">
      <c r="A11" s="4"/>
    </row>
    <row r="12" spans="1:9" ht="69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21.75" customHeight="1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</row>
    <row r="17" spans="1:9" ht="18.75" customHeight="1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</row>
    <row r="18" spans="1:9" ht="17.25" customHeight="1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</row>
    <row r="19" spans="1:9" ht="17.25" customHeight="1">
      <c r="A19" s="30">
        <v>4</v>
      </c>
      <c r="B19" s="35" t="s">
        <v>89</v>
      </c>
      <c r="C19" s="46" t="s">
        <v>90</v>
      </c>
      <c r="D19" s="35" t="s">
        <v>213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f>F19*G19</f>
        <v>401.70599999999996</v>
      </c>
    </row>
    <row r="20" spans="1:9" ht="17.25" customHeight="1">
      <c r="A20" s="30">
        <v>5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</row>
    <row r="21" spans="1:9" ht="17.25" customHeight="1">
      <c r="A21" s="30">
        <v>6</v>
      </c>
      <c r="B21" s="35" t="s">
        <v>93</v>
      </c>
      <c r="C21" s="46" t="s">
        <v>82</v>
      </c>
      <c r="D21" s="35" t="s">
        <v>185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0.054/2*G21</f>
        <v>7.6528799999999997</v>
      </c>
    </row>
    <row r="22" spans="1:9" ht="14.25" customHeight="1">
      <c r="A22" s="30">
        <v>7</v>
      </c>
      <c r="B22" s="35" t="s">
        <v>94</v>
      </c>
      <c r="C22" s="46" t="s">
        <v>52</v>
      </c>
      <c r="D22" s="35" t="s">
        <v>214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f>F22*G22</f>
        <v>915.33888000000002</v>
      </c>
    </row>
    <row r="23" spans="1:9" ht="15" customHeight="1">
      <c r="A23" s="30">
        <v>8</v>
      </c>
      <c r="B23" s="35" t="s">
        <v>95</v>
      </c>
      <c r="C23" s="46" t="s">
        <v>52</v>
      </c>
      <c r="D23" s="35" t="s">
        <v>215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f>F23*G23</f>
        <v>14.026319999999998</v>
      </c>
    </row>
    <row r="24" spans="1:9" ht="17.25" customHeight="1">
      <c r="A24" s="30">
        <v>9</v>
      </c>
      <c r="B24" s="35" t="s">
        <v>96</v>
      </c>
      <c r="C24" s="46" t="s">
        <v>52</v>
      </c>
      <c r="D24" s="35" t="s">
        <v>216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f>F24*G24</f>
        <v>51.112000000000002</v>
      </c>
    </row>
    <row r="25" spans="1:9" ht="33.75" customHeight="1">
      <c r="A25" s="30">
        <v>10</v>
      </c>
      <c r="B25" s="35" t="s">
        <v>98</v>
      </c>
      <c r="C25" s="46" t="s">
        <v>52</v>
      </c>
      <c r="D25" s="35" t="s">
        <v>202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f>F25*G25</f>
        <v>26.9268</v>
      </c>
    </row>
    <row r="26" spans="1:9" ht="18" customHeight="1">
      <c r="A26" s="30">
        <v>11</v>
      </c>
      <c r="B26" s="35" t="s">
        <v>99</v>
      </c>
      <c r="C26" s="46" t="s">
        <v>52</v>
      </c>
      <c r="D26" s="35" t="s">
        <v>185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f>F26*G26</f>
        <v>29.029624999999999</v>
      </c>
    </row>
    <row r="27" spans="1:9" ht="17.25" customHeight="1">
      <c r="A27" s="30">
        <v>12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</row>
    <row r="28" spans="1:9">
      <c r="A28" s="196" t="s">
        <v>160</v>
      </c>
      <c r="B28" s="197"/>
      <c r="C28" s="197"/>
      <c r="D28" s="197"/>
      <c r="E28" s="197"/>
      <c r="F28" s="197"/>
      <c r="G28" s="197"/>
      <c r="H28" s="197"/>
      <c r="I28" s="198"/>
    </row>
    <row r="29" spans="1:9" ht="19.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</row>
    <row r="30" spans="1:9" ht="19.5" customHeight="1">
      <c r="A30" s="30">
        <v>13</v>
      </c>
      <c r="B30" s="81" t="s">
        <v>102</v>
      </c>
      <c r="C30" s="46" t="s">
        <v>85</v>
      </c>
      <c r="D30" s="35" t="s">
        <v>200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5" si="2">SUM(F30*G30/1000)</f>
        <v>3.528389072</v>
      </c>
      <c r="I30" s="13">
        <f t="shared" ref="I30:I33" si="3">F30/6*G30</f>
        <v>588.06484533333344</v>
      </c>
    </row>
    <row r="31" spans="1:9" ht="36.75" customHeight="1">
      <c r="A31" s="30">
        <v>14</v>
      </c>
      <c r="B31" s="81" t="s">
        <v>101</v>
      </c>
      <c r="C31" s="46" t="s">
        <v>85</v>
      </c>
      <c r="D31" s="35" t="s">
        <v>199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</row>
    <row r="32" spans="1:9" ht="17.25" customHeight="1">
      <c r="A32" s="30">
        <v>15</v>
      </c>
      <c r="B32" s="81" t="s">
        <v>26</v>
      </c>
      <c r="C32" s="46" t="s">
        <v>85</v>
      </c>
      <c r="D32" s="35" t="s">
        <v>202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</row>
    <row r="33" spans="1:9" ht="14.25" customHeight="1">
      <c r="A33" s="30">
        <v>16</v>
      </c>
      <c r="B33" s="81" t="s">
        <v>128</v>
      </c>
      <c r="C33" s="46" t="s">
        <v>40</v>
      </c>
      <c r="D33" s="35" t="s">
        <v>204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</row>
    <row r="34" spans="1:9" ht="18" hidden="1" customHeight="1">
      <c r="A34" s="30"/>
      <c r="B34" s="35" t="s">
        <v>64</v>
      </c>
      <c r="C34" s="46" t="s">
        <v>32</v>
      </c>
      <c r="D34" s="35" t="s">
        <v>66</v>
      </c>
      <c r="E34" s="100"/>
      <c r="F34" s="34">
        <v>2</v>
      </c>
      <c r="G34" s="34">
        <v>250.92</v>
      </c>
      <c r="H34" s="101">
        <f t="shared" si="2"/>
        <v>0.50183999999999995</v>
      </c>
      <c r="I34" s="13">
        <v>0</v>
      </c>
    </row>
    <row r="35" spans="1:9" ht="18.75" hidden="1" customHeight="1">
      <c r="A35" s="30"/>
      <c r="B35" s="35" t="s">
        <v>65</v>
      </c>
      <c r="C35" s="46" t="s">
        <v>31</v>
      </c>
      <c r="D35" s="35" t="s">
        <v>66</v>
      </c>
      <c r="E35" s="100"/>
      <c r="F35" s="34">
        <v>1</v>
      </c>
      <c r="G35" s="34">
        <v>1490.31</v>
      </c>
      <c r="H35" s="101">
        <f t="shared" si="2"/>
        <v>1.49031</v>
      </c>
      <c r="I35" s="13">
        <v>0</v>
      </c>
    </row>
    <row r="36" spans="1:9" hidden="1">
      <c r="A36" s="30"/>
      <c r="B36" s="92" t="s">
        <v>5</v>
      </c>
      <c r="C36" s="82"/>
      <c r="D36" s="81"/>
      <c r="E36" s="83"/>
      <c r="F36" s="84"/>
      <c r="G36" s="84"/>
      <c r="H36" s="85" t="s">
        <v>113</v>
      </c>
      <c r="I36" s="13"/>
    </row>
    <row r="37" spans="1:9" hidden="1">
      <c r="A37" s="30">
        <v>7</v>
      </c>
      <c r="B37" s="36" t="s">
        <v>25</v>
      </c>
      <c r="C37" s="46" t="s">
        <v>31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1" si="5">F37/6*G37</f>
        <v>1335.3333333333333</v>
      </c>
    </row>
    <row r="38" spans="1:9" hidden="1">
      <c r="A38" s="30">
        <v>8</v>
      </c>
      <c r="B38" s="36" t="s">
        <v>142</v>
      </c>
      <c r="C38" s="55" t="s">
        <v>28</v>
      </c>
      <c r="D38" s="35" t="s">
        <v>83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</row>
    <row r="39" spans="1:9" ht="30" hidden="1">
      <c r="A39" s="30">
        <v>9</v>
      </c>
      <c r="B39" s="35" t="s">
        <v>67</v>
      </c>
      <c r="C39" s="46" t="s">
        <v>28</v>
      </c>
      <c r="D39" s="35" t="s">
        <v>84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</row>
    <row r="40" spans="1:9" hidden="1">
      <c r="A40" s="30"/>
      <c r="B40" s="35" t="s">
        <v>143</v>
      </c>
      <c r="C40" s="46" t="s">
        <v>144</v>
      </c>
      <c r="D40" s="35" t="s">
        <v>66</v>
      </c>
      <c r="E40" s="100"/>
      <c r="F40" s="37">
        <v>39</v>
      </c>
      <c r="G40" s="34">
        <v>314</v>
      </c>
      <c r="H40" s="101">
        <f t="shared" si="4"/>
        <v>12.246</v>
      </c>
      <c r="I40" s="13"/>
    </row>
    <row r="41" spans="1:9" ht="60" hidden="1">
      <c r="A41" s="30">
        <v>10</v>
      </c>
      <c r="B41" s="35" t="s">
        <v>79</v>
      </c>
      <c r="C41" s="46" t="s">
        <v>85</v>
      </c>
      <c r="D41" s="35" t="s">
        <v>115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</row>
    <row r="42" spans="1:9" hidden="1">
      <c r="A42" s="30">
        <v>11</v>
      </c>
      <c r="B42" s="35" t="s">
        <v>116</v>
      </c>
      <c r="C42" s="46" t="s">
        <v>85</v>
      </c>
      <c r="D42" s="35" t="s">
        <v>68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>(F42/7.5*1.5)*G42</f>
        <v>551.06122500000004</v>
      </c>
    </row>
    <row r="43" spans="1:9" hidden="1">
      <c r="A43" s="30">
        <v>12</v>
      </c>
      <c r="B43" s="36" t="s">
        <v>69</v>
      </c>
      <c r="C43" s="55" t="s">
        <v>32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>(F43/7.5*1.5)*G43</f>
        <v>97.483000000000004</v>
      </c>
    </row>
    <row r="44" spans="1:9">
      <c r="A44" s="196" t="s">
        <v>123</v>
      </c>
      <c r="B44" s="197"/>
      <c r="C44" s="197"/>
      <c r="D44" s="197"/>
      <c r="E44" s="197"/>
      <c r="F44" s="197"/>
      <c r="G44" s="197"/>
      <c r="H44" s="197"/>
      <c r="I44" s="198"/>
    </row>
    <row r="45" spans="1:9" ht="18" customHeight="1">
      <c r="A45" s="30">
        <v>17</v>
      </c>
      <c r="B45" s="35" t="s">
        <v>103</v>
      </c>
      <c r="C45" s="46" t="s">
        <v>85</v>
      </c>
      <c r="D45" s="35" t="s">
        <v>185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f t="shared" ref="I45:I48" si="7">F45/2*G45</f>
        <v>890.89055999999994</v>
      </c>
    </row>
    <row r="46" spans="1:9" ht="21" customHeight="1">
      <c r="A46" s="30">
        <v>18</v>
      </c>
      <c r="B46" s="35" t="s">
        <v>35</v>
      </c>
      <c r="C46" s="46" t="s">
        <v>85</v>
      </c>
      <c r="D46" s="35" t="s">
        <v>185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f t="shared" si="7"/>
        <v>19.75948</v>
      </c>
    </row>
    <row r="47" spans="1:9" ht="18.75" customHeight="1">
      <c r="A47" s="30">
        <v>19</v>
      </c>
      <c r="B47" s="35" t="s">
        <v>36</v>
      </c>
      <c r="C47" s="46" t="s">
        <v>85</v>
      </c>
      <c r="D47" s="35" t="s">
        <v>185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f t="shared" si="7"/>
        <v>668.02242000000001</v>
      </c>
    </row>
    <row r="48" spans="1:9" ht="17.25" customHeight="1">
      <c r="A48" s="30">
        <v>20</v>
      </c>
      <c r="B48" s="35" t="s">
        <v>37</v>
      </c>
      <c r="C48" s="46" t="s">
        <v>85</v>
      </c>
      <c r="D48" s="35" t="s">
        <v>185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f t="shared" si="7"/>
        <v>1186.3686650000002</v>
      </c>
    </row>
    <row r="49" spans="1:9" ht="18" customHeight="1">
      <c r="A49" s="30">
        <v>21</v>
      </c>
      <c r="B49" s="35" t="s">
        <v>33</v>
      </c>
      <c r="C49" s="46" t="s">
        <v>34</v>
      </c>
      <c r="D49" s="35" t="s">
        <v>185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f>F49/2*G49</f>
        <v>58.287095999999991</v>
      </c>
    </row>
    <row r="50" spans="1:9" ht="21.75" customHeight="1">
      <c r="A50" s="30">
        <v>22</v>
      </c>
      <c r="B50" s="35" t="s">
        <v>56</v>
      </c>
      <c r="C50" s="46" t="s">
        <v>85</v>
      </c>
      <c r="D50" s="35" t="s">
        <v>185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</row>
    <row r="51" spans="1:9" ht="33" customHeight="1">
      <c r="A51" s="30">
        <v>23</v>
      </c>
      <c r="B51" s="35" t="s">
        <v>86</v>
      </c>
      <c r="C51" s="46" t="s">
        <v>85</v>
      </c>
      <c r="D51" s="35" t="s">
        <v>185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f>F51/2*G51</f>
        <v>3398.3843199999992</v>
      </c>
    </row>
    <row r="52" spans="1:9" ht="30.75" customHeight="1">
      <c r="A52" s="30">
        <v>24</v>
      </c>
      <c r="B52" s="35" t="s">
        <v>87</v>
      </c>
      <c r="C52" s="46" t="s">
        <v>38</v>
      </c>
      <c r="D52" s="35" t="s">
        <v>185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f t="shared" ref="I52:I53" si="8">F52/2*G52</f>
        <v>358.11300000000006</v>
      </c>
    </row>
    <row r="53" spans="1:9" ht="17.25" customHeight="1">
      <c r="A53" s="30">
        <v>25</v>
      </c>
      <c r="B53" s="35" t="s">
        <v>39</v>
      </c>
      <c r="C53" s="46" t="s">
        <v>40</v>
      </c>
      <c r="D53" s="35" t="s">
        <v>185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f t="shared" si="8"/>
        <v>74.129199999999997</v>
      </c>
    </row>
    <row r="54" spans="1:9" ht="16.5" customHeight="1">
      <c r="A54" s="109">
        <v>26</v>
      </c>
      <c r="B54" s="105" t="s">
        <v>41</v>
      </c>
      <c r="C54" s="106" t="s">
        <v>104</v>
      </c>
      <c r="D54" s="167">
        <v>43605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</row>
    <row r="55" spans="1:9">
      <c r="A55" s="189" t="s">
        <v>132</v>
      </c>
      <c r="B55" s="189"/>
      <c r="C55" s="189"/>
      <c r="D55" s="189"/>
      <c r="E55" s="189"/>
      <c r="F55" s="189"/>
      <c r="G55" s="189"/>
      <c r="H55" s="189"/>
      <c r="I55" s="189"/>
    </row>
    <row r="56" spans="1:9" hidden="1">
      <c r="A56" s="30"/>
      <c r="B56" s="153" t="s">
        <v>43</v>
      </c>
      <c r="C56" s="16"/>
      <c r="D56" s="14"/>
      <c r="E56" s="18"/>
      <c r="F56" s="13"/>
      <c r="G56" s="13"/>
      <c r="H56" s="13"/>
      <c r="I56" s="13"/>
    </row>
    <row r="57" spans="1:9" ht="45" hidden="1">
      <c r="A57" s="30">
        <v>16</v>
      </c>
      <c r="B57" s="41" t="s">
        <v>105</v>
      </c>
      <c r="C57" s="42" t="s">
        <v>82</v>
      </c>
      <c r="D57" s="158" t="s">
        <v>164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G57*0.28</f>
        <v>680.73040000000003</v>
      </c>
    </row>
    <row r="58" spans="1:9" hidden="1">
      <c r="A58" s="30"/>
      <c r="B58" s="41" t="s">
        <v>145</v>
      </c>
      <c r="C58" s="42" t="s">
        <v>146</v>
      </c>
      <c r="D58" s="41" t="s">
        <v>66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</row>
    <row r="59" spans="1:9" ht="22.5" customHeight="1">
      <c r="A59" s="30"/>
      <c r="B59" s="153" t="s">
        <v>44</v>
      </c>
      <c r="C59" s="16"/>
      <c r="D59" s="14"/>
      <c r="E59" s="18"/>
      <c r="F59" s="13"/>
      <c r="G59" s="13"/>
      <c r="H59" s="13"/>
      <c r="I59" s="13"/>
    </row>
    <row r="60" spans="1:9" hidden="1">
      <c r="A60" s="30"/>
      <c r="B60" s="41" t="s">
        <v>117</v>
      </c>
      <c r="C60" s="42" t="s">
        <v>82</v>
      </c>
      <c r="D60" s="41" t="s">
        <v>53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9" ht="20.25" customHeight="1">
      <c r="A61" s="30">
        <v>27</v>
      </c>
      <c r="B61" s="143" t="s">
        <v>147</v>
      </c>
      <c r="C61" s="42" t="s">
        <v>148</v>
      </c>
      <c r="D61" s="41" t="s">
        <v>185</v>
      </c>
      <c r="E61" s="17">
        <v>100</v>
      </c>
      <c r="F61" s="39">
        <f>E61*12</f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9" ht="19.5" hidden="1" customHeight="1">
      <c r="A62" s="113"/>
      <c r="B62" s="144" t="s">
        <v>45</v>
      </c>
      <c r="C62" s="16"/>
      <c r="D62" s="14"/>
      <c r="E62" s="18"/>
      <c r="F62" s="13"/>
      <c r="G62" s="13"/>
      <c r="H62" s="13" t="s">
        <v>113</v>
      </c>
      <c r="I62" s="13"/>
    </row>
    <row r="63" spans="1:9" hidden="1">
      <c r="A63" s="30">
        <v>15</v>
      </c>
      <c r="B63" s="145" t="s">
        <v>46</v>
      </c>
      <c r="C63" s="42" t="s">
        <v>104</v>
      </c>
      <c r="D63" s="41" t="s">
        <v>66</v>
      </c>
      <c r="E63" s="17">
        <v>5</v>
      </c>
      <c r="F63" s="39">
        <f>E63</f>
        <v>5</v>
      </c>
      <c r="G63" s="39">
        <v>291.68</v>
      </c>
      <c r="H63" s="39">
        <f t="shared" ref="H63:H70" si="9">SUM(F63*G63/1000)</f>
        <v>1.4584000000000001</v>
      </c>
      <c r="I63" s="13">
        <f>G63</f>
        <v>291.68</v>
      </c>
    </row>
    <row r="64" spans="1:9" hidden="1">
      <c r="A64" s="30"/>
      <c r="B64" s="58" t="s">
        <v>47</v>
      </c>
      <c r="C64" s="146" t="s">
        <v>104</v>
      </c>
      <c r="D64" s="147" t="s">
        <v>66</v>
      </c>
      <c r="E64" s="148">
        <v>5</v>
      </c>
      <c r="F64" s="149">
        <f>E64</f>
        <v>5</v>
      </c>
      <c r="G64" s="150">
        <v>100.01</v>
      </c>
      <c r="H64" s="151">
        <f t="shared" si="9"/>
        <v>0.50004999999999999</v>
      </c>
      <c r="I64" s="119">
        <v>0</v>
      </c>
    </row>
    <row r="65" spans="1:9" ht="15" hidden="1" customHeight="1">
      <c r="A65" s="30">
        <v>29</v>
      </c>
      <c r="B65" s="58" t="s">
        <v>48</v>
      </c>
      <c r="C65" s="44" t="s">
        <v>107</v>
      </c>
      <c r="D65" s="41" t="s">
        <v>53</v>
      </c>
      <c r="E65" s="100">
        <v>10348</v>
      </c>
      <c r="F65" s="40">
        <f>SUM(E65/100)</f>
        <v>103.48</v>
      </c>
      <c r="G65" s="39">
        <v>278.24</v>
      </c>
      <c r="H65" s="79">
        <f t="shared" si="9"/>
        <v>28.792275200000002</v>
      </c>
      <c r="I65" s="13">
        <f t="shared" ref="I65:I70" si="10">F65*G65</f>
        <v>28792.275200000004</v>
      </c>
    </row>
    <row r="66" spans="1:9" ht="20.25" hidden="1" customHeight="1">
      <c r="A66" s="30">
        <v>30</v>
      </c>
      <c r="B66" s="58" t="s">
        <v>49</v>
      </c>
      <c r="C66" s="42" t="s">
        <v>108</v>
      </c>
      <c r="D66" s="41" t="s">
        <v>53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9"/>
        <v>2.2422046400000002</v>
      </c>
      <c r="I66" s="13">
        <f t="shared" si="10"/>
        <v>2242.2046400000004</v>
      </c>
    </row>
    <row r="67" spans="1:9" ht="15.75" hidden="1" customHeight="1">
      <c r="A67" s="30">
        <v>31</v>
      </c>
      <c r="B67" s="58" t="s">
        <v>50</v>
      </c>
      <c r="C67" s="42" t="s">
        <v>75</v>
      </c>
      <c r="D67" s="41" t="s">
        <v>53</v>
      </c>
      <c r="E67" s="100">
        <v>1645</v>
      </c>
      <c r="F67" s="39">
        <f>SUM(E67/100)</f>
        <v>16.45</v>
      </c>
      <c r="G67" s="39">
        <v>2720.94</v>
      </c>
      <c r="H67" s="79">
        <f t="shared" si="9"/>
        <v>44.759462999999997</v>
      </c>
      <c r="I67" s="13">
        <f t="shared" si="10"/>
        <v>44759.462999999996</v>
      </c>
    </row>
    <row r="68" spans="1:9" ht="15.75" hidden="1" customHeight="1">
      <c r="A68" s="30">
        <v>32</v>
      </c>
      <c r="B68" s="53" t="s">
        <v>109</v>
      </c>
      <c r="C68" s="42" t="s">
        <v>32</v>
      </c>
      <c r="D68" s="41"/>
      <c r="E68" s="100">
        <v>9</v>
      </c>
      <c r="F68" s="39">
        <f>E68</f>
        <v>9</v>
      </c>
      <c r="G68" s="39">
        <v>42.61</v>
      </c>
      <c r="H68" s="79">
        <f t="shared" si="9"/>
        <v>0.38349</v>
      </c>
      <c r="I68" s="13">
        <f t="shared" si="10"/>
        <v>383.49</v>
      </c>
    </row>
    <row r="69" spans="1:9" ht="18.75" hidden="1" customHeight="1">
      <c r="A69" s="30">
        <v>33</v>
      </c>
      <c r="B69" s="53" t="s">
        <v>110</v>
      </c>
      <c r="C69" s="42" t="s">
        <v>32</v>
      </c>
      <c r="D69" s="41"/>
      <c r="E69" s="100">
        <v>9</v>
      </c>
      <c r="F69" s="39">
        <f t="shared" ref="F69:F70" si="11">E69</f>
        <v>9</v>
      </c>
      <c r="G69" s="39">
        <v>46.04</v>
      </c>
      <c r="H69" s="79">
        <f t="shared" si="9"/>
        <v>0.41436000000000001</v>
      </c>
      <c r="I69" s="13">
        <f t="shared" si="10"/>
        <v>414.36</v>
      </c>
    </row>
    <row r="70" spans="1:9" ht="18" hidden="1" customHeight="1">
      <c r="A70" s="30">
        <v>21</v>
      </c>
      <c r="B70" s="41" t="s">
        <v>57</v>
      </c>
      <c r="C70" s="42" t="s">
        <v>58</v>
      </c>
      <c r="D70" s="41" t="s">
        <v>53</v>
      </c>
      <c r="E70" s="17">
        <v>2</v>
      </c>
      <c r="F70" s="39">
        <f t="shared" si="11"/>
        <v>2</v>
      </c>
      <c r="G70" s="39">
        <v>65.42</v>
      </c>
      <c r="H70" s="79">
        <f t="shared" si="9"/>
        <v>0.13084000000000001</v>
      </c>
      <c r="I70" s="13">
        <f t="shared" si="10"/>
        <v>130.84</v>
      </c>
    </row>
    <row r="71" spans="1:9" ht="18" customHeight="1">
      <c r="A71" s="30"/>
      <c r="B71" s="153" t="s">
        <v>71</v>
      </c>
      <c r="C71" s="16"/>
      <c r="D71" s="14"/>
      <c r="E71" s="18"/>
      <c r="F71" s="13"/>
      <c r="G71" s="13"/>
      <c r="H71" s="80" t="s">
        <v>113</v>
      </c>
      <c r="I71" s="13"/>
    </row>
    <row r="72" spans="1:9" hidden="1">
      <c r="A72" s="30"/>
      <c r="B72" s="14" t="s">
        <v>150</v>
      </c>
      <c r="C72" s="16" t="s">
        <v>151</v>
      </c>
      <c r="D72" s="41" t="s">
        <v>66</v>
      </c>
      <c r="E72" s="18">
        <v>1</v>
      </c>
      <c r="F72" s="13">
        <f>E72</f>
        <v>1</v>
      </c>
      <c r="G72" s="13">
        <v>1029.1199999999999</v>
      </c>
      <c r="H72" s="80">
        <f t="shared" ref="H72:H73" si="12">SUM(F72*G72/1000)</f>
        <v>1.0291199999999998</v>
      </c>
      <c r="I72" s="13">
        <v>0</v>
      </c>
    </row>
    <row r="73" spans="1:9" hidden="1">
      <c r="A73" s="30"/>
      <c r="B73" s="14" t="s">
        <v>152</v>
      </c>
      <c r="C73" s="16" t="s">
        <v>153</v>
      </c>
      <c r="D73" s="120"/>
      <c r="E73" s="18">
        <v>1</v>
      </c>
      <c r="F73" s="13">
        <v>1</v>
      </c>
      <c r="G73" s="13">
        <v>735</v>
      </c>
      <c r="H73" s="80">
        <f t="shared" si="12"/>
        <v>0.73499999999999999</v>
      </c>
      <c r="I73" s="13">
        <v>0</v>
      </c>
    </row>
    <row r="74" spans="1:9" hidden="1">
      <c r="A74" s="30">
        <v>16</v>
      </c>
      <c r="B74" s="14" t="s">
        <v>72</v>
      </c>
      <c r="C74" s="16" t="s">
        <v>73</v>
      </c>
      <c r="D74" s="41" t="s">
        <v>66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f>G74*0.2</f>
        <v>131.57400000000001</v>
      </c>
    </row>
    <row r="75" spans="1:9" hidden="1">
      <c r="A75" s="30"/>
      <c r="B75" s="14" t="s">
        <v>154</v>
      </c>
      <c r="C75" s="16" t="s">
        <v>104</v>
      </c>
      <c r="D75" s="41" t="s">
        <v>66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9" hidden="1">
      <c r="A76" s="30"/>
      <c r="B76" s="56" t="s">
        <v>155</v>
      </c>
      <c r="C76" s="57" t="s">
        <v>104</v>
      </c>
      <c r="D76" s="41" t="s">
        <v>66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9" ht="30.75" customHeight="1">
      <c r="A77" s="30">
        <v>28</v>
      </c>
      <c r="B77" s="56" t="s">
        <v>156</v>
      </c>
      <c r="C77" s="57" t="s">
        <v>104</v>
      </c>
      <c r="D77" s="14" t="s">
        <v>202</v>
      </c>
      <c r="E77" s="18">
        <v>2</v>
      </c>
      <c r="F77" s="84">
        <f>E77*12</f>
        <v>24</v>
      </c>
      <c r="G77" s="13">
        <v>53.42</v>
      </c>
      <c r="H77" s="80">
        <f t="shared" ref="H77:H78" si="13">SUM(F77*G77/1000)</f>
        <v>1.2820799999999999</v>
      </c>
      <c r="I77" s="13">
        <f>G77*2</f>
        <v>106.84</v>
      </c>
    </row>
    <row r="78" spans="1:9" ht="33" customHeight="1">
      <c r="A78" s="30">
        <v>29</v>
      </c>
      <c r="B78" s="56" t="s">
        <v>157</v>
      </c>
      <c r="C78" s="57" t="s">
        <v>104</v>
      </c>
      <c r="D78" s="14" t="s">
        <v>202</v>
      </c>
      <c r="E78" s="18">
        <v>1</v>
      </c>
      <c r="F78" s="84">
        <f>E78*12</f>
        <v>12</v>
      </c>
      <c r="G78" s="13">
        <v>1194</v>
      </c>
      <c r="H78" s="80">
        <f t="shared" si="13"/>
        <v>14.327999999999999</v>
      </c>
      <c r="I78" s="13">
        <f>G78</f>
        <v>1194</v>
      </c>
    </row>
    <row r="79" spans="1:9" hidden="1">
      <c r="A79" s="30"/>
      <c r="B79" s="90" t="s">
        <v>74</v>
      </c>
      <c r="C79" s="16"/>
      <c r="D79" s="14"/>
      <c r="E79" s="18"/>
      <c r="F79" s="13"/>
      <c r="G79" s="13" t="s">
        <v>113</v>
      </c>
      <c r="H79" s="80" t="s">
        <v>113</v>
      </c>
      <c r="I79" s="13"/>
    </row>
    <row r="80" spans="1:9" hidden="1">
      <c r="A80" s="30"/>
      <c r="B80" s="43" t="s">
        <v>114</v>
      </c>
      <c r="C80" s="44" t="s">
        <v>75</v>
      </c>
      <c r="D80" s="58"/>
      <c r="E80" s="121"/>
      <c r="F80" s="40">
        <v>0.6</v>
      </c>
      <c r="G80" s="40">
        <v>3619.09</v>
      </c>
      <c r="H80" s="79">
        <f t="shared" ref="H80" si="14">SUM(F80*G80/1000)</f>
        <v>2.1714540000000002</v>
      </c>
      <c r="I80" s="13">
        <v>0</v>
      </c>
    </row>
    <row r="81" spans="1:9" ht="27.75" hidden="1" customHeight="1">
      <c r="A81" s="30"/>
      <c r="B81" s="93" t="s">
        <v>88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8.75" hidden="1" customHeight="1">
      <c r="A82" s="109">
        <v>17</v>
      </c>
      <c r="B82" s="123" t="s">
        <v>111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>
      <c r="A83" s="189" t="s">
        <v>133</v>
      </c>
      <c r="B83" s="189"/>
      <c r="C83" s="189"/>
      <c r="D83" s="189"/>
      <c r="E83" s="189"/>
      <c r="F83" s="189"/>
      <c r="G83" s="189"/>
      <c r="H83" s="189"/>
      <c r="I83" s="189"/>
    </row>
    <row r="84" spans="1:9" ht="16.5" customHeight="1">
      <c r="A84" s="30">
        <v>30</v>
      </c>
      <c r="B84" s="41" t="s">
        <v>112</v>
      </c>
      <c r="C84" s="42" t="s">
        <v>54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40.5" customHeight="1">
      <c r="A85" s="30">
        <v>31</v>
      </c>
      <c r="B85" s="14" t="s">
        <v>76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>
      <c r="A86" s="30"/>
      <c r="B86" s="45" t="s">
        <v>78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I85+I84+I78+I77+I61+I54+I53+I52+I51+I50+I49+I48+I47+I46+I45+I33+I32+I31+I30+I27+I26+I25+I24+I23+I22+I21+I20+I19+I18+I17+I16</f>
        <v>44774.516698666681</v>
      </c>
    </row>
    <row r="87" spans="1:9">
      <c r="A87" s="178" t="s">
        <v>60</v>
      </c>
      <c r="B87" s="179"/>
      <c r="C87" s="179"/>
      <c r="D87" s="179"/>
      <c r="E87" s="179"/>
      <c r="F87" s="179"/>
      <c r="G87" s="179"/>
      <c r="H87" s="179"/>
      <c r="I87" s="180"/>
    </row>
    <row r="88" spans="1:9" ht="30.75" customHeight="1">
      <c r="A88" s="30">
        <v>32</v>
      </c>
      <c r="B88" s="134" t="s">
        <v>181</v>
      </c>
      <c r="C88" s="61" t="s">
        <v>38</v>
      </c>
      <c r="D88" s="60"/>
      <c r="E88" s="39"/>
      <c r="F88" s="39">
        <v>120</v>
      </c>
      <c r="G88" s="39">
        <v>3914.31</v>
      </c>
      <c r="H88" s="79">
        <f>G88*F88/1000</f>
        <v>469.71719999999999</v>
      </c>
      <c r="I88" s="13">
        <f>G88*0.01</f>
        <v>39.143099999999997</v>
      </c>
    </row>
    <row r="89" spans="1:9" ht="30">
      <c r="A89" s="30">
        <v>33</v>
      </c>
      <c r="B89" s="134" t="s">
        <v>192</v>
      </c>
      <c r="C89" s="61" t="s">
        <v>119</v>
      </c>
      <c r="D89" s="60"/>
      <c r="E89" s="39"/>
      <c r="F89" s="39"/>
      <c r="G89" s="39">
        <v>878.3</v>
      </c>
      <c r="H89" s="79"/>
      <c r="I89" s="39">
        <f>G89*1</f>
        <v>878.3</v>
      </c>
    </row>
    <row r="90" spans="1:9" ht="13.5" customHeight="1">
      <c r="A90" s="30"/>
      <c r="B90" s="50" t="s">
        <v>51</v>
      </c>
      <c r="C90" s="57"/>
      <c r="D90" s="52"/>
      <c r="E90" s="13"/>
      <c r="F90" s="13"/>
      <c r="G90" s="13"/>
      <c r="H90" s="80"/>
      <c r="I90" s="87">
        <f>SUM(I88:I89)</f>
        <v>917.44309999999996</v>
      </c>
    </row>
    <row r="91" spans="1:9">
      <c r="A91" s="30"/>
      <c r="B91" s="52" t="s">
        <v>77</v>
      </c>
      <c r="C91" s="15"/>
      <c r="D91" s="15"/>
      <c r="E91" s="47"/>
      <c r="F91" s="47"/>
      <c r="G91" s="48"/>
      <c r="H91" s="48"/>
      <c r="I91" s="17">
        <v>0</v>
      </c>
    </row>
    <row r="92" spans="1:9">
      <c r="A92" s="54"/>
      <c r="B92" s="51" t="s">
        <v>139</v>
      </c>
      <c r="C92" s="38"/>
      <c r="D92" s="38"/>
      <c r="E92" s="38"/>
      <c r="F92" s="38"/>
      <c r="G92" s="38"/>
      <c r="H92" s="38"/>
      <c r="I92" s="49">
        <f>I86+I90</f>
        <v>45691.959798666678</v>
      </c>
    </row>
    <row r="93" spans="1:9" ht="15.75">
      <c r="A93" s="181" t="s">
        <v>217</v>
      </c>
      <c r="B93" s="181"/>
      <c r="C93" s="181"/>
      <c r="D93" s="181"/>
      <c r="E93" s="181"/>
      <c r="F93" s="181"/>
      <c r="G93" s="181"/>
      <c r="H93" s="181"/>
      <c r="I93" s="181"/>
    </row>
    <row r="94" spans="1:9" ht="15.75">
      <c r="A94" s="68"/>
      <c r="B94" s="182" t="s">
        <v>218</v>
      </c>
      <c r="C94" s="182"/>
      <c r="D94" s="182"/>
      <c r="E94" s="182"/>
      <c r="F94" s="182"/>
      <c r="G94" s="182"/>
      <c r="H94" s="78"/>
      <c r="I94" s="3"/>
    </row>
    <row r="95" spans="1:9">
      <c r="A95" s="154"/>
      <c r="B95" s="183" t="s">
        <v>6</v>
      </c>
      <c r="C95" s="183"/>
      <c r="D95" s="183"/>
      <c r="E95" s="183"/>
      <c r="F95" s="183"/>
      <c r="G95" s="183"/>
      <c r="H95" s="25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84" t="s">
        <v>7</v>
      </c>
      <c r="B97" s="184"/>
      <c r="C97" s="184"/>
      <c r="D97" s="184"/>
      <c r="E97" s="184"/>
      <c r="F97" s="184"/>
      <c r="G97" s="184"/>
      <c r="H97" s="184"/>
      <c r="I97" s="184"/>
    </row>
    <row r="98" spans="1:9" ht="15.75">
      <c r="A98" s="184" t="s">
        <v>8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>
      <c r="A99" s="185" t="s">
        <v>61</v>
      </c>
      <c r="B99" s="185"/>
      <c r="C99" s="185"/>
      <c r="D99" s="185"/>
      <c r="E99" s="185"/>
      <c r="F99" s="185"/>
      <c r="G99" s="185"/>
      <c r="H99" s="185"/>
      <c r="I99" s="185"/>
    </row>
    <row r="100" spans="1:9" ht="15.75">
      <c r="A100" s="11"/>
    </row>
    <row r="101" spans="1:9" ht="15.75">
      <c r="A101" s="186" t="s">
        <v>9</v>
      </c>
      <c r="B101" s="186"/>
      <c r="C101" s="186"/>
      <c r="D101" s="186"/>
      <c r="E101" s="186"/>
      <c r="F101" s="186"/>
      <c r="G101" s="186"/>
      <c r="H101" s="186"/>
      <c r="I101" s="186"/>
    </row>
    <row r="102" spans="1:9" ht="15.75">
      <c r="A102" s="4"/>
    </row>
    <row r="103" spans="1:9" ht="15.75">
      <c r="B103" s="156" t="s">
        <v>10</v>
      </c>
      <c r="C103" s="187" t="s">
        <v>124</v>
      </c>
      <c r="D103" s="187"/>
      <c r="E103" s="187"/>
      <c r="F103" s="76"/>
      <c r="I103" s="157"/>
    </row>
    <row r="104" spans="1:9">
      <c r="A104" s="154"/>
      <c r="C104" s="183" t="s">
        <v>11</v>
      </c>
      <c r="D104" s="183"/>
      <c r="E104" s="183"/>
      <c r="F104" s="25"/>
      <c r="I104" s="155" t="s">
        <v>12</v>
      </c>
    </row>
    <row r="105" spans="1:9" ht="15.75">
      <c r="A105" s="26"/>
      <c r="C105" s="12"/>
      <c r="D105" s="12"/>
      <c r="G105" s="12"/>
      <c r="H105" s="12"/>
    </row>
    <row r="106" spans="1:9" ht="15.75">
      <c r="B106" s="156" t="s">
        <v>13</v>
      </c>
      <c r="C106" s="188"/>
      <c r="D106" s="188"/>
      <c r="E106" s="188"/>
      <c r="F106" s="77"/>
      <c r="I106" s="157"/>
    </row>
    <row r="107" spans="1:9">
      <c r="A107" s="154"/>
      <c r="C107" s="177" t="s">
        <v>11</v>
      </c>
      <c r="D107" s="177"/>
      <c r="E107" s="177"/>
      <c r="F107" s="154"/>
      <c r="I107" s="155" t="s">
        <v>12</v>
      </c>
    </row>
    <row r="108" spans="1:9" ht="15.75">
      <c r="A108" s="4" t="s">
        <v>14</v>
      </c>
    </row>
    <row r="109" spans="1:9">
      <c r="A109" s="175" t="s">
        <v>15</v>
      </c>
      <c r="B109" s="175"/>
      <c r="C109" s="175"/>
      <c r="D109" s="175"/>
      <c r="E109" s="175"/>
      <c r="F109" s="175"/>
      <c r="G109" s="175"/>
      <c r="H109" s="175"/>
      <c r="I109" s="175"/>
    </row>
    <row r="110" spans="1:9" ht="47.25" customHeight="1">
      <c r="A110" s="176" t="s">
        <v>16</v>
      </c>
      <c r="B110" s="176"/>
      <c r="C110" s="176"/>
      <c r="D110" s="176"/>
      <c r="E110" s="176"/>
      <c r="F110" s="176"/>
      <c r="G110" s="176"/>
      <c r="H110" s="176"/>
      <c r="I110" s="176"/>
    </row>
    <row r="111" spans="1:9" ht="47.25" customHeight="1">
      <c r="A111" s="176" t="s">
        <v>17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37.5" customHeight="1">
      <c r="A112" s="176" t="s">
        <v>21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15.75">
      <c r="A113" s="176" t="s">
        <v>20</v>
      </c>
      <c r="B113" s="176"/>
      <c r="C113" s="176"/>
      <c r="D113" s="176"/>
      <c r="E113" s="176"/>
      <c r="F113" s="176"/>
      <c r="G113" s="176"/>
      <c r="H113" s="176"/>
      <c r="I113" s="176"/>
    </row>
  </sheetData>
  <mergeCells count="28">
    <mergeCell ref="A109:I109"/>
    <mergeCell ref="A110:I110"/>
    <mergeCell ref="A111:I111"/>
    <mergeCell ref="A112:I112"/>
    <mergeCell ref="A113:I113"/>
    <mergeCell ref="C107:E107"/>
    <mergeCell ref="A93:I93"/>
    <mergeCell ref="B94:G94"/>
    <mergeCell ref="B95:G95"/>
    <mergeCell ref="A97:I97"/>
    <mergeCell ref="A98:I98"/>
    <mergeCell ref="A99:I99"/>
    <mergeCell ref="A101:I101"/>
    <mergeCell ref="C103:E103"/>
    <mergeCell ref="C104:E104"/>
    <mergeCell ref="C106:E106"/>
    <mergeCell ref="A87:I87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5:I55"/>
    <mergeCell ref="A83:I83"/>
  </mergeCells>
  <pageMargins left="0.7" right="0.7" top="0.75" bottom="0.75" header="0.3" footer="0.3"/>
  <pageSetup paperSize="9" scale="6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B16" sqref="B16:I2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90" t="s">
        <v>165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13" ht="15.75">
      <c r="A5" s="190" t="s">
        <v>193</v>
      </c>
      <c r="B5" s="192"/>
      <c r="C5" s="192"/>
      <c r="D5" s="192"/>
      <c r="E5" s="192"/>
      <c r="F5" s="192"/>
      <c r="G5" s="192"/>
      <c r="H5" s="192"/>
      <c r="I5" s="192"/>
      <c r="J5" s="2"/>
      <c r="K5" s="2"/>
      <c r="L5" s="2"/>
      <c r="M5" s="2"/>
    </row>
    <row r="6" spans="1:13" ht="15.75">
      <c r="A6" s="2"/>
      <c r="B6" s="67"/>
      <c r="C6" s="67"/>
      <c r="D6" s="67"/>
      <c r="E6" s="67"/>
      <c r="F6" s="67"/>
      <c r="G6" s="67"/>
      <c r="H6" s="67"/>
      <c r="I6" s="31">
        <v>43646</v>
      </c>
      <c r="J6" s="2"/>
      <c r="K6" s="2"/>
      <c r="L6" s="2"/>
      <c r="M6" s="2"/>
    </row>
    <row r="7" spans="1:13" ht="15.75">
      <c r="B7" s="65"/>
      <c r="C7" s="65"/>
      <c r="D7" s="65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89</v>
      </c>
      <c r="C19" s="46" t="s">
        <v>90</v>
      </c>
      <c r="D19" s="35" t="s">
        <v>91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93</v>
      </c>
      <c r="C21" s="46" t="s">
        <v>82</v>
      </c>
      <c r="D21" s="35" t="s">
        <v>42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94</v>
      </c>
      <c r="C22" s="46" t="s">
        <v>52</v>
      </c>
      <c r="D22" s="35" t="s">
        <v>91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95</v>
      </c>
      <c r="C23" s="46" t="s">
        <v>52</v>
      </c>
      <c r="D23" s="35" t="s">
        <v>91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96</v>
      </c>
      <c r="C24" s="46" t="s">
        <v>52</v>
      </c>
      <c r="D24" s="35" t="s">
        <v>97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98</v>
      </c>
      <c r="C25" s="46" t="s">
        <v>52</v>
      </c>
      <c r="D25" s="35" t="s">
        <v>53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99</v>
      </c>
      <c r="C26" s="46" t="s">
        <v>52</v>
      </c>
      <c r="D26" s="35" t="s">
        <v>91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  <c r="J27" s="24"/>
    </row>
    <row r="28" spans="1:13" ht="15.75" customHeight="1">
      <c r="A28" s="196" t="s">
        <v>80</v>
      </c>
      <c r="B28" s="197"/>
      <c r="C28" s="197"/>
      <c r="D28" s="197"/>
      <c r="E28" s="197"/>
      <c r="F28" s="197"/>
      <c r="G28" s="197"/>
      <c r="H28" s="197"/>
      <c r="I28" s="198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6</v>
      </c>
      <c r="B30" s="81" t="s">
        <v>102</v>
      </c>
      <c r="C30" s="46" t="s">
        <v>85</v>
      </c>
      <c r="D30" s="35" t="s">
        <v>200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5" si="2">SUM(F30*G30/1000)</f>
        <v>3.528389072</v>
      </c>
      <c r="I30" s="13">
        <f t="shared" ref="I30:I33" si="3">F30/6*G30</f>
        <v>588.06484533333344</v>
      </c>
      <c r="J30" s="23"/>
      <c r="K30" s="8"/>
      <c r="L30" s="8"/>
      <c r="M30" s="8"/>
    </row>
    <row r="31" spans="1:13" ht="31.5" customHeight="1">
      <c r="A31" s="30">
        <v>7</v>
      </c>
      <c r="B31" s="81" t="s">
        <v>101</v>
      </c>
      <c r="C31" s="46" t="s">
        <v>85</v>
      </c>
      <c r="D31" s="35" t="s">
        <v>199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85</v>
      </c>
      <c r="D32" s="35" t="s">
        <v>53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8</v>
      </c>
      <c r="B33" s="81" t="s">
        <v>128</v>
      </c>
      <c r="C33" s="46" t="s">
        <v>40</v>
      </c>
      <c r="D33" s="35" t="s">
        <v>204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  <c r="J33" s="23"/>
      <c r="K33" s="8"/>
    </row>
    <row r="34" spans="1:14" ht="15.75" hidden="1" customHeight="1">
      <c r="A34" s="30"/>
      <c r="B34" s="35" t="s">
        <v>64</v>
      </c>
      <c r="C34" s="46" t="s">
        <v>32</v>
      </c>
      <c r="D34" s="35" t="s">
        <v>66</v>
      </c>
      <c r="E34" s="100"/>
      <c r="F34" s="34">
        <v>2</v>
      </c>
      <c r="G34" s="34">
        <v>250.92</v>
      </c>
      <c r="H34" s="101">
        <f t="shared" si="2"/>
        <v>0.50183999999999995</v>
      </c>
      <c r="I34" s="13">
        <v>0</v>
      </c>
      <c r="J34" s="24"/>
    </row>
    <row r="35" spans="1:14" ht="15.75" hidden="1" customHeight="1">
      <c r="A35" s="30"/>
      <c r="B35" s="35" t="s">
        <v>65</v>
      </c>
      <c r="C35" s="46" t="s">
        <v>31</v>
      </c>
      <c r="D35" s="35" t="s">
        <v>66</v>
      </c>
      <c r="E35" s="100"/>
      <c r="F35" s="34">
        <v>1</v>
      </c>
      <c r="G35" s="34">
        <v>1490.31</v>
      </c>
      <c r="H35" s="101">
        <f t="shared" si="2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113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31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142</v>
      </c>
      <c r="C38" s="55" t="s">
        <v>28</v>
      </c>
      <c r="D38" s="35" t="s">
        <v>83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67</v>
      </c>
      <c r="C39" s="46" t="s">
        <v>28</v>
      </c>
      <c r="D39" s="35" t="s">
        <v>84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143</v>
      </c>
      <c r="C40" s="46" t="s">
        <v>144</v>
      </c>
      <c r="D40" s="35" t="s">
        <v>66</v>
      </c>
      <c r="E40" s="100"/>
      <c r="F40" s="37">
        <v>39</v>
      </c>
      <c r="G40" s="34">
        <v>314</v>
      </c>
      <c r="H40" s="101">
        <f t="shared" si="4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79</v>
      </c>
      <c r="C41" s="46" t="s">
        <v>85</v>
      </c>
      <c r="D41" s="35" t="s">
        <v>115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116</v>
      </c>
      <c r="C42" s="46" t="s">
        <v>85</v>
      </c>
      <c r="D42" s="35" t="s">
        <v>68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69</v>
      </c>
      <c r="C43" s="55" t="s">
        <v>32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  <c r="J43" s="24"/>
      <c r="L43" s="19"/>
      <c r="M43" s="20"/>
      <c r="N43" s="21"/>
    </row>
    <row r="44" spans="1:14" ht="15.75" hidden="1" customHeight="1">
      <c r="A44" s="196" t="s">
        <v>123</v>
      </c>
      <c r="B44" s="197"/>
      <c r="C44" s="197"/>
      <c r="D44" s="197"/>
      <c r="E44" s="197"/>
      <c r="F44" s="197"/>
      <c r="G44" s="197"/>
      <c r="H44" s="197"/>
      <c r="I44" s="198"/>
      <c r="J44" s="24"/>
      <c r="L44" s="19"/>
      <c r="M44" s="20"/>
      <c r="N44" s="21"/>
    </row>
    <row r="45" spans="1:14" ht="15.75" hidden="1" customHeight="1">
      <c r="A45" s="30"/>
      <c r="B45" s="35" t="s">
        <v>103</v>
      </c>
      <c r="C45" s="46" t="s">
        <v>85</v>
      </c>
      <c r="D45" s="35" t="s">
        <v>42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35" t="s">
        <v>35</v>
      </c>
      <c r="C46" s="46" t="s">
        <v>85</v>
      </c>
      <c r="D46" s="35" t="s">
        <v>42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35" t="s">
        <v>36</v>
      </c>
      <c r="C47" s="46" t="s">
        <v>85</v>
      </c>
      <c r="D47" s="35" t="s">
        <v>42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35" t="s">
        <v>37</v>
      </c>
      <c r="C48" s="46" t="s">
        <v>85</v>
      </c>
      <c r="D48" s="35" t="s">
        <v>42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35" t="s">
        <v>33</v>
      </c>
      <c r="C49" s="46" t="s">
        <v>34</v>
      </c>
      <c r="D49" s="35" t="s">
        <v>42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11</v>
      </c>
      <c r="B50" s="35" t="s">
        <v>56</v>
      </c>
      <c r="C50" s="46" t="s">
        <v>85</v>
      </c>
      <c r="D50" s="35" t="s">
        <v>129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1.5" hidden="1" customHeight="1">
      <c r="A51" s="30"/>
      <c r="B51" s="35" t="s">
        <v>86</v>
      </c>
      <c r="C51" s="46" t="s">
        <v>85</v>
      </c>
      <c r="D51" s="35" t="s">
        <v>42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v>0</v>
      </c>
      <c r="J51" s="24"/>
      <c r="L51" s="19"/>
      <c r="M51" s="20"/>
      <c r="N51" s="21"/>
    </row>
    <row r="52" spans="1:22" ht="31.5" hidden="1" customHeight="1">
      <c r="A52" s="30"/>
      <c r="B52" s="35" t="s">
        <v>87</v>
      </c>
      <c r="C52" s="46" t="s">
        <v>38</v>
      </c>
      <c r="D52" s="35" t="s">
        <v>42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35" t="s">
        <v>39</v>
      </c>
      <c r="C53" s="46" t="s">
        <v>40</v>
      </c>
      <c r="D53" s="35" t="s">
        <v>42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v>0</v>
      </c>
      <c r="J53" s="24"/>
      <c r="L53" s="19"/>
      <c r="M53" s="20"/>
      <c r="N53" s="21"/>
    </row>
    <row r="54" spans="1:22" ht="15.75" hidden="1" customHeight="1">
      <c r="A54" s="109">
        <v>12</v>
      </c>
      <c r="B54" s="105" t="s">
        <v>41</v>
      </c>
      <c r="C54" s="106" t="s">
        <v>104</v>
      </c>
      <c r="D54" s="105" t="s">
        <v>70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89" t="s">
        <v>132</v>
      </c>
      <c r="B55" s="189"/>
      <c r="C55" s="189"/>
      <c r="D55" s="189"/>
      <c r="E55" s="189"/>
      <c r="F55" s="189"/>
      <c r="G55" s="189"/>
      <c r="H55" s="189"/>
      <c r="I55" s="189"/>
      <c r="J55" s="24"/>
      <c r="L55" s="19"/>
      <c r="M55" s="20"/>
      <c r="N55" s="21"/>
    </row>
    <row r="56" spans="1:22" ht="15.75" hidden="1" customHeight="1">
      <c r="A56" s="30"/>
      <c r="B56" s="69" t="s">
        <v>43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105</v>
      </c>
      <c r="C57" s="42" t="s">
        <v>82</v>
      </c>
      <c r="D57" s="41" t="s">
        <v>106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145</v>
      </c>
      <c r="C58" s="42" t="s">
        <v>146</v>
      </c>
      <c r="D58" s="41" t="s">
        <v>66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44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117</v>
      </c>
      <c r="C60" s="42" t="s">
        <v>82</v>
      </c>
      <c r="D60" s="41" t="s">
        <v>53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9</v>
      </c>
      <c r="B61" s="41" t="s">
        <v>147</v>
      </c>
      <c r="C61" s="42" t="s">
        <v>148</v>
      </c>
      <c r="D61" s="41" t="s">
        <v>185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5.75" customHeight="1">
      <c r="A62" s="113"/>
      <c r="B62" s="114" t="s">
        <v>45</v>
      </c>
      <c r="C62" s="115"/>
      <c r="D62" s="116"/>
      <c r="E62" s="86"/>
      <c r="F62" s="117"/>
      <c r="G62" s="117"/>
      <c r="H62" s="118" t="s">
        <v>113</v>
      </c>
      <c r="I62" s="119"/>
    </row>
    <row r="63" spans="1:22" ht="15.75" hidden="1" customHeight="1">
      <c r="A63" s="30">
        <v>12</v>
      </c>
      <c r="B63" s="58" t="s">
        <v>46</v>
      </c>
      <c r="C63" s="42" t="s">
        <v>104</v>
      </c>
      <c r="D63" s="41" t="s">
        <v>66</v>
      </c>
      <c r="E63" s="17">
        <v>5</v>
      </c>
      <c r="F63" s="34">
        <f>E63</f>
        <v>5</v>
      </c>
      <c r="G63" s="39">
        <v>291.68</v>
      </c>
      <c r="H63" s="79">
        <f t="shared" ref="H63:H70" si="7">SUM(F63*G63/1000)</f>
        <v>1.4584000000000001</v>
      </c>
      <c r="I63" s="13">
        <f>G63*4</f>
        <v>1166.72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0"/>
      <c r="B64" s="58" t="s">
        <v>47</v>
      </c>
      <c r="C64" s="42" t="s">
        <v>104</v>
      </c>
      <c r="D64" s="41" t="s">
        <v>66</v>
      </c>
      <c r="E64" s="17">
        <v>5</v>
      </c>
      <c r="F64" s="34">
        <f>E64</f>
        <v>5</v>
      </c>
      <c r="G64" s="39">
        <v>100.01</v>
      </c>
      <c r="H64" s="79">
        <f t="shared" si="7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>
      <c r="A65" s="30">
        <v>10</v>
      </c>
      <c r="B65" s="58" t="s">
        <v>48</v>
      </c>
      <c r="C65" s="44" t="s">
        <v>107</v>
      </c>
      <c r="D65" s="41"/>
      <c r="E65" s="100">
        <v>10348</v>
      </c>
      <c r="F65" s="40">
        <f>SUM(E65/100)</f>
        <v>103.48</v>
      </c>
      <c r="G65" s="39">
        <v>278.24</v>
      </c>
      <c r="H65" s="79">
        <f t="shared" si="7"/>
        <v>28.792275200000002</v>
      </c>
      <c r="I65" s="13">
        <f>G65*F65</f>
        <v>28792.275200000004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customHeight="1">
      <c r="A66" s="30">
        <v>11</v>
      </c>
      <c r="B66" s="58" t="s">
        <v>49</v>
      </c>
      <c r="C66" s="42" t="s">
        <v>108</v>
      </c>
      <c r="D66" s="41"/>
      <c r="E66" s="100">
        <v>10348</v>
      </c>
      <c r="F66" s="39">
        <f>SUM(E66/1000)</f>
        <v>10.348000000000001</v>
      </c>
      <c r="G66" s="39">
        <v>216.68</v>
      </c>
      <c r="H66" s="79">
        <f t="shared" si="7"/>
        <v>2.2422046400000002</v>
      </c>
      <c r="I66" s="13">
        <f>G66*F66</f>
        <v>2242.2046400000004</v>
      </c>
      <c r="J66" s="5"/>
      <c r="K66" s="5"/>
      <c r="L66" s="5"/>
      <c r="M66" s="5"/>
      <c r="N66" s="5"/>
      <c r="O66" s="5"/>
      <c r="P66" s="5"/>
      <c r="Q66" s="5"/>
      <c r="R66" s="177"/>
      <c r="S66" s="177"/>
      <c r="T66" s="177"/>
      <c r="U66" s="177"/>
    </row>
    <row r="67" spans="1:21" ht="15.75" customHeight="1">
      <c r="A67" s="30">
        <v>12</v>
      </c>
      <c r="B67" s="58" t="s">
        <v>50</v>
      </c>
      <c r="C67" s="42" t="s">
        <v>75</v>
      </c>
      <c r="D67" s="41"/>
      <c r="E67" s="100">
        <v>1645</v>
      </c>
      <c r="F67" s="39">
        <f>SUM(E67/100)</f>
        <v>16.45</v>
      </c>
      <c r="G67" s="39">
        <v>2720.94</v>
      </c>
      <c r="H67" s="79">
        <f t="shared" si="7"/>
        <v>44.759462999999997</v>
      </c>
      <c r="I67" s="13">
        <f>G67*F67</f>
        <v>44759.462999999996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>
      <c r="A68" s="30">
        <v>13</v>
      </c>
      <c r="B68" s="53" t="s">
        <v>109</v>
      </c>
      <c r="C68" s="42" t="s">
        <v>32</v>
      </c>
      <c r="D68" s="41"/>
      <c r="E68" s="100">
        <v>9</v>
      </c>
      <c r="F68" s="39">
        <f>E68</f>
        <v>9</v>
      </c>
      <c r="G68" s="39">
        <v>42.61</v>
      </c>
      <c r="H68" s="79">
        <f t="shared" si="7"/>
        <v>0.38349</v>
      </c>
      <c r="I68" s="13">
        <f>G68*F68</f>
        <v>383.49</v>
      </c>
    </row>
    <row r="69" spans="1:21" ht="15.75" customHeight="1">
      <c r="A69" s="30">
        <v>14</v>
      </c>
      <c r="B69" s="53" t="s">
        <v>110</v>
      </c>
      <c r="C69" s="42" t="s">
        <v>32</v>
      </c>
      <c r="D69" s="41"/>
      <c r="E69" s="100">
        <v>9</v>
      </c>
      <c r="F69" s="39">
        <f t="shared" ref="F69:F70" si="8">E69</f>
        <v>9</v>
      </c>
      <c r="G69" s="39">
        <v>46.04</v>
      </c>
      <c r="H69" s="79">
        <f t="shared" si="7"/>
        <v>0.41436000000000001</v>
      </c>
      <c r="I69" s="13">
        <f>G69*F69</f>
        <v>414.36</v>
      </c>
    </row>
    <row r="70" spans="1:21" ht="22.5" hidden="1" customHeight="1">
      <c r="A70" s="30">
        <v>13</v>
      </c>
      <c r="B70" s="41" t="s">
        <v>57</v>
      </c>
      <c r="C70" s="42" t="s">
        <v>58</v>
      </c>
      <c r="D70" s="41" t="s">
        <v>53</v>
      </c>
      <c r="E70" s="17">
        <v>2</v>
      </c>
      <c r="F70" s="39">
        <f t="shared" si="8"/>
        <v>2</v>
      </c>
      <c r="G70" s="39">
        <v>65.42</v>
      </c>
      <c r="H70" s="79">
        <f t="shared" si="7"/>
        <v>0.13084000000000001</v>
      </c>
      <c r="I70" s="13">
        <f>F70*G70</f>
        <v>130.84</v>
      </c>
    </row>
    <row r="71" spans="1:21" ht="15.75" customHeight="1">
      <c r="A71" s="30"/>
      <c r="B71" s="66" t="s">
        <v>71</v>
      </c>
      <c r="C71" s="16"/>
      <c r="D71" s="14"/>
      <c r="E71" s="18"/>
      <c r="F71" s="13"/>
      <c r="G71" s="13"/>
      <c r="H71" s="80" t="s">
        <v>113</v>
      </c>
      <c r="I71" s="13"/>
    </row>
    <row r="72" spans="1:21" ht="15.75" hidden="1" customHeight="1">
      <c r="A72" s="30"/>
      <c r="B72" s="14" t="s">
        <v>150</v>
      </c>
      <c r="C72" s="16" t="s">
        <v>151</v>
      </c>
      <c r="D72" s="41" t="s">
        <v>66</v>
      </c>
      <c r="E72" s="18">
        <v>1</v>
      </c>
      <c r="F72" s="13">
        <f>E72</f>
        <v>1</v>
      </c>
      <c r="G72" s="13">
        <v>1029.1199999999999</v>
      </c>
      <c r="H72" s="80">
        <f t="shared" ref="H72:H73" si="9">SUM(F72*G72/1000)</f>
        <v>1.0291199999999998</v>
      </c>
      <c r="I72" s="13">
        <v>0</v>
      </c>
    </row>
    <row r="73" spans="1:21" ht="15.75" hidden="1" customHeight="1">
      <c r="A73" s="30"/>
      <c r="B73" s="14" t="s">
        <v>152</v>
      </c>
      <c r="C73" s="16" t="s">
        <v>153</v>
      </c>
      <c r="D73" s="120"/>
      <c r="E73" s="18">
        <v>1</v>
      </c>
      <c r="F73" s="13">
        <v>1</v>
      </c>
      <c r="G73" s="13">
        <v>735</v>
      </c>
      <c r="H73" s="80">
        <f t="shared" si="9"/>
        <v>0.73499999999999999</v>
      </c>
      <c r="I73" s="13">
        <v>0</v>
      </c>
    </row>
    <row r="74" spans="1:21" ht="15.75" hidden="1" customHeight="1">
      <c r="A74" s="30"/>
      <c r="B74" s="14" t="s">
        <v>72</v>
      </c>
      <c r="C74" s="16" t="s">
        <v>73</v>
      </c>
      <c r="D74" s="41" t="s">
        <v>66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154</v>
      </c>
      <c r="C75" s="16" t="s">
        <v>104</v>
      </c>
      <c r="D75" s="41" t="s">
        <v>66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155</v>
      </c>
      <c r="C76" s="57" t="s">
        <v>104</v>
      </c>
      <c r="D76" s="41" t="s">
        <v>66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1.5" customHeight="1">
      <c r="A77" s="30">
        <v>15</v>
      </c>
      <c r="B77" s="56" t="s">
        <v>156</v>
      </c>
      <c r="C77" s="57" t="s">
        <v>104</v>
      </c>
      <c r="D77" s="14" t="s">
        <v>185</v>
      </c>
      <c r="E77" s="18">
        <v>2</v>
      </c>
      <c r="F77" s="84">
        <f>E77*12</f>
        <v>24</v>
      </c>
      <c r="G77" s="13">
        <v>53.42</v>
      </c>
      <c r="H77" s="80">
        <f t="shared" ref="H77:H78" si="10">SUM(F77*G77/1000)</f>
        <v>1.2820799999999999</v>
      </c>
      <c r="I77" s="13">
        <f>G77*2</f>
        <v>106.84</v>
      </c>
    </row>
    <row r="78" spans="1:21" ht="31.5" customHeight="1">
      <c r="A78" s="30">
        <v>16</v>
      </c>
      <c r="B78" s="56" t="s">
        <v>157</v>
      </c>
      <c r="C78" s="57" t="s">
        <v>104</v>
      </c>
      <c r="D78" s="14" t="s">
        <v>202</v>
      </c>
      <c r="E78" s="18">
        <v>1</v>
      </c>
      <c r="F78" s="84">
        <f>E78*12</f>
        <v>12</v>
      </c>
      <c r="G78" s="13">
        <v>1194</v>
      </c>
      <c r="H78" s="80">
        <f t="shared" si="10"/>
        <v>14.327999999999999</v>
      </c>
      <c r="I78" s="13">
        <f>G78</f>
        <v>1194</v>
      </c>
    </row>
    <row r="79" spans="1:21" ht="15.75" hidden="1" customHeight="1">
      <c r="A79" s="30"/>
      <c r="B79" s="90" t="s">
        <v>74</v>
      </c>
      <c r="C79" s="16"/>
      <c r="D79" s="14"/>
      <c r="E79" s="18"/>
      <c r="F79" s="13"/>
      <c r="G79" s="13" t="s">
        <v>113</v>
      </c>
      <c r="H79" s="80" t="s">
        <v>113</v>
      </c>
      <c r="I79" s="13"/>
    </row>
    <row r="80" spans="1:21" ht="15.75" hidden="1" customHeight="1">
      <c r="A80" s="30"/>
      <c r="B80" s="43" t="s">
        <v>114</v>
      </c>
      <c r="C80" s="44" t="s">
        <v>75</v>
      </c>
      <c r="D80" s="58"/>
      <c r="E80" s="121"/>
      <c r="F80" s="40">
        <v>0.6</v>
      </c>
      <c r="G80" s="40">
        <v>3619.09</v>
      </c>
      <c r="H80" s="79">
        <f t="shared" ref="H80" si="11">SUM(F80*G80/1000)</f>
        <v>2.1714540000000002</v>
      </c>
      <c r="I80" s="13">
        <v>0</v>
      </c>
    </row>
    <row r="81" spans="1:9" ht="15.75" hidden="1" customHeight="1">
      <c r="A81" s="30"/>
      <c r="B81" s="93" t="s">
        <v>88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111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89" t="s">
        <v>133</v>
      </c>
      <c r="B83" s="189"/>
      <c r="C83" s="189"/>
      <c r="D83" s="189"/>
      <c r="E83" s="189"/>
      <c r="F83" s="189"/>
      <c r="G83" s="189"/>
      <c r="H83" s="189"/>
      <c r="I83" s="189"/>
    </row>
    <row r="84" spans="1:9" ht="15.75" customHeight="1">
      <c r="A84" s="30">
        <v>17</v>
      </c>
      <c r="B84" s="41" t="s">
        <v>112</v>
      </c>
      <c r="C84" s="42" t="s">
        <v>54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18</v>
      </c>
      <c r="B85" s="14" t="s">
        <v>76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78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I85+I84+I78+I77+I69+I68+I67+I66+I65+I61+I33+I31+I30+I27+I20+I18+I17+I16</f>
        <v>101661.44573566668</v>
      </c>
    </row>
    <row r="87" spans="1:9" ht="15.75" customHeight="1">
      <c r="A87" s="178" t="s">
        <v>60</v>
      </c>
      <c r="B87" s="179"/>
      <c r="C87" s="179"/>
      <c r="D87" s="179"/>
      <c r="E87" s="179"/>
      <c r="F87" s="179"/>
      <c r="G87" s="179"/>
      <c r="H87" s="179"/>
      <c r="I87" s="180"/>
    </row>
    <row r="88" spans="1:9" ht="32.25" customHeight="1">
      <c r="A88" s="30">
        <v>19</v>
      </c>
      <c r="B88" s="134" t="s">
        <v>181</v>
      </c>
      <c r="C88" s="61" t="s">
        <v>38</v>
      </c>
      <c r="D88" s="60"/>
      <c r="E88" s="39"/>
      <c r="F88" s="39">
        <v>1</v>
      </c>
      <c r="G88" s="39">
        <v>3914.31</v>
      </c>
      <c r="H88" s="79">
        <f>G88*F88/1000</f>
        <v>3.91431</v>
      </c>
      <c r="I88" s="13">
        <f>G88*0.01</f>
        <v>39.143099999999997</v>
      </c>
    </row>
    <row r="89" spans="1:9" ht="28.5" customHeight="1">
      <c r="A89" s="30">
        <v>20</v>
      </c>
      <c r="B89" s="134" t="s">
        <v>118</v>
      </c>
      <c r="C89" s="61" t="s">
        <v>119</v>
      </c>
      <c r="D89" s="60"/>
      <c r="E89" s="39"/>
      <c r="F89" s="39">
        <v>120</v>
      </c>
      <c r="G89" s="39">
        <v>644.72</v>
      </c>
      <c r="H89" s="79">
        <f>G89*F89/1000</f>
        <v>77.366400000000013</v>
      </c>
      <c r="I89" s="13">
        <f>G89*1</f>
        <v>644.72</v>
      </c>
    </row>
    <row r="90" spans="1:9" ht="15.75" customHeight="1">
      <c r="A90" s="30">
        <v>21</v>
      </c>
      <c r="B90" s="134" t="s">
        <v>194</v>
      </c>
      <c r="C90" s="61" t="s">
        <v>195</v>
      </c>
      <c r="D90" s="42" t="s">
        <v>197</v>
      </c>
      <c r="E90" s="39"/>
      <c r="F90" s="39"/>
      <c r="G90" s="39">
        <v>1184.0999999999999</v>
      </c>
      <c r="H90" s="79"/>
      <c r="I90" s="13">
        <f>G90*2</f>
        <v>2368.1999999999998</v>
      </c>
    </row>
    <row r="91" spans="1:9" ht="15.75" customHeight="1">
      <c r="A91" s="30">
        <v>22</v>
      </c>
      <c r="B91" s="160" t="s">
        <v>196</v>
      </c>
      <c r="C91" s="158" t="s">
        <v>90</v>
      </c>
      <c r="D91" s="60"/>
      <c r="E91" s="39"/>
      <c r="F91" s="39"/>
      <c r="G91" s="39">
        <v>3587.49</v>
      </c>
      <c r="H91" s="79"/>
      <c r="I91" s="13">
        <f>G91*0.06</f>
        <v>215.24939999999998</v>
      </c>
    </row>
    <row r="92" spans="1:9" ht="34.5" customHeight="1">
      <c r="A92" s="30">
        <v>23</v>
      </c>
      <c r="B92" s="134" t="s">
        <v>138</v>
      </c>
      <c r="C92" s="61" t="s">
        <v>104</v>
      </c>
      <c r="D92" s="60"/>
      <c r="E92" s="39"/>
      <c r="F92" s="39"/>
      <c r="G92" s="39">
        <v>91.11</v>
      </c>
      <c r="H92" s="79"/>
      <c r="I92" s="13">
        <f>G92*1</f>
        <v>91.11</v>
      </c>
    </row>
    <row r="93" spans="1:9" ht="15.75" customHeight="1">
      <c r="A93" s="30">
        <v>24</v>
      </c>
      <c r="B93" s="134" t="s">
        <v>166</v>
      </c>
      <c r="C93" s="61" t="s">
        <v>104</v>
      </c>
      <c r="D93" s="60"/>
      <c r="E93" s="39"/>
      <c r="F93" s="39"/>
      <c r="G93" s="39">
        <v>207.55</v>
      </c>
      <c r="H93" s="79"/>
      <c r="I93" s="13">
        <f>G93*1</f>
        <v>207.55</v>
      </c>
    </row>
    <row r="94" spans="1:9" ht="15.75" customHeight="1">
      <c r="A94" s="30"/>
      <c r="B94" s="50" t="s">
        <v>51</v>
      </c>
      <c r="C94" s="57"/>
      <c r="D94" s="52"/>
      <c r="E94" s="13"/>
      <c r="F94" s="13"/>
      <c r="G94" s="13"/>
      <c r="H94" s="80"/>
      <c r="I94" s="87">
        <f>SUM(I88:I93)</f>
        <v>3565.9725000000003</v>
      </c>
    </row>
    <row r="95" spans="1:9">
      <c r="A95" s="30"/>
      <c r="B95" s="52" t="s">
        <v>77</v>
      </c>
      <c r="C95" s="15"/>
      <c r="D95" s="15"/>
      <c r="E95" s="47"/>
      <c r="F95" s="47"/>
      <c r="G95" s="48"/>
      <c r="H95" s="48"/>
      <c r="I95" s="17">
        <v>0</v>
      </c>
    </row>
    <row r="96" spans="1:9">
      <c r="A96" s="54"/>
      <c r="B96" s="51" t="s">
        <v>139</v>
      </c>
      <c r="C96" s="38"/>
      <c r="D96" s="38"/>
      <c r="E96" s="38"/>
      <c r="F96" s="38"/>
      <c r="G96" s="38"/>
      <c r="H96" s="38"/>
      <c r="I96" s="49">
        <f>I86+I94</f>
        <v>105227.41823566669</v>
      </c>
    </row>
    <row r="97" spans="1:9" ht="15.75" customHeight="1">
      <c r="A97" s="181" t="s">
        <v>219</v>
      </c>
      <c r="B97" s="181"/>
      <c r="C97" s="181"/>
      <c r="D97" s="181"/>
      <c r="E97" s="181"/>
      <c r="F97" s="181"/>
      <c r="G97" s="181"/>
      <c r="H97" s="181"/>
      <c r="I97" s="181"/>
    </row>
    <row r="98" spans="1:9" ht="15.75" customHeight="1">
      <c r="A98" s="68"/>
      <c r="B98" s="182" t="s">
        <v>220</v>
      </c>
      <c r="C98" s="182"/>
      <c r="D98" s="182"/>
      <c r="E98" s="182"/>
      <c r="F98" s="182"/>
      <c r="G98" s="182"/>
      <c r="H98" s="78"/>
      <c r="I98" s="3"/>
    </row>
    <row r="99" spans="1:9">
      <c r="A99" s="64"/>
      <c r="B99" s="183" t="s">
        <v>6</v>
      </c>
      <c r="C99" s="183"/>
      <c r="D99" s="183"/>
      <c r="E99" s="183"/>
      <c r="F99" s="183"/>
      <c r="G99" s="183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4" t="s">
        <v>7</v>
      </c>
      <c r="B101" s="184"/>
      <c r="C101" s="184"/>
      <c r="D101" s="184"/>
      <c r="E101" s="184"/>
      <c r="F101" s="184"/>
      <c r="G101" s="184"/>
      <c r="H101" s="184"/>
      <c r="I101" s="184"/>
    </row>
    <row r="102" spans="1:9" ht="15.75" customHeight="1">
      <c r="A102" s="184" t="s">
        <v>8</v>
      </c>
      <c r="B102" s="184"/>
      <c r="C102" s="184"/>
      <c r="D102" s="184"/>
      <c r="E102" s="184"/>
      <c r="F102" s="184"/>
      <c r="G102" s="184"/>
      <c r="H102" s="184"/>
      <c r="I102" s="184"/>
    </row>
    <row r="103" spans="1:9" ht="15.75">
      <c r="A103" s="185" t="s">
        <v>61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15.75">
      <c r="A104" s="11"/>
    </row>
    <row r="105" spans="1:9" ht="15.75" customHeight="1">
      <c r="A105" s="186" t="s">
        <v>9</v>
      </c>
      <c r="B105" s="186"/>
      <c r="C105" s="186"/>
      <c r="D105" s="186"/>
      <c r="E105" s="186"/>
      <c r="F105" s="186"/>
      <c r="G105" s="186"/>
      <c r="H105" s="186"/>
      <c r="I105" s="186"/>
    </row>
    <row r="106" spans="1:9" ht="15.75" customHeight="1">
      <c r="A106" s="4"/>
    </row>
    <row r="107" spans="1:9" ht="15.75" customHeight="1">
      <c r="B107" s="65" t="s">
        <v>10</v>
      </c>
      <c r="C107" s="187" t="s">
        <v>124</v>
      </c>
      <c r="D107" s="187"/>
      <c r="E107" s="187"/>
      <c r="F107" s="76"/>
      <c r="I107" s="63"/>
    </row>
    <row r="108" spans="1:9" ht="15.75" customHeight="1">
      <c r="A108" s="64"/>
      <c r="C108" s="183" t="s">
        <v>11</v>
      </c>
      <c r="D108" s="183"/>
      <c r="E108" s="183"/>
      <c r="F108" s="25"/>
      <c r="I108" s="62" t="s">
        <v>12</v>
      </c>
    </row>
    <row r="109" spans="1:9" ht="15.75" customHeight="1">
      <c r="A109" s="26"/>
      <c r="C109" s="12"/>
      <c r="D109" s="12"/>
      <c r="G109" s="12"/>
      <c r="H109" s="12"/>
    </row>
    <row r="110" spans="1:9" ht="15.75" customHeight="1">
      <c r="B110" s="65" t="s">
        <v>13</v>
      </c>
      <c r="C110" s="188"/>
      <c r="D110" s="188"/>
      <c r="E110" s="188"/>
      <c r="F110" s="77"/>
      <c r="I110" s="63"/>
    </row>
    <row r="111" spans="1:9">
      <c r="A111" s="64"/>
      <c r="C111" s="177" t="s">
        <v>11</v>
      </c>
      <c r="D111" s="177"/>
      <c r="E111" s="177"/>
      <c r="F111" s="64"/>
      <c r="I111" s="62" t="s">
        <v>12</v>
      </c>
    </row>
    <row r="112" spans="1:9" ht="15.75">
      <c r="A112" s="4" t="s">
        <v>14</v>
      </c>
    </row>
    <row r="113" spans="1:9">
      <c r="A113" s="175" t="s">
        <v>15</v>
      </c>
      <c r="B113" s="175"/>
      <c r="C113" s="175"/>
      <c r="D113" s="175"/>
      <c r="E113" s="175"/>
      <c r="F113" s="175"/>
      <c r="G113" s="175"/>
      <c r="H113" s="175"/>
      <c r="I113" s="175"/>
    </row>
    <row r="114" spans="1:9" ht="45" customHeight="1">
      <c r="A114" s="176" t="s">
        <v>16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30" customHeight="1">
      <c r="A115" s="176" t="s">
        <v>17</v>
      </c>
      <c r="B115" s="176"/>
      <c r="C115" s="176"/>
      <c r="D115" s="176"/>
      <c r="E115" s="176"/>
      <c r="F115" s="176"/>
      <c r="G115" s="176"/>
      <c r="H115" s="176"/>
      <c r="I115" s="176"/>
    </row>
    <row r="116" spans="1:9" ht="30" customHeight="1">
      <c r="A116" s="176" t="s">
        <v>21</v>
      </c>
      <c r="B116" s="176"/>
      <c r="C116" s="176"/>
      <c r="D116" s="176"/>
      <c r="E116" s="176"/>
      <c r="F116" s="176"/>
      <c r="G116" s="176"/>
      <c r="H116" s="176"/>
      <c r="I116" s="176"/>
    </row>
    <row r="117" spans="1:9" ht="15" customHeight="1">
      <c r="A117" s="176" t="s">
        <v>20</v>
      </c>
      <c r="B117" s="176"/>
      <c r="C117" s="176"/>
      <c r="D117" s="176"/>
      <c r="E117" s="176"/>
      <c r="F117" s="176"/>
      <c r="G117" s="176"/>
      <c r="H117" s="176"/>
      <c r="I117" s="176"/>
    </row>
  </sheetData>
  <autoFilter ref="I12:I60"/>
  <mergeCells count="29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8:I28"/>
    <mergeCell ref="A44:I44"/>
    <mergeCell ref="A55:I55"/>
    <mergeCell ref="A87:I87"/>
    <mergeCell ref="A97:I97"/>
    <mergeCell ref="B98:G98"/>
    <mergeCell ref="B99:G99"/>
    <mergeCell ref="A101:I101"/>
    <mergeCell ref="A102:I102"/>
    <mergeCell ref="R66:U66"/>
    <mergeCell ref="A83:I83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114"/>
  <sheetViews>
    <sheetView view="pageBreakPreview" topLeftCell="A9" zoomScale="60" workbookViewId="0">
      <selection activeCell="B84" sqref="B84:I85"/>
    </sheetView>
  </sheetViews>
  <sheetFormatPr defaultRowHeight="15"/>
  <cols>
    <col min="1" max="1" width="11.140625" customWidth="1"/>
    <col min="2" max="2" width="53.7109375" customWidth="1"/>
    <col min="3" max="3" width="18.7109375" customWidth="1"/>
    <col min="4" max="4" width="17.7109375" customWidth="1"/>
    <col min="5" max="6" width="0" hidden="1" customWidth="1"/>
    <col min="7" max="7" width="17.28515625" customWidth="1"/>
    <col min="8" max="8" width="0" hidden="1" customWidth="1"/>
    <col min="9" max="9" width="16.42578125" customWidth="1"/>
  </cols>
  <sheetData>
    <row r="1" spans="1:9" ht="15.75">
      <c r="A1" s="28" t="s">
        <v>167</v>
      </c>
      <c r="I1" s="27"/>
    </row>
    <row r="2" spans="1:9" ht="15.75">
      <c r="A2" s="29" t="s">
        <v>62</v>
      </c>
    </row>
    <row r="3" spans="1:9" ht="15.75">
      <c r="A3" s="190" t="s">
        <v>168</v>
      </c>
      <c r="B3" s="190"/>
      <c r="C3" s="190"/>
      <c r="D3" s="190"/>
      <c r="E3" s="190"/>
      <c r="F3" s="190"/>
      <c r="G3" s="190"/>
      <c r="H3" s="190"/>
      <c r="I3" s="190"/>
    </row>
    <row r="4" spans="1:9" ht="32.2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9" ht="15.75">
      <c r="A5" s="190" t="s">
        <v>221</v>
      </c>
      <c r="B5" s="192"/>
      <c r="C5" s="192"/>
      <c r="D5" s="192"/>
      <c r="E5" s="192"/>
      <c r="F5" s="192"/>
      <c r="G5" s="192"/>
      <c r="H5" s="192"/>
      <c r="I5" s="192"/>
    </row>
    <row r="6" spans="1:9" ht="15.75">
      <c r="A6" s="2"/>
      <c r="B6" s="165"/>
      <c r="C6" s="165"/>
      <c r="D6" s="165"/>
      <c r="E6" s="165"/>
      <c r="F6" s="165"/>
      <c r="G6" s="165"/>
      <c r="H6" s="165"/>
      <c r="I6" s="31">
        <v>43677</v>
      </c>
    </row>
    <row r="7" spans="1:9" ht="15.75">
      <c r="B7" s="163"/>
      <c r="C7" s="163"/>
      <c r="D7" s="163"/>
      <c r="E7" s="3"/>
      <c r="F7" s="3"/>
      <c r="G7" s="3"/>
      <c r="H7" s="3"/>
    </row>
    <row r="8" spans="1:9" ht="80.25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</row>
    <row r="9" spans="1:9" ht="15.75">
      <c r="A9" s="4"/>
    </row>
    <row r="10" spans="1:9" ht="60.75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</row>
    <row r="11" spans="1:9" ht="15.75">
      <c r="A11" s="4"/>
    </row>
    <row r="12" spans="1:9" ht="73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</row>
    <row r="15" spans="1:9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</row>
    <row r="16" spans="1:9" ht="17.25" customHeight="1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6" si="0">SUM(F16*G16/1000)</f>
        <v>13.555464000000002</v>
      </c>
      <c r="I16" s="13">
        <f>F16/12*G16</f>
        <v>1129.6220000000001</v>
      </c>
    </row>
    <row r="17" spans="1:9" ht="15.75" customHeight="1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</row>
    <row r="18" spans="1:9" ht="15" customHeight="1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</row>
    <row r="19" spans="1:9" hidden="1">
      <c r="A19" s="30"/>
      <c r="B19" s="35" t="s">
        <v>89</v>
      </c>
      <c r="C19" s="46" t="s">
        <v>90</v>
      </c>
      <c r="D19" s="35" t="s">
        <v>91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</row>
    <row r="20" spans="1:9" ht="15.75" customHeight="1">
      <c r="A20" s="30">
        <v>4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</row>
    <row r="21" spans="1:9" hidden="1">
      <c r="A21" s="30">
        <v>5</v>
      </c>
      <c r="B21" s="35" t="s">
        <v>93</v>
      </c>
      <c r="C21" s="46" t="s">
        <v>82</v>
      </c>
      <c r="D21" s="35" t="s">
        <v>42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</row>
    <row r="22" spans="1:9" hidden="1">
      <c r="A22" s="30"/>
      <c r="B22" s="35" t="s">
        <v>94</v>
      </c>
      <c r="C22" s="46" t="s">
        <v>52</v>
      </c>
      <c r="D22" s="35" t="s">
        <v>91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</row>
    <row r="23" spans="1:9" hidden="1">
      <c r="A23" s="30"/>
      <c r="B23" s="35" t="s">
        <v>95</v>
      </c>
      <c r="C23" s="46" t="s">
        <v>52</v>
      </c>
      <c r="D23" s="35" t="s">
        <v>91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</row>
    <row r="24" spans="1:9" hidden="1">
      <c r="A24" s="30"/>
      <c r="B24" s="35" t="s">
        <v>96</v>
      </c>
      <c r="C24" s="46" t="s">
        <v>52</v>
      </c>
      <c r="D24" s="35" t="s">
        <v>97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</row>
    <row r="25" spans="1:9" ht="30" hidden="1">
      <c r="A25" s="30"/>
      <c r="B25" s="35" t="s">
        <v>98</v>
      </c>
      <c r="C25" s="46" t="s">
        <v>52</v>
      </c>
      <c r="D25" s="35" t="s">
        <v>53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</row>
    <row r="26" spans="1:9" hidden="1">
      <c r="A26" s="30"/>
      <c r="B26" s="35" t="s">
        <v>99</v>
      </c>
      <c r="C26" s="46" t="s">
        <v>52</v>
      </c>
      <c r="D26" s="35" t="s">
        <v>91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</row>
    <row r="27" spans="1:9" ht="19.5" customHeight="1">
      <c r="A27" s="30">
        <v>5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ref="H27" si="1">SUM(F27*G27/1000)</f>
        <v>10.8297048</v>
      </c>
      <c r="I27" s="13">
        <f>F27/12*G27</f>
        <v>902.47540000000004</v>
      </c>
    </row>
    <row r="28" spans="1:9">
      <c r="A28" s="196" t="s">
        <v>80</v>
      </c>
      <c r="B28" s="197"/>
      <c r="C28" s="197"/>
      <c r="D28" s="197"/>
      <c r="E28" s="197"/>
      <c r="F28" s="197"/>
      <c r="G28" s="197"/>
      <c r="H28" s="197"/>
      <c r="I28" s="198"/>
    </row>
    <row r="29" spans="1:9" ht="18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</row>
    <row r="30" spans="1:9" ht="15" customHeight="1">
      <c r="A30" s="30">
        <v>6</v>
      </c>
      <c r="B30" s="81" t="s">
        <v>102</v>
      </c>
      <c r="C30" s="46" t="s">
        <v>85</v>
      </c>
      <c r="D30" s="35" t="s">
        <v>200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5" si="2">SUM(F30*G30/1000)</f>
        <v>3.528389072</v>
      </c>
      <c r="I30" s="13">
        <f t="shared" ref="I30:I33" si="3">F30/6*G30</f>
        <v>588.06484533333344</v>
      </c>
    </row>
    <row r="31" spans="1:9" ht="35.25" customHeight="1">
      <c r="A31" s="30">
        <v>7</v>
      </c>
      <c r="B31" s="81" t="s">
        <v>101</v>
      </c>
      <c r="C31" s="46" t="s">
        <v>85</v>
      </c>
      <c r="D31" s="35" t="s">
        <v>199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2"/>
        <v>2.8813175820000003</v>
      </c>
      <c r="I31" s="13">
        <f t="shared" si="3"/>
        <v>480.21959700000002</v>
      </c>
    </row>
    <row r="32" spans="1:9" hidden="1">
      <c r="A32" s="30"/>
      <c r="B32" s="81" t="s">
        <v>26</v>
      </c>
      <c r="C32" s="46" t="s">
        <v>85</v>
      </c>
      <c r="D32" s="35" t="s">
        <v>53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2"/>
        <v>1.3147322369999999</v>
      </c>
      <c r="I32" s="13">
        <f>F32*G32</f>
        <v>1314.7322369999999</v>
      </c>
    </row>
    <row r="33" spans="1:9" ht="15" customHeight="1">
      <c r="A33" s="30">
        <v>8</v>
      </c>
      <c r="B33" s="81" t="s">
        <v>128</v>
      </c>
      <c r="C33" s="46" t="s">
        <v>40</v>
      </c>
      <c r="D33" s="35" t="s">
        <v>204</v>
      </c>
      <c r="E33" s="34">
        <v>2</v>
      </c>
      <c r="F33" s="34">
        <v>3.1</v>
      </c>
      <c r="G33" s="34">
        <v>1707.63</v>
      </c>
      <c r="H33" s="101">
        <f t="shared" si="2"/>
        <v>5.2936529999999999</v>
      </c>
      <c r="I33" s="13">
        <f t="shared" si="3"/>
        <v>882.27550000000019</v>
      </c>
    </row>
    <row r="34" spans="1:9" hidden="1">
      <c r="A34" s="30"/>
      <c r="B34" s="35" t="s">
        <v>64</v>
      </c>
      <c r="C34" s="46" t="s">
        <v>32</v>
      </c>
      <c r="D34" s="35" t="s">
        <v>66</v>
      </c>
      <c r="E34" s="100"/>
      <c r="F34" s="34">
        <v>2</v>
      </c>
      <c r="G34" s="34">
        <v>250.92</v>
      </c>
      <c r="H34" s="101">
        <f t="shared" si="2"/>
        <v>0.50183999999999995</v>
      </c>
      <c r="I34" s="13">
        <v>0</v>
      </c>
    </row>
    <row r="35" spans="1:9" hidden="1">
      <c r="A35" s="30"/>
      <c r="B35" s="35" t="s">
        <v>65</v>
      </c>
      <c r="C35" s="46" t="s">
        <v>31</v>
      </c>
      <c r="D35" s="35" t="s">
        <v>66</v>
      </c>
      <c r="E35" s="100"/>
      <c r="F35" s="34">
        <v>1</v>
      </c>
      <c r="G35" s="34">
        <v>1490.31</v>
      </c>
      <c r="H35" s="101">
        <f t="shared" si="2"/>
        <v>1.49031</v>
      </c>
      <c r="I35" s="13">
        <v>0</v>
      </c>
    </row>
    <row r="36" spans="1:9" hidden="1">
      <c r="A36" s="30"/>
      <c r="B36" s="92" t="s">
        <v>5</v>
      </c>
      <c r="C36" s="82"/>
      <c r="D36" s="81"/>
      <c r="E36" s="83"/>
      <c r="F36" s="84"/>
      <c r="G36" s="84"/>
      <c r="H36" s="85" t="s">
        <v>113</v>
      </c>
      <c r="I36" s="13"/>
    </row>
    <row r="37" spans="1:9" hidden="1">
      <c r="A37" s="30">
        <v>8</v>
      </c>
      <c r="B37" s="36" t="s">
        <v>25</v>
      </c>
      <c r="C37" s="46" t="s">
        <v>31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</row>
    <row r="38" spans="1:9" hidden="1">
      <c r="A38" s="30">
        <v>9</v>
      </c>
      <c r="B38" s="36" t="s">
        <v>142</v>
      </c>
      <c r="C38" s="55" t="s">
        <v>28</v>
      </c>
      <c r="D38" s="35" t="s">
        <v>83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</row>
    <row r="39" spans="1:9" hidden="1">
      <c r="A39" s="30">
        <v>10</v>
      </c>
      <c r="B39" s="35" t="s">
        <v>67</v>
      </c>
      <c r="C39" s="46" t="s">
        <v>28</v>
      </c>
      <c r="D39" s="35" t="s">
        <v>84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</row>
    <row r="40" spans="1:9" hidden="1">
      <c r="A40" s="30"/>
      <c r="B40" s="35" t="s">
        <v>143</v>
      </c>
      <c r="C40" s="46" t="s">
        <v>144</v>
      </c>
      <c r="D40" s="35" t="s">
        <v>66</v>
      </c>
      <c r="E40" s="100"/>
      <c r="F40" s="37">
        <v>39</v>
      </c>
      <c r="G40" s="34">
        <v>314</v>
      </c>
      <c r="H40" s="101">
        <f t="shared" si="4"/>
        <v>12.246</v>
      </c>
      <c r="I40" s="13"/>
    </row>
    <row r="41" spans="1:9" ht="45" hidden="1">
      <c r="A41" s="30">
        <v>11</v>
      </c>
      <c r="B41" s="35" t="s">
        <v>79</v>
      </c>
      <c r="C41" s="46" t="s">
        <v>85</v>
      </c>
      <c r="D41" s="35" t="s">
        <v>115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</row>
    <row r="42" spans="1:9" hidden="1">
      <c r="A42" s="30">
        <v>12</v>
      </c>
      <c r="B42" s="35" t="s">
        <v>116</v>
      </c>
      <c r="C42" s="46" t="s">
        <v>85</v>
      </c>
      <c r="D42" s="35" t="s">
        <v>68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</row>
    <row r="43" spans="1:9" hidden="1">
      <c r="A43" s="30">
        <v>13</v>
      </c>
      <c r="B43" s="36" t="s">
        <v>69</v>
      </c>
      <c r="C43" s="55" t="s">
        <v>32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</row>
    <row r="44" spans="1:9" hidden="1">
      <c r="A44" s="196" t="s">
        <v>123</v>
      </c>
      <c r="B44" s="197"/>
      <c r="C44" s="197"/>
      <c r="D44" s="197"/>
      <c r="E44" s="197"/>
      <c r="F44" s="197"/>
      <c r="G44" s="197"/>
      <c r="H44" s="197"/>
      <c r="I44" s="198"/>
    </row>
    <row r="45" spans="1:9" hidden="1">
      <c r="A45" s="30"/>
      <c r="B45" s="35" t="s">
        <v>103</v>
      </c>
      <c r="C45" s="46" t="s">
        <v>85</v>
      </c>
      <c r="D45" s="35" t="s">
        <v>42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v>0</v>
      </c>
    </row>
    <row r="46" spans="1:9" hidden="1">
      <c r="A46" s="30"/>
      <c r="B46" s="35" t="s">
        <v>35</v>
      </c>
      <c r="C46" s="46" t="s">
        <v>85</v>
      </c>
      <c r="D46" s="35" t="s">
        <v>42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v>0</v>
      </c>
    </row>
    <row r="47" spans="1:9" hidden="1">
      <c r="A47" s="30"/>
      <c r="B47" s="35" t="s">
        <v>36</v>
      </c>
      <c r="C47" s="46" t="s">
        <v>85</v>
      </c>
      <c r="D47" s="35" t="s">
        <v>42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v>0</v>
      </c>
    </row>
    <row r="48" spans="1:9" hidden="1">
      <c r="A48" s="30"/>
      <c r="B48" s="35" t="s">
        <v>37</v>
      </c>
      <c r="C48" s="46" t="s">
        <v>85</v>
      </c>
      <c r="D48" s="35" t="s">
        <v>42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v>0</v>
      </c>
    </row>
    <row r="49" spans="1:9" hidden="1">
      <c r="A49" s="30"/>
      <c r="B49" s="35" t="s">
        <v>33</v>
      </c>
      <c r="C49" s="46" t="s">
        <v>34</v>
      </c>
      <c r="D49" s="35" t="s">
        <v>42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v>0</v>
      </c>
    </row>
    <row r="50" spans="1:9" hidden="1">
      <c r="A50" s="30">
        <v>11</v>
      </c>
      <c r="B50" s="35" t="s">
        <v>56</v>
      </c>
      <c r="C50" s="46" t="s">
        <v>85</v>
      </c>
      <c r="D50" s="35" t="s">
        <v>129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</row>
    <row r="51" spans="1:9" ht="30" hidden="1">
      <c r="A51" s="30"/>
      <c r="B51" s="35" t="s">
        <v>86</v>
      </c>
      <c r="C51" s="46" t="s">
        <v>85</v>
      </c>
      <c r="D51" s="35" t="s">
        <v>42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v>0</v>
      </c>
    </row>
    <row r="52" spans="1:9" ht="30" hidden="1">
      <c r="A52" s="30"/>
      <c r="B52" s="35" t="s">
        <v>87</v>
      </c>
      <c r="C52" s="46" t="s">
        <v>38</v>
      </c>
      <c r="D52" s="35" t="s">
        <v>42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v>0</v>
      </c>
    </row>
    <row r="53" spans="1:9" hidden="1">
      <c r="A53" s="30"/>
      <c r="B53" s="35" t="s">
        <v>39</v>
      </c>
      <c r="C53" s="46" t="s">
        <v>40</v>
      </c>
      <c r="D53" s="35" t="s">
        <v>42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v>0</v>
      </c>
    </row>
    <row r="54" spans="1:9" hidden="1">
      <c r="A54" s="109">
        <v>12</v>
      </c>
      <c r="B54" s="105" t="s">
        <v>41</v>
      </c>
      <c r="C54" s="106" t="s">
        <v>104</v>
      </c>
      <c r="D54" s="105" t="s">
        <v>70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</row>
    <row r="55" spans="1:9">
      <c r="A55" s="189" t="s">
        <v>132</v>
      </c>
      <c r="B55" s="189"/>
      <c r="C55" s="189"/>
      <c r="D55" s="189"/>
      <c r="E55" s="189"/>
      <c r="F55" s="189"/>
      <c r="G55" s="189"/>
      <c r="H55" s="189"/>
      <c r="I55" s="189"/>
    </row>
    <row r="56" spans="1:9" hidden="1">
      <c r="A56" s="30"/>
      <c r="B56" s="166" t="s">
        <v>43</v>
      </c>
      <c r="C56" s="16"/>
      <c r="D56" s="14"/>
      <c r="E56" s="18"/>
      <c r="F56" s="13"/>
      <c r="G56" s="13"/>
      <c r="H56" s="13"/>
      <c r="I56" s="13"/>
    </row>
    <row r="57" spans="1:9" ht="30" hidden="1">
      <c r="A57" s="30">
        <v>16</v>
      </c>
      <c r="B57" s="41" t="s">
        <v>105</v>
      </c>
      <c r="C57" s="42" t="s">
        <v>82</v>
      </c>
      <c r="D57" s="41" t="s">
        <v>106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</row>
    <row r="58" spans="1:9" ht="15.75" hidden="1" customHeight="1">
      <c r="A58" s="30">
        <v>11</v>
      </c>
      <c r="B58" s="41" t="s">
        <v>145</v>
      </c>
      <c r="C58" s="42" t="s">
        <v>146</v>
      </c>
      <c r="D58" s="41" t="s">
        <v>222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f>G58*3</f>
        <v>4746.1499999999996</v>
      </c>
    </row>
    <row r="59" spans="1:9" ht="17.25" customHeight="1">
      <c r="A59" s="30"/>
      <c r="B59" s="166" t="s">
        <v>44</v>
      </c>
      <c r="C59" s="16"/>
      <c r="D59" s="14"/>
      <c r="E59" s="18"/>
      <c r="F59" s="13"/>
      <c r="G59" s="13"/>
      <c r="H59" s="13"/>
      <c r="I59" s="13"/>
    </row>
    <row r="60" spans="1:9" hidden="1">
      <c r="A60" s="30"/>
      <c r="B60" s="41" t="s">
        <v>117</v>
      </c>
      <c r="C60" s="42" t="s">
        <v>82</v>
      </c>
      <c r="D60" s="41" t="s">
        <v>53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9" ht="15" customHeight="1">
      <c r="A61" s="30">
        <v>11</v>
      </c>
      <c r="B61" s="41" t="s">
        <v>147</v>
      </c>
      <c r="C61" s="42" t="s">
        <v>148</v>
      </c>
      <c r="D61" s="41" t="s">
        <v>185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9" hidden="1">
      <c r="A62" s="113"/>
      <c r="B62" s="114" t="s">
        <v>45</v>
      </c>
      <c r="C62" s="115"/>
      <c r="D62" s="116"/>
      <c r="E62" s="86"/>
      <c r="F62" s="117"/>
      <c r="G62" s="117"/>
      <c r="H62" s="118" t="s">
        <v>113</v>
      </c>
      <c r="I62" s="119"/>
    </row>
    <row r="63" spans="1:9" hidden="1">
      <c r="A63" s="30">
        <v>12</v>
      </c>
      <c r="B63" s="58" t="s">
        <v>46</v>
      </c>
      <c r="C63" s="42" t="s">
        <v>104</v>
      </c>
      <c r="D63" s="41" t="s">
        <v>66</v>
      </c>
      <c r="E63" s="17">
        <v>5</v>
      </c>
      <c r="F63" s="34">
        <f>E63</f>
        <v>5</v>
      </c>
      <c r="G63" s="39">
        <v>291.68</v>
      </c>
      <c r="H63" s="79">
        <f t="shared" ref="H63:H70" si="7">SUM(F63*G63/1000)</f>
        <v>1.4584000000000001</v>
      </c>
      <c r="I63" s="13">
        <f>G63*4</f>
        <v>1166.72</v>
      </c>
    </row>
    <row r="64" spans="1:9" hidden="1">
      <c r="A64" s="30"/>
      <c r="B64" s="58" t="s">
        <v>47</v>
      </c>
      <c r="C64" s="42" t="s">
        <v>104</v>
      </c>
      <c r="D64" s="41" t="s">
        <v>66</v>
      </c>
      <c r="E64" s="17">
        <v>5</v>
      </c>
      <c r="F64" s="34">
        <f>E64</f>
        <v>5</v>
      </c>
      <c r="G64" s="39">
        <v>100.01</v>
      </c>
      <c r="H64" s="79">
        <f t="shared" si="7"/>
        <v>0.50004999999999999</v>
      </c>
      <c r="I64" s="13">
        <v>0</v>
      </c>
    </row>
    <row r="65" spans="1:9" hidden="1">
      <c r="A65" s="30"/>
      <c r="B65" s="58" t="s">
        <v>48</v>
      </c>
      <c r="C65" s="44" t="s">
        <v>107</v>
      </c>
      <c r="D65" s="41" t="s">
        <v>53</v>
      </c>
      <c r="E65" s="100">
        <v>10348</v>
      </c>
      <c r="F65" s="40">
        <f>SUM(E65/100)</f>
        <v>103.48</v>
      </c>
      <c r="G65" s="39">
        <v>278.24</v>
      </c>
      <c r="H65" s="79">
        <f t="shared" si="7"/>
        <v>28.792275200000002</v>
      </c>
      <c r="I65" s="13">
        <v>0</v>
      </c>
    </row>
    <row r="66" spans="1:9" hidden="1">
      <c r="A66" s="30"/>
      <c r="B66" s="58" t="s">
        <v>49</v>
      </c>
      <c r="C66" s="42" t="s">
        <v>108</v>
      </c>
      <c r="D66" s="41" t="s">
        <v>53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7"/>
        <v>2.2422046400000002</v>
      </c>
      <c r="I66" s="13">
        <v>0</v>
      </c>
    </row>
    <row r="67" spans="1:9" hidden="1">
      <c r="A67" s="30"/>
      <c r="B67" s="58" t="s">
        <v>50</v>
      </c>
      <c r="C67" s="42" t="s">
        <v>75</v>
      </c>
      <c r="D67" s="41" t="s">
        <v>53</v>
      </c>
      <c r="E67" s="100">
        <v>1645</v>
      </c>
      <c r="F67" s="39">
        <f>SUM(E67/100)</f>
        <v>16.45</v>
      </c>
      <c r="G67" s="39">
        <v>2720.94</v>
      </c>
      <c r="H67" s="79">
        <f t="shared" si="7"/>
        <v>44.759462999999997</v>
      </c>
      <c r="I67" s="13">
        <v>0</v>
      </c>
    </row>
    <row r="68" spans="1:9" hidden="1">
      <c r="A68" s="30"/>
      <c r="B68" s="53" t="s">
        <v>109</v>
      </c>
      <c r="C68" s="42" t="s">
        <v>32</v>
      </c>
      <c r="D68" s="41"/>
      <c r="E68" s="100">
        <v>9</v>
      </c>
      <c r="F68" s="39">
        <f>E68</f>
        <v>9</v>
      </c>
      <c r="G68" s="39">
        <v>42.61</v>
      </c>
      <c r="H68" s="79">
        <f t="shared" si="7"/>
        <v>0.38349</v>
      </c>
      <c r="I68" s="13">
        <v>0</v>
      </c>
    </row>
    <row r="69" spans="1:9" hidden="1">
      <c r="A69" s="30"/>
      <c r="B69" s="53" t="s">
        <v>110</v>
      </c>
      <c r="C69" s="42" t="s">
        <v>32</v>
      </c>
      <c r="D69" s="41"/>
      <c r="E69" s="100">
        <v>9</v>
      </c>
      <c r="F69" s="39">
        <f t="shared" ref="F69:F70" si="8">E69</f>
        <v>9</v>
      </c>
      <c r="G69" s="39">
        <v>46.04</v>
      </c>
      <c r="H69" s="79">
        <f t="shared" si="7"/>
        <v>0.41436000000000001</v>
      </c>
      <c r="I69" s="13">
        <v>0</v>
      </c>
    </row>
    <row r="70" spans="1:9" hidden="1">
      <c r="A70" s="30">
        <v>13</v>
      </c>
      <c r="B70" s="41" t="s">
        <v>57</v>
      </c>
      <c r="C70" s="42" t="s">
        <v>58</v>
      </c>
      <c r="D70" s="41" t="s">
        <v>53</v>
      </c>
      <c r="E70" s="17">
        <v>2</v>
      </c>
      <c r="F70" s="39">
        <f t="shared" si="8"/>
        <v>2</v>
      </c>
      <c r="G70" s="39">
        <v>65.42</v>
      </c>
      <c r="H70" s="79">
        <f t="shared" si="7"/>
        <v>0.13084000000000001</v>
      </c>
      <c r="I70" s="13">
        <f>F70*G70</f>
        <v>130.84</v>
      </c>
    </row>
    <row r="71" spans="1:9" ht="18" customHeight="1">
      <c r="A71" s="30"/>
      <c r="B71" s="166" t="s">
        <v>71</v>
      </c>
      <c r="C71" s="16"/>
      <c r="D71" s="14"/>
      <c r="E71" s="18"/>
      <c r="F71" s="13"/>
      <c r="G71" s="13"/>
      <c r="H71" s="80" t="s">
        <v>113</v>
      </c>
      <c r="I71" s="13"/>
    </row>
    <row r="72" spans="1:9" hidden="1">
      <c r="A72" s="30"/>
      <c r="B72" s="14" t="s">
        <v>150</v>
      </c>
      <c r="C72" s="16" t="s">
        <v>151</v>
      </c>
      <c r="D72" s="41" t="s">
        <v>66</v>
      </c>
      <c r="E72" s="18">
        <v>1</v>
      </c>
      <c r="F72" s="13">
        <f>E72</f>
        <v>1</v>
      </c>
      <c r="G72" s="13">
        <v>1029.1199999999999</v>
      </c>
      <c r="H72" s="80">
        <f t="shared" ref="H72:H73" si="9">SUM(F72*G72/1000)</f>
        <v>1.0291199999999998</v>
      </c>
      <c r="I72" s="13">
        <v>0</v>
      </c>
    </row>
    <row r="73" spans="1:9" hidden="1">
      <c r="A73" s="30"/>
      <c r="B73" s="14" t="s">
        <v>152</v>
      </c>
      <c r="C73" s="16" t="s">
        <v>153</v>
      </c>
      <c r="D73" s="120"/>
      <c r="E73" s="18">
        <v>1</v>
      </c>
      <c r="F73" s="13">
        <v>1</v>
      </c>
      <c r="G73" s="13">
        <v>735</v>
      </c>
      <c r="H73" s="80">
        <f t="shared" si="9"/>
        <v>0.73499999999999999</v>
      </c>
      <c r="I73" s="13">
        <v>0</v>
      </c>
    </row>
    <row r="74" spans="1:9" hidden="1">
      <c r="A74" s="30"/>
      <c r="B74" s="14" t="s">
        <v>72</v>
      </c>
      <c r="C74" s="16" t="s">
        <v>73</v>
      </c>
      <c r="D74" s="41" t="s">
        <v>66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9" hidden="1">
      <c r="A75" s="30"/>
      <c r="B75" s="14" t="s">
        <v>154</v>
      </c>
      <c r="C75" s="16" t="s">
        <v>104</v>
      </c>
      <c r="D75" s="41" t="s">
        <v>66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9" hidden="1">
      <c r="A76" s="30"/>
      <c r="B76" s="56" t="s">
        <v>155</v>
      </c>
      <c r="C76" s="57" t="s">
        <v>104</v>
      </c>
      <c r="D76" s="41" t="s">
        <v>66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9" ht="30" customHeight="1">
      <c r="A77" s="30">
        <v>12</v>
      </c>
      <c r="B77" s="56" t="s">
        <v>156</v>
      </c>
      <c r="C77" s="57" t="s">
        <v>104</v>
      </c>
      <c r="D77" s="14" t="s">
        <v>185</v>
      </c>
      <c r="E77" s="18">
        <v>2</v>
      </c>
      <c r="F77" s="84">
        <f>E77*12</f>
        <v>24</v>
      </c>
      <c r="G77" s="13">
        <v>53.42</v>
      </c>
      <c r="H77" s="80">
        <f t="shared" ref="H77:H78" si="10">SUM(F77*G77/1000)</f>
        <v>1.2820799999999999</v>
      </c>
      <c r="I77" s="13">
        <f>G77*2</f>
        <v>106.84</v>
      </c>
    </row>
    <row r="78" spans="1:9" ht="33" customHeight="1">
      <c r="A78" s="30">
        <v>13</v>
      </c>
      <c r="B78" s="56" t="s">
        <v>157</v>
      </c>
      <c r="C78" s="57" t="s">
        <v>104</v>
      </c>
      <c r="D78" s="14" t="s">
        <v>202</v>
      </c>
      <c r="E78" s="18">
        <v>1</v>
      </c>
      <c r="F78" s="84">
        <f>E78*12</f>
        <v>12</v>
      </c>
      <c r="G78" s="13">
        <v>1194</v>
      </c>
      <c r="H78" s="80">
        <f t="shared" si="10"/>
        <v>14.327999999999999</v>
      </c>
      <c r="I78" s="13">
        <f>G78</f>
        <v>1194</v>
      </c>
    </row>
    <row r="79" spans="1:9" hidden="1">
      <c r="A79" s="30"/>
      <c r="B79" s="90" t="s">
        <v>74</v>
      </c>
      <c r="C79" s="16"/>
      <c r="D79" s="14"/>
      <c r="E79" s="18"/>
      <c r="F79" s="13"/>
      <c r="G79" s="13" t="s">
        <v>113</v>
      </c>
      <c r="H79" s="80" t="s">
        <v>113</v>
      </c>
      <c r="I79" s="13"/>
    </row>
    <row r="80" spans="1:9" hidden="1">
      <c r="A80" s="30"/>
      <c r="B80" s="43" t="s">
        <v>114</v>
      </c>
      <c r="C80" s="44" t="s">
        <v>75</v>
      </c>
      <c r="D80" s="58"/>
      <c r="E80" s="121"/>
      <c r="F80" s="40">
        <v>0.6</v>
      </c>
      <c r="G80" s="40">
        <v>3619.09</v>
      </c>
      <c r="H80" s="79">
        <f t="shared" ref="H80" si="11">SUM(F80*G80/1000)</f>
        <v>2.1714540000000002</v>
      </c>
      <c r="I80" s="13">
        <v>0</v>
      </c>
    </row>
    <row r="81" spans="1:9" ht="28.5" hidden="1">
      <c r="A81" s="30"/>
      <c r="B81" s="93" t="s">
        <v>88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idden="1">
      <c r="A82" s="109">
        <v>17</v>
      </c>
      <c r="B82" s="123" t="s">
        <v>111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>
      <c r="A83" s="189" t="s">
        <v>133</v>
      </c>
      <c r="B83" s="189"/>
      <c r="C83" s="189"/>
      <c r="D83" s="189"/>
      <c r="E83" s="189"/>
      <c r="F83" s="189"/>
      <c r="G83" s="189"/>
      <c r="H83" s="189"/>
      <c r="I83" s="189"/>
    </row>
    <row r="84" spans="1:9" ht="17.25" customHeight="1">
      <c r="A84" s="30">
        <v>14</v>
      </c>
      <c r="B84" s="41" t="s">
        <v>112</v>
      </c>
      <c r="C84" s="42" t="s">
        <v>54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0" customHeight="1">
      <c r="A85" s="30">
        <v>15</v>
      </c>
      <c r="B85" s="14" t="s">
        <v>76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>
      <c r="A86" s="30"/>
      <c r="B86" s="45" t="s">
        <v>78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I85+I84+I78+I77+I61+I33+I31+I30+I27+I20+I18+I17+I16</f>
        <v>25069.652895666666</v>
      </c>
    </row>
    <row r="87" spans="1:9">
      <c r="A87" s="178" t="s">
        <v>60</v>
      </c>
      <c r="B87" s="179"/>
      <c r="C87" s="179"/>
      <c r="D87" s="179"/>
      <c r="E87" s="179"/>
      <c r="F87" s="179"/>
      <c r="G87" s="179"/>
      <c r="H87" s="179"/>
      <c r="I87" s="180"/>
    </row>
    <row r="88" spans="1:9" ht="28.5" customHeight="1">
      <c r="A88" s="30">
        <v>16</v>
      </c>
      <c r="B88" s="134" t="s">
        <v>181</v>
      </c>
      <c r="C88" s="61" t="s">
        <v>38</v>
      </c>
      <c r="D88" s="60"/>
      <c r="E88" s="39"/>
      <c r="F88" s="39">
        <v>120</v>
      </c>
      <c r="G88" s="39">
        <v>3914.31</v>
      </c>
      <c r="H88" s="79">
        <f>G88*F88/1000</f>
        <v>469.71719999999999</v>
      </c>
      <c r="I88" s="13">
        <f>G88*0.01</f>
        <v>39.143099999999997</v>
      </c>
    </row>
    <row r="89" spans="1:9">
      <c r="A89" s="30">
        <v>17</v>
      </c>
      <c r="B89" s="160" t="s">
        <v>223</v>
      </c>
      <c r="C89" s="158" t="s">
        <v>90</v>
      </c>
      <c r="D89" s="60"/>
      <c r="E89" s="39"/>
      <c r="F89" s="39"/>
      <c r="G89" s="39">
        <v>2494.86</v>
      </c>
      <c r="H89" s="79"/>
      <c r="I89" s="13">
        <f>G89*0.06</f>
        <v>149.69159999999999</v>
      </c>
    </row>
    <row r="90" spans="1:9" ht="30">
      <c r="A90" s="30">
        <v>18</v>
      </c>
      <c r="B90" s="134" t="s">
        <v>175</v>
      </c>
      <c r="C90" s="61" t="s">
        <v>163</v>
      </c>
      <c r="D90" s="60"/>
      <c r="E90" s="39"/>
      <c r="F90" s="39"/>
      <c r="G90" s="39">
        <v>26095.37</v>
      </c>
      <c r="H90" s="79"/>
      <c r="I90" s="13">
        <f>G90*0.01</f>
        <v>260.95369999999997</v>
      </c>
    </row>
    <row r="91" spans="1:9" ht="18" customHeight="1">
      <c r="A91" s="30"/>
      <c r="B91" s="50" t="s">
        <v>51</v>
      </c>
      <c r="C91" s="57"/>
      <c r="D91" s="52"/>
      <c r="E91" s="13"/>
      <c r="F91" s="13"/>
      <c r="G91" s="13"/>
      <c r="H91" s="80"/>
      <c r="I91" s="87">
        <f>SUM(I88:I90)</f>
        <v>449.78839999999997</v>
      </c>
    </row>
    <row r="92" spans="1:9">
      <c r="A92" s="30"/>
      <c r="B92" s="52" t="s">
        <v>77</v>
      </c>
      <c r="C92" s="15"/>
      <c r="D92" s="15"/>
      <c r="E92" s="47"/>
      <c r="F92" s="47"/>
      <c r="G92" s="48"/>
      <c r="H92" s="48"/>
      <c r="I92" s="17">
        <v>0</v>
      </c>
    </row>
    <row r="93" spans="1:9">
      <c r="A93" s="54"/>
      <c r="B93" s="51" t="s">
        <v>139</v>
      </c>
      <c r="C93" s="38"/>
      <c r="D93" s="38"/>
      <c r="E93" s="38"/>
      <c r="F93" s="38"/>
      <c r="G93" s="38"/>
      <c r="H93" s="38"/>
      <c r="I93" s="49">
        <f>I86+I91</f>
        <v>25519.441295666667</v>
      </c>
    </row>
    <row r="94" spans="1:9" ht="15.75">
      <c r="A94" s="181" t="s">
        <v>224</v>
      </c>
      <c r="B94" s="181"/>
      <c r="C94" s="181"/>
      <c r="D94" s="181"/>
      <c r="E94" s="181"/>
      <c r="F94" s="181"/>
      <c r="G94" s="181"/>
      <c r="H94" s="181"/>
      <c r="I94" s="181"/>
    </row>
    <row r="95" spans="1:9" ht="15.75">
      <c r="A95" s="68"/>
      <c r="B95" s="182" t="s">
        <v>225</v>
      </c>
      <c r="C95" s="182"/>
      <c r="D95" s="182"/>
      <c r="E95" s="182"/>
      <c r="F95" s="182"/>
      <c r="G95" s="182"/>
      <c r="H95" s="78"/>
      <c r="I95" s="3"/>
    </row>
    <row r="96" spans="1:9">
      <c r="A96" s="161"/>
      <c r="B96" s="183" t="s">
        <v>6</v>
      </c>
      <c r="C96" s="183"/>
      <c r="D96" s="183"/>
      <c r="E96" s="183"/>
      <c r="F96" s="183"/>
      <c r="G96" s="183"/>
      <c r="H96" s="25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>
      <c r="A98" s="184" t="s">
        <v>7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>
      <c r="A99" s="184" t="s">
        <v>8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185" t="s">
        <v>61</v>
      </c>
      <c r="B100" s="185"/>
      <c r="C100" s="185"/>
      <c r="D100" s="185"/>
      <c r="E100" s="185"/>
      <c r="F100" s="185"/>
      <c r="G100" s="185"/>
      <c r="H100" s="185"/>
      <c r="I100" s="185"/>
    </row>
    <row r="101" spans="1:9" ht="15.75">
      <c r="A101" s="11"/>
    </row>
    <row r="102" spans="1:9" ht="15.75">
      <c r="A102" s="186" t="s">
        <v>9</v>
      </c>
      <c r="B102" s="186"/>
      <c r="C102" s="186"/>
      <c r="D102" s="186"/>
      <c r="E102" s="186"/>
      <c r="F102" s="186"/>
      <c r="G102" s="186"/>
      <c r="H102" s="186"/>
      <c r="I102" s="186"/>
    </row>
    <row r="103" spans="1:9" ht="15.75">
      <c r="A103" s="4"/>
    </row>
    <row r="104" spans="1:9" ht="15.75">
      <c r="B104" s="163" t="s">
        <v>10</v>
      </c>
      <c r="C104" s="187" t="s">
        <v>124</v>
      </c>
      <c r="D104" s="187"/>
      <c r="E104" s="187"/>
      <c r="F104" s="76"/>
      <c r="I104" s="164"/>
    </row>
    <row r="105" spans="1:9">
      <c r="A105" s="161"/>
      <c r="C105" s="183" t="s">
        <v>11</v>
      </c>
      <c r="D105" s="183"/>
      <c r="E105" s="183"/>
      <c r="F105" s="25"/>
      <c r="I105" s="162" t="s">
        <v>12</v>
      </c>
    </row>
    <row r="106" spans="1:9" ht="15.75">
      <c r="A106" s="26"/>
      <c r="C106" s="12"/>
      <c r="D106" s="12"/>
      <c r="G106" s="12"/>
      <c r="H106" s="12"/>
    </row>
    <row r="107" spans="1:9" ht="15.75">
      <c r="B107" s="163" t="s">
        <v>13</v>
      </c>
      <c r="C107" s="188"/>
      <c r="D107" s="188"/>
      <c r="E107" s="188"/>
      <c r="F107" s="77"/>
      <c r="I107" s="164"/>
    </row>
    <row r="108" spans="1:9">
      <c r="A108" s="161"/>
      <c r="C108" s="177" t="s">
        <v>11</v>
      </c>
      <c r="D108" s="177"/>
      <c r="E108" s="177"/>
      <c r="F108" s="161"/>
      <c r="I108" s="162" t="s">
        <v>12</v>
      </c>
    </row>
    <row r="109" spans="1:9" ht="15.75">
      <c r="A109" s="4" t="s">
        <v>14</v>
      </c>
    </row>
    <row r="110" spans="1:9">
      <c r="A110" s="175" t="s">
        <v>15</v>
      </c>
      <c r="B110" s="175"/>
      <c r="C110" s="175"/>
      <c r="D110" s="175"/>
      <c r="E110" s="175"/>
      <c r="F110" s="175"/>
      <c r="G110" s="175"/>
      <c r="H110" s="175"/>
      <c r="I110" s="175"/>
    </row>
    <row r="111" spans="1:9" ht="44.25" customHeight="1">
      <c r="A111" s="176" t="s">
        <v>16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45" customHeight="1">
      <c r="A112" s="176" t="s">
        <v>17</v>
      </c>
      <c r="B112" s="176"/>
      <c r="C112" s="176"/>
      <c r="D112" s="176"/>
      <c r="E112" s="176"/>
      <c r="F112" s="176"/>
      <c r="G112" s="176"/>
      <c r="H112" s="176"/>
      <c r="I112" s="176"/>
    </row>
    <row r="113" spans="1:9" ht="35.25" customHeight="1">
      <c r="A113" s="176" t="s">
        <v>21</v>
      </c>
      <c r="B113" s="176"/>
      <c r="C113" s="176"/>
      <c r="D113" s="176"/>
      <c r="E113" s="176"/>
      <c r="F113" s="176"/>
      <c r="G113" s="176"/>
      <c r="H113" s="176"/>
      <c r="I113" s="176"/>
    </row>
    <row r="114" spans="1:9" ht="15.75">
      <c r="A114" s="176" t="s">
        <v>20</v>
      </c>
      <c r="B114" s="176"/>
      <c r="C114" s="176"/>
      <c r="D114" s="176"/>
      <c r="E114" s="176"/>
      <c r="F114" s="176"/>
      <c r="G114" s="176"/>
      <c r="H114" s="176"/>
      <c r="I114" s="176"/>
    </row>
  </sheetData>
  <mergeCells count="28">
    <mergeCell ref="A87:I87"/>
    <mergeCell ref="A3:I3"/>
    <mergeCell ref="A4:I4"/>
    <mergeCell ref="A5:I5"/>
    <mergeCell ref="A8:I8"/>
    <mergeCell ref="A10:I10"/>
    <mergeCell ref="A14:I14"/>
    <mergeCell ref="A15:I15"/>
    <mergeCell ref="A28:I28"/>
    <mergeCell ref="A44:I44"/>
    <mergeCell ref="A55:I55"/>
    <mergeCell ref="A83:I83"/>
    <mergeCell ref="C108:E10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110:I110"/>
    <mergeCell ref="A111:I111"/>
    <mergeCell ref="A112:I112"/>
    <mergeCell ref="A113:I113"/>
    <mergeCell ref="A114:I114"/>
  </mergeCells>
  <pageMargins left="0.7" right="0.7" top="0.75" bottom="0.75" header="0.3" footer="0.3"/>
  <pageSetup paperSize="9" scale="64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B30" sqref="B30:I3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90" t="s">
        <v>134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13" ht="15.75">
      <c r="A5" s="190" t="s">
        <v>226</v>
      </c>
      <c r="B5" s="192"/>
      <c r="C5" s="192"/>
      <c r="D5" s="192"/>
      <c r="E5" s="192"/>
      <c r="F5" s="192"/>
      <c r="G5" s="192"/>
      <c r="H5" s="192"/>
      <c r="I5" s="192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43708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89</v>
      </c>
      <c r="C19" s="46" t="s">
        <v>90</v>
      </c>
      <c r="D19" s="35" t="s">
        <v>91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hidden="1" customHeight="1">
      <c r="A21" s="30">
        <v>5</v>
      </c>
      <c r="B21" s="35" t="s">
        <v>93</v>
      </c>
      <c r="C21" s="46" t="s">
        <v>82</v>
      </c>
      <c r="D21" s="35" t="s">
        <v>42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94</v>
      </c>
      <c r="C22" s="46" t="s">
        <v>52</v>
      </c>
      <c r="D22" s="35" t="s">
        <v>91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95</v>
      </c>
      <c r="C23" s="46" t="s">
        <v>52</v>
      </c>
      <c r="D23" s="35" t="s">
        <v>91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96</v>
      </c>
      <c r="C24" s="46" t="s">
        <v>52</v>
      </c>
      <c r="D24" s="35" t="s">
        <v>97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98</v>
      </c>
      <c r="C25" s="46" t="s">
        <v>52</v>
      </c>
      <c r="D25" s="35" t="s">
        <v>53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99</v>
      </c>
      <c r="C26" s="46" t="s">
        <v>52</v>
      </c>
      <c r="D26" s="35" t="s">
        <v>91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5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customHeight="1">
      <c r="A28" s="196" t="s">
        <v>80</v>
      </c>
      <c r="B28" s="197"/>
      <c r="C28" s="197"/>
      <c r="D28" s="197"/>
      <c r="E28" s="197"/>
      <c r="F28" s="197"/>
      <c r="G28" s="197"/>
      <c r="H28" s="197"/>
      <c r="I28" s="198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6</v>
      </c>
      <c r="B30" s="81" t="s">
        <v>102</v>
      </c>
      <c r="C30" s="46" t="s">
        <v>85</v>
      </c>
      <c r="D30" s="35" t="s">
        <v>200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3" si="1">SUM(F30*G30/1000)</f>
        <v>3.528389072</v>
      </c>
      <c r="I30" s="13">
        <f t="shared" ref="I30:I33" si="2">F30/6*G30</f>
        <v>588.06484533333344</v>
      </c>
      <c r="J30" s="23"/>
      <c r="K30" s="8"/>
      <c r="L30" s="8"/>
      <c r="M30" s="8"/>
    </row>
    <row r="31" spans="1:13" ht="31.5" customHeight="1">
      <c r="A31" s="30">
        <v>7</v>
      </c>
      <c r="B31" s="81" t="s">
        <v>101</v>
      </c>
      <c r="C31" s="46" t="s">
        <v>85</v>
      </c>
      <c r="D31" s="35" t="s">
        <v>199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1"/>
        <v>2.8813175820000003</v>
      </c>
      <c r="I31" s="13">
        <f t="shared" si="2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85</v>
      </c>
      <c r="D32" s="35" t="s">
        <v>53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1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8</v>
      </c>
      <c r="B33" s="81" t="s">
        <v>128</v>
      </c>
      <c r="C33" s="46" t="s">
        <v>40</v>
      </c>
      <c r="D33" s="35" t="s">
        <v>204</v>
      </c>
      <c r="E33" s="34">
        <v>2</v>
      </c>
      <c r="F33" s="34">
        <v>3.1</v>
      </c>
      <c r="G33" s="34">
        <v>1707.63</v>
      </c>
      <c r="H33" s="101">
        <f t="shared" si="1"/>
        <v>5.2936529999999999</v>
      </c>
      <c r="I33" s="13">
        <f t="shared" si="2"/>
        <v>882.27550000000019</v>
      </c>
      <c r="J33" s="23"/>
      <c r="K33" s="8"/>
    </row>
    <row r="34" spans="1:14" ht="15.75" hidden="1" customHeight="1">
      <c r="A34" s="30"/>
      <c r="B34" s="35" t="s">
        <v>64</v>
      </c>
      <c r="C34" s="46" t="s">
        <v>32</v>
      </c>
      <c r="D34" s="35" t="s">
        <v>66</v>
      </c>
      <c r="E34" s="100"/>
      <c r="F34" s="34">
        <v>2</v>
      </c>
      <c r="G34" s="34">
        <v>250.92</v>
      </c>
      <c r="H34" s="101">
        <f t="shared" ref="H34:H35" si="3">SUM(F34*G34/1000)</f>
        <v>0.50183999999999995</v>
      </c>
      <c r="I34" s="13">
        <v>0</v>
      </c>
      <c r="J34" s="24"/>
    </row>
    <row r="35" spans="1:14" ht="15.75" hidden="1" customHeight="1">
      <c r="A35" s="30"/>
      <c r="B35" s="35" t="s">
        <v>65</v>
      </c>
      <c r="C35" s="46" t="s">
        <v>31</v>
      </c>
      <c r="D35" s="35" t="s">
        <v>66</v>
      </c>
      <c r="E35" s="100"/>
      <c r="F35" s="34">
        <v>1</v>
      </c>
      <c r="G35" s="34">
        <v>1490.31</v>
      </c>
      <c r="H35" s="101">
        <f t="shared" si="3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113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31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142</v>
      </c>
      <c r="C38" s="55" t="s">
        <v>28</v>
      </c>
      <c r="D38" s="35" t="s">
        <v>83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67</v>
      </c>
      <c r="C39" s="46" t="s">
        <v>28</v>
      </c>
      <c r="D39" s="35" t="s">
        <v>84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143</v>
      </c>
      <c r="C40" s="46" t="s">
        <v>144</v>
      </c>
      <c r="D40" s="35" t="s">
        <v>66</v>
      </c>
      <c r="E40" s="100"/>
      <c r="F40" s="37">
        <v>39</v>
      </c>
      <c r="G40" s="34">
        <v>314</v>
      </c>
      <c r="H40" s="101">
        <f t="shared" si="4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79</v>
      </c>
      <c r="C41" s="46" t="s">
        <v>85</v>
      </c>
      <c r="D41" s="35" t="s">
        <v>115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116</v>
      </c>
      <c r="C42" s="46" t="s">
        <v>85</v>
      </c>
      <c r="D42" s="35" t="s">
        <v>68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69</v>
      </c>
      <c r="C43" s="55" t="s">
        <v>32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  <c r="J43" s="24"/>
      <c r="L43" s="19"/>
      <c r="M43" s="20"/>
      <c r="N43" s="21"/>
    </row>
    <row r="44" spans="1:14" ht="15.75" customHeight="1">
      <c r="A44" s="196" t="s">
        <v>123</v>
      </c>
      <c r="B44" s="197"/>
      <c r="C44" s="197"/>
      <c r="D44" s="197"/>
      <c r="E44" s="197"/>
      <c r="F44" s="197"/>
      <c r="G44" s="197"/>
      <c r="H44" s="197"/>
      <c r="I44" s="198"/>
      <c r="J44" s="24"/>
      <c r="L44" s="19"/>
      <c r="M44" s="20"/>
      <c r="N44" s="21"/>
    </row>
    <row r="45" spans="1:14" ht="15.75" hidden="1" customHeight="1">
      <c r="A45" s="30"/>
      <c r="B45" s="35" t="s">
        <v>103</v>
      </c>
      <c r="C45" s="46" t="s">
        <v>85</v>
      </c>
      <c r="D45" s="35" t="s">
        <v>42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v>0</v>
      </c>
      <c r="J45" s="24"/>
      <c r="L45" s="19"/>
      <c r="M45" s="20"/>
      <c r="N45" s="21"/>
    </row>
    <row r="46" spans="1:14" ht="15.75" hidden="1" customHeight="1">
      <c r="A46" s="30"/>
      <c r="B46" s="35" t="s">
        <v>35</v>
      </c>
      <c r="C46" s="46" t="s">
        <v>85</v>
      </c>
      <c r="D46" s="35" t="s">
        <v>42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v>0</v>
      </c>
      <c r="J46" s="24"/>
      <c r="L46" s="19"/>
      <c r="M46" s="20"/>
      <c r="N46" s="21"/>
    </row>
    <row r="47" spans="1:14" ht="15.75" hidden="1" customHeight="1">
      <c r="A47" s="30"/>
      <c r="B47" s="35" t="s">
        <v>36</v>
      </c>
      <c r="C47" s="46" t="s">
        <v>85</v>
      </c>
      <c r="D47" s="35" t="s">
        <v>42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v>0</v>
      </c>
      <c r="J47" s="24"/>
      <c r="L47" s="19"/>
      <c r="M47" s="20"/>
      <c r="N47" s="21"/>
    </row>
    <row r="48" spans="1:14" ht="15.75" hidden="1" customHeight="1">
      <c r="A48" s="30"/>
      <c r="B48" s="35" t="s">
        <v>37</v>
      </c>
      <c r="C48" s="46" t="s">
        <v>85</v>
      </c>
      <c r="D48" s="35" t="s">
        <v>42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v>0</v>
      </c>
      <c r="J48" s="24"/>
      <c r="L48" s="19"/>
      <c r="M48" s="20"/>
      <c r="N48" s="21"/>
    </row>
    <row r="49" spans="1:22" ht="15.75" hidden="1" customHeight="1">
      <c r="A49" s="30"/>
      <c r="B49" s="35" t="s">
        <v>33</v>
      </c>
      <c r="C49" s="46" t="s">
        <v>34</v>
      </c>
      <c r="D49" s="35" t="s">
        <v>42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v>0</v>
      </c>
      <c r="J49" s="24"/>
      <c r="L49" s="19"/>
      <c r="M49" s="20"/>
      <c r="N49" s="21"/>
    </row>
    <row r="50" spans="1:22" ht="15.75" hidden="1" customHeight="1">
      <c r="A50" s="30">
        <v>11</v>
      </c>
      <c r="B50" s="35" t="s">
        <v>56</v>
      </c>
      <c r="C50" s="46" t="s">
        <v>85</v>
      </c>
      <c r="D50" s="35" t="s">
        <v>129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1.5" hidden="1" customHeight="1">
      <c r="A51" s="30"/>
      <c r="B51" s="35" t="s">
        <v>86</v>
      </c>
      <c r="C51" s="46" t="s">
        <v>85</v>
      </c>
      <c r="D51" s="35" t="s">
        <v>42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v>0</v>
      </c>
      <c r="J51" s="24"/>
      <c r="L51" s="19"/>
      <c r="M51" s="20"/>
      <c r="N51" s="21"/>
    </row>
    <row r="52" spans="1:22" ht="31.5" hidden="1" customHeight="1">
      <c r="A52" s="30"/>
      <c r="B52" s="35" t="s">
        <v>87</v>
      </c>
      <c r="C52" s="46" t="s">
        <v>38</v>
      </c>
      <c r="D52" s="35" t="s">
        <v>42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v>0</v>
      </c>
      <c r="J52" s="24"/>
      <c r="L52" s="19"/>
      <c r="M52" s="20"/>
      <c r="N52" s="21"/>
    </row>
    <row r="53" spans="1:22" ht="15.75" hidden="1" customHeight="1">
      <c r="A53" s="30"/>
      <c r="B53" s="35" t="s">
        <v>39</v>
      </c>
      <c r="C53" s="46" t="s">
        <v>40</v>
      </c>
      <c r="D53" s="35" t="s">
        <v>42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v>0</v>
      </c>
      <c r="J53" s="24"/>
      <c r="L53" s="19"/>
      <c r="M53" s="20"/>
      <c r="N53" s="21"/>
    </row>
    <row r="54" spans="1:22" ht="15.75" customHeight="1">
      <c r="A54" s="109">
        <v>9</v>
      </c>
      <c r="B54" s="105" t="s">
        <v>41</v>
      </c>
      <c r="C54" s="106" t="s">
        <v>104</v>
      </c>
      <c r="D54" s="167">
        <v>43704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89" t="s">
        <v>122</v>
      </c>
      <c r="B55" s="189"/>
      <c r="C55" s="189"/>
      <c r="D55" s="189"/>
      <c r="E55" s="189"/>
      <c r="F55" s="189"/>
      <c r="G55" s="189"/>
      <c r="H55" s="189"/>
      <c r="I55" s="189"/>
      <c r="J55" s="24"/>
      <c r="L55" s="19"/>
      <c r="M55" s="20"/>
      <c r="N55" s="21"/>
    </row>
    <row r="56" spans="1:22" ht="15.75" hidden="1" customHeight="1">
      <c r="A56" s="30"/>
      <c r="B56" s="69" t="s">
        <v>43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105</v>
      </c>
      <c r="C57" s="42" t="s">
        <v>82</v>
      </c>
      <c r="D57" s="41" t="s">
        <v>106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145</v>
      </c>
      <c r="C58" s="42" t="s">
        <v>146</v>
      </c>
      <c r="D58" s="41" t="s">
        <v>66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44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117</v>
      </c>
      <c r="C60" s="42" t="s">
        <v>82</v>
      </c>
      <c r="D60" s="41" t="s">
        <v>53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10</v>
      </c>
      <c r="B61" s="41" t="s">
        <v>147</v>
      </c>
      <c r="C61" s="42" t="s">
        <v>148</v>
      </c>
      <c r="D61" s="41" t="s">
        <v>185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4.25" hidden="1" customHeight="1">
      <c r="A62" s="113"/>
      <c r="B62" s="114" t="s">
        <v>45</v>
      </c>
      <c r="C62" s="115"/>
      <c r="D62" s="116"/>
      <c r="E62" s="86"/>
      <c r="F62" s="117"/>
      <c r="G62" s="117"/>
      <c r="H62" s="118" t="s">
        <v>113</v>
      </c>
      <c r="I62" s="119"/>
    </row>
    <row r="63" spans="1:22" ht="23.25" hidden="1" customHeight="1">
      <c r="A63" s="30">
        <v>12</v>
      </c>
      <c r="B63" s="58" t="s">
        <v>46</v>
      </c>
      <c r="C63" s="42" t="s">
        <v>104</v>
      </c>
      <c r="D63" s="41" t="s">
        <v>66</v>
      </c>
      <c r="E63" s="17">
        <v>5</v>
      </c>
      <c r="F63" s="34">
        <f>E63</f>
        <v>5</v>
      </c>
      <c r="G63" s="39">
        <v>291.68</v>
      </c>
      <c r="H63" s="79">
        <f t="shared" ref="H63:H70" si="7">SUM(F63*G63/1000)</f>
        <v>1.4584000000000001</v>
      </c>
      <c r="I63" s="13">
        <f>G63</f>
        <v>291.68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9.5" hidden="1" customHeight="1">
      <c r="A64" s="30"/>
      <c r="B64" s="58" t="s">
        <v>47</v>
      </c>
      <c r="C64" s="42" t="s">
        <v>104</v>
      </c>
      <c r="D64" s="41" t="s">
        <v>66</v>
      </c>
      <c r="E64" s="17">
        <v>5</v>
      </c>
      <c r="F64" s="34">
        <f>E64</f>
        <v>5</v>
      </c>
      <c r="G64" s="39">
        <v>100.01</v>
      </c>
      <c r="H64" s="79">
        <f t="shared" si="7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2.5" hidden="1" customHeight="1">
      <c r="A65" s="30"/>
      <c r="B65" s="58" t="s">
        <v>48</v>
      </c>
      <c r="C65" s="44" t="s">
        <v>107</v>
      </c>
      <c r="D65" s="41" t="s">
        <v>53</v>
      </c>
      <c r="E65" s="100">
        <v>10348</v>
      </c>
      <c r="F65" s="40">
        <f>SUM(E65/100)</f>
        <v>103.48</v>
      </c>
      <c r="G65" s="39">
        <v>278.24</v>
      </c>
      <c r="H65" s="79">
        <f t="shared" si="7"/>
        <v>28.792275200000002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22.5" hidden="1" customHeight="1">
      <c r="A66" s="30"/>
      <c r="B66" s="58" t="s">
        <v>49</v>
      </c>
      <c r="C66" s="42" t="s">
        <v>108</v>
      </c>
      <c r="D66" s="41" t="s">
        <v>53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7"/>
        <v>2.2422046400000002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77"/>
      <c r="S66" s="177"/>
      <c r="T66" s="177"/>
      <c r="U66" s="177"/>
    </row>
    <row r="67" spans="1:21" ht="21.75" hidden="1" customHeight="1">
      <c r="A67" s="30"/>
      <c r="B67" s="58" t="s">
        <v>50</v>
      </c>
      <c r="C67" s="42" t="s">
        <v>75</v>
      </c>
      <c r="D67" s="41" t="s">
        <v>53</v>
      </c>
      <c r="E67" s="100">
        <v>1645</v>
      </c>
      <c r="F67" s="39">
        <f>SUM(E67/100)</f>
        <v>16.45</v>
      </c>
      <c r="G67" s="39">
        <v>2720.94</v>
      </c>
      <c r="H67" s="79">
        <f t="shared" si="7"/>
        <v>44.759462999999997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20.25" hidden="1" customHeight="1">
      <c r="A68" s="30"/>
      <c r="B68" s="53" t="s">
        <v>109</v>
      </c>
      <c r="C68" s="42" t="s">
        <v>32</v>
      </c>
      <c r="D68" s="41"/>
      <c r="E68" s="100">
        <v>9</v>
      </c>
      <c r="F68" s="39">
        <f>E68</f>
        <v>9</v>
      </c>
      <c r="G68" s="39">
        <v>42.61</v>
      </c>
      <c r="H68" s="79">
        <f t="shared" si="7"/>
        <v>0.38349</v>
      </c>
      <c r="I68" s="13">
        <v>0</v>
      </c>
    </row>
    <row r="69" spans="1:21" ht="18" hidden="1" customHeight="1">
      <c r="A69" s="30"/>
      <c r="B69" s="53" t="s">
        <v>110</v>
      </c>
      <c r="C69" s="42" t="s">
        <v>32</v>
      </c>
      <c r="D69" s="41"/>
      <c r="E69" s="100">
        <v>9</v>
      </c>
      <c r="F69" s="39">
        <f t="shared" ref="F69:F70" si="8">E69</f>
        <v>9</v>
      </c>
      <c r="G69" s="39">
        <v>46.04</v>
      </c>
      <c r="H69" s="79">
        <f t="shared" si="7"/>
        <v>0.41436000000000001</v>
      </c>
      <c r="I69" s="13">
        <v>0</v>
      </c>
    </row>
    <row r="70" spans="1:21" ht="18" hidden="1" customHeight="1">
      <c r="A70" s="30"/>
      <c r="B70" s="41" t="s">
        <v>57</v>
      </c>
      <c r="C70" s="42" t="s">
        <v>58</v>
      </c>
      <c r="D70" s="41" t="s">
        <v>53</v>
      </c>
      <c r="E70" s="17">
        <v>2</v>
      </c>
      <c r="F70" s="39">
        <f t="shared" si="8"/>
        <v>2</v>
      </c>
      <c r="G70" s="39">
        <v>65.42</v>
      </c>
      <c r="H70" s="79">
        <f t="shared" si="7"/>
        <v>0.13084000000000001</v>
      </c>
      <c r="I70" s="13">
        <v>0</v>
      </c>
    </row>
    <row r="71" spans="1:21" ht="15.75" customHeight="1">
      <c r="A71" s="30"/>
      <c r="B71" s="69" t="s">
        <v>71</v>
      </c>
      <c r="C71" s="16"/>
      <c r="D71" s="14"/>
      <c r="E71" s="18"/>
      <c r="F71" s="13"/>
      <c r="G71" s="13"/>
      <c r="H71" s="80" t="s">
        <v>113</v>
      </c>
      <c r="I71" s="13"/>
    </row>
    <row r="72" spans="1:21" ht="15.75" hidden="1" customHeight="1">
      <c r="A72" s="30"/>
      <c r="B72" s="14" t="s">
        <v>150</v>
      </c>
      <c r="C72" s="16" t="s">
        <v>151</v>
      </c>
      <c r="D72" s="41" t="s">
        <v>66</v>
      </c>
      <c r="E72" s="18">
        <v>1</v>
      </c>
      <c r="F72" s="13">
        <f>E72</f>
        <v>1</v>
      </c>
      <c r="G72" s="13">
        <v>1029.1199999999999</v>
      </c>
      <c r="H72" s="80">
        <f t="shared" ref="H72:H73" si="9">SUM(F72*G72/1000)</f>
        <v>1.0291199999999998</v>
      </c>
      <c r="I72" s="13">
        <v>0</v>
      </c>
    </row>
    <row r="73" spans="1:21" ht="15.75" hidden="1" customHeight="1">
      <c r="A73" s="30"/>
      <c r="B73" s="14" t="s">
        <v>152</v>
      </c>
      <c r="C73" s="16" t="s">
        <v>153</v>
      </c>
      <c r="D73" s="120"/>
      <c r="E73" s="18">
        <v>1</v>
      </c>
      <c r="F73" s="13">
        <v>1</v>
      </c>
      <c r="G73" s="13">
        <v>735</v>
      </c>
      <c r="H73" s="80">
        <f t="shared" si="9"/>
        <v>0.73499999999999999</v>
      </c>
      <c r="I73" s="13">
        <v>0</v>
      </c>
    </row>
    <row r="74" spans="1:21" ht="15.75" hidden="1" customHeight="1">
      <c r="A74" s="30"/>
      <c r="B74" s="14" t="s">
        <v>72</v>
      </c>
      <c r="C74" s="16" t="s">
        <v>73</v>
      </c>
      <c r="D74" s="41" t="s">
        <v>66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154</v>
      </c>
      <c r="C75" s="16" t="s">
        <v>104</v>
      </c>
      <c r="D75" s="41" t="s">
        <v>66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155</v>
      </c>
      <c r="C76" s="57" t="s">
        <v>104</v>
      </c>
      <c r="D76" s="41" t="s">
        <v>66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1.5" customHeight="1">
      <c r="A77" s="30">
        <v>11</v>
      </c>
      <c r="B77" s="56" t="s">
        <v>156</v>
      </c>
      <c r="C77" s="57" t="s">
        <v>104</v>
      </c>
      <c r="D77" s="14" t="s">
        <v>185</v>
      </c>
      <c r="E77" s="18">
        <v>2</v>
      </c>
      <c r="F77" s="84">
        <f>E77*12</f>
        <v>24</v>
      </c>
      <c r="G77" s="13">
        <v>53.42</v>
      </c>
      <c r="H77" s="80">
        <f t="shared" ref="H77:H78" si="10">SUM(F77*G77/1000)</f>
        <v>1.2820799999999999</v>
      </c>
      <c r="I77" s="13">
        <f>G77*2</f>
        <v>106.84</v>
      </c>
    </row>
    <row r="78" spans="1:21" ht="31.5" customHeight="1">
      <c r="A78" s="30">
        <v>12</v>
      </c>
      <c r="B78" s="56" t="s">
        <v>157</v>
      </c>
      <c r="C78" s="57" t="s">
        <v>104</v>
      </c>
      <c r="D78" s="14" t="s">
        <v>202</v>
      </c>
      <c r="E78" s="18">
        <v>1</v>
      </c>
      <c r="F78" s="84">
        <f>E78*12</f>
        <v>12</v>
      </c>
      <c r="G78" s="13">
        <v>1194</v>
      </c>
      <c r="H78" s="80">
        <f t="shared" si="10"/>
        <v>14.327999999999999</v>
      </c>
      <c r="I78" s="13">
        <f>G78</f>
        <v>1194</v>
      </c>
    </row>
    <row r="79" spans="1:21" ht="15.75" hidden="1" customHeight="1">
      <c r="A79" s="30"/>
      <c r="B79" s="90" t="s">
        <v>74</v>
      </c>
      <c r="C79" s="16"/>
      <c r="D79" s="14"/>
      <c r="E79" s="18"/>
      <c r="F79" s="13"/>
      <c r="G79" s="13" t="s">
        <v>113</v>
      </c>
      <c r="H79" s="80" t="s">
        <v>113</v>
      </c>
      <c r="I79" s="13"/>
    </row>
    <row r="80" spans="1:21" ht="15.75" hidden="1" customHeight="1">
      <c r="A80" s="30"/>
      <c r="B80" s="43" t="s">
        <v>114</v>
      </c>
      <c r="C80" s="44" t="s">
        <v>75</v>
      </c>
      <c r="D80" s="58"/>
      <c r="E80" s="121"/>
      <c r="F80" s="40">
        <v>0.6</v>
      </c>
      <c r="G80" s="40">
        <v>3619.09</v>
      </c>
      <c r="H80" s="79">
        <f t="shared" ref="H80" si="11">SUM(F80*G80/1000)</f>
        <v>2.1714540000000002</v>
      </c>
      <c r="I80" s="13">
        <v>0</v>
      </c>
    </row>
    <row r="81" spans="1:9" ht="15.75" hidden="1" customHeight="1">
      <c r="A81" s="30"/>
      <c r="B81" s="93" t="s">
        <v>88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111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89" t="s">
        <v>121</v>
      </c>
      <c r="B83" s="189"/>
      <c r="C83" s="189"/>
      <c r="D83" s="189"/>
      <c r="E83" s="189"/>
      <c r="F83" s="189"/>
      <c r="G83" s="189"/>
      <c r="H83" s="189"/>
      <c r="I83" s="189"/>
    </row>
    <row r="84" spans="1:9" ht="15.75" customHeight="1">
      <c r="A84" s="30">
        <v>13</v>
      </c>
      <c r="B84" s="41" t="s">
        <v>112</v>
      </c>
      <c r="C84" s="42" t="s">
        <v>54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14</v>
      </c>
      <c r="B85" s="14" t="s">
        <v>76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78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I85+I84+I78+I77+I61+I54+I33+I31+I30+I27+I20+I18+I17+I16</f>
        <v>31961.652895666666</v>
      </c>
    </row>
    <row r="87" spans="1:9" ht="15.75" customHeight="1">
      <c r="A87" s="178" t="s">
        <v>60</v>
      </c>
      <c r="B87" s="179"/>
      <c r="C87" s="179"/>
      <c r="D87" s="179"/>
      <c r="E87" s="179"/>
      <c r="F87" s="179"/>
      <c r="G87" s="179"/>
      <c r="H87" s="179"/>
      <c r="I87" s="180"/>
    </row>
    <row r="88" spans="1:9" ht="15.75" customHeight="1">
      <c r="A88" s="30">
        <v>15</v>
      </c>
      <c r="B88" s="134" t="s">
        <v>227</v>
      </c>
      <c r="C88" s="168" t="s">
        <v>228</v>
      </c>
      <c r="D88" s="60"/>
      <c r="E88" s="39"/>
      <c r="F88" s="39">
        <v>120</v>
      </c>
      <c r="G88" s="39">
        <v>2828.45</v>
      </c>
      <c r="H88" s="79">
        <f>G88*F88/1000</f>
        <v>339.41399999999999</v>
      </c>
      <c r="I88" s="13">
        <f>G88*0.125</f>
        <v>353.55624999999998</v>
      </c>
    </row>
    <row r="89" spans="1:9" ht="30.75" customHeight="1">
      <c r="A89" s="30">
        <v>16</v>
      </c>
      <c r="B89" s="134" t="s">
        <v>229</v>
      </c>
      <c r="C89" s="61" t="s">
        <v>230</v>
      </c>
      <c r="D89" s="42" t="s">
        <v>236</v>
      </c>
      <c r="E89" s="39"/>
      <c r="F89" s="39"/>
      <c r="G89" s="39">
        <v>4742.7700000000004</v>
      </c>
      <c r="H89" s="79"/>
      <c r="I89" s="13">
        <f>G89*0.45</f>
        <v>2134.2465000000002</v>
      </c>
    </row>
    <row r="90" spans="1:9" ht="15.75" customHeight="1">
      <c r="A90" s="30">
        <v>17</v>
      </c>
      <c r="B90" s="134" t="s">
        <v>231</v>
      </c>
      <c r="C90" s="61" t="s">
        <v>104</v>
      </c>
      <c r="D90" s="42" t="s">
        <v>237</v>
      </c>
      <c r="E90" s="39"/>
      <c r="F90" s="39"/>
      <c r="G90" s="39">
        <v>330</v>
      </c>
      <c r="H90" s="79"/>
      <c r="I90" s="13">
        <f>G90*3</f>
        <v>990</v>
      </c>
    </row>
    <row r="91" spans="1:9" ht="33" customHeight="1">
      <c r="A91" s="30">
        <v>18</v>
      </c>
      <c r="B91" s="160" t="s">
        <v>232</v>
      </c>
      <c r="C91" s="158" t="s">
        <v>233</v>
      </c>
      <c r="D91" s="60"/>
      <c r="E91" s="39"/>
      <c r="F91" s="39"/>
      <c r="G91" s="39">
        <v>2114.96</v>
      </c>
      <c r="H91" s="79"/>
      <c r="I91" s="13">
        <f>G91*1</f>
        <v>2114.96</v>
      </c>
    </row>
    <row r="92" spans="1:9" ht="18" customHeight="1">
      <c r="A92" s="30">
        <v>19</v>
      </c>
      <c r="B92" s="169" t="s">
        <v>234</v>
      </c>
      <c r="C92" s="61" t="s">
        <v>104</v>
      </c>
      <c r="D92" s="42" t="s">
        <v>235</v>
      </c>
      <c r="E92" s="39"/>
      <c r="F92" s="39"/>
      <c r="G92" s="39">
        <v>207.32</v>
      </c>
      <c r="H92" s="79"/>
      <c r="I92" s="13">
        <f>G92*1</f>
        <v>207.32</v>
      </c>
    </row>
    <row r="93" spans="1:9" ht="15.75" customHeight="1">
      <c r="A93" s="30"/>
      <c r="B93" s="50" t="s">
        <v>51</v>
      </c>
      <c r="C93" s="57"/>
      <c r="D93" s="52"/>
      <c r="E93" s="13"/>
      <c r="F93" s="13"/>
      <c r="G93" s="13"/>
      <c r="H93" s="80"/>
      <c r="I93" s="87">
        <f>SUM(I88:I92)</f>
        <v>5800.0827499999996</v>
      </c>
    </row>
    <row r="94" spans="1:9">
      <c r="A94" s="30"/>
      <c r="B94" s="52" t="s">
        <v>77</v>
      </c>
      <c r="C94" s="15"/>
      <c r="D94" s="15"/>
      <c r="E94" s="47"/>
      <c r="F94" s="47"/>
      <c r="G94" s="48"/>
      <c r="H94" s="48"/>
      <c r="I94" s="17">
        <v>0</v>
      </c>
    </row>
    <row r="95" spans="1:9">
      <c r="A95" s="54"/>
      <c r="B95" s="51" t="s">
        <v>139</v>
      </c>
      <c r="C95" s="38"/>
      <c r="D95" s="38"/>
      <c r="E95" s="38"/>
      <c r="F95" s="38"/>
      <c r="G95" s="38"/>
      <c r="H95" s="38"/>
      <c r="I95" s="49">
        <f>I86+I93</f>
        <v>37761.735645666668</v>
      </c>
    </row>
    <row r="96" spans="1:9">
      <c r="A96" s="199"/>
      <c r="B96" s="200"/>
      <c r="C96" s="200"/>
      <c r="D96" s="200"/>
      <c r="E96" s="200"/>
      <c r="F96" s="200"/>
      <c r="G96" s="200"/>
      <c r="H96" s="200"/>
      <c r="I96" s="200"/>
    </row>
    <row r="97" spans="1:9" ht="15.75" customHeight="1">
      <c r="A97" s="181" t="s">
        <v>238</v>
      </c>
      <c r="B97" s="181"/>
      <c r="C97" s="181"/>
      <c r="D97" s="181"/>
      <c r="E97" s="181"/>
      <c r="F97" s="181"/>
      <c r="G97" s="181"/>
      <c r="H97" s="181"/>
      <c r="I97" s="181"/>
    </row>
    <row r="98" spans="1:9" ht="15.75" customHeight="1">
      <c r="A98" s="68"/>
      <c r="B98" s="182" t="s">
        <v>239</v>
      </c>
      <c r="C98" s="182"/>
      <c r="D98" s="182"/>
      <c r="E98" s="182"/>
      <c r="F98" s="182"/>
      <c r="G98" s="182"/>
      <c r="H98" s="78"/>
      <c r="I98" s="3"/>
    </row>
    <row r="99" spans="1:9">
      <c r="A99" s="74"/>
      <c r="B99" s="183" t="s">
        <v>6</v>
      </c>
      <c r="C99" s="183"/>
      <c r="D99" s="183"/>
      <c r="E99" s="183"/>
      <c r="F99" s="183"/>
      <c r="G99" s="183"/>
      <c r="H99" s="25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84" t="s">
        <v>7</v>
      </c>
      <c r="B101" s="184"/>
      <c r="C101" s="184"/>
      <c r="D101" s="184"/>
      <c r="E101" s="184"/>
      <c r="F101" s="184"/>
      <c r="G101" s="184"/>
      <c r="H101" s="184"/>
      <c r="I101" s="184"/>
    </row>
    <row r="102" spans="1:9" ht="15.75" customHeight="1">
      <c r="A102" s="184" t="s">
        <v>8</v>
      </c>
      <c r="B102" s="184"/>
      <c r="C102" s="184"/>
      <c r="D102" s="184"/>
      <c r="E102" s="184"/>
      <c r="F102" s="184"/>
      <c r="G102" s="184"/>
      <c r="H102" s="184"/>
      <c r="I102" s="184"/>
    </row>
    <row r="103" spans="1:9" ht="15.75">
      <c r="A103" s="185" t="s">
        <v>61</v>
      </c>
      <c r="B103" s="185"/>
      <c r="C103" s="185"/>
      <c r="D103" s="185"/>
      <c r="E103" s="185"/>
      <c r="F103" s="185"/>
      <c r="G103" s="185"/>
      <c r="H103" s="185"/>
      <c r="I103" s="185"/>
    </row>
    <row r="104" spans="1:9" ht="15.75">
      <c r="A104" s="11"/>
    </row>
    <row r="105" spans="1:9" ht="15.75" customHeight="1">
      <c r="A105" s="186" t="s">
        <v>9</v>
      </c>
      <c r="B105" s="186"/>
      <c r="C105" s="186"/>
      <c r="D105" s="186"/>
      <c r="E105" s="186"/>
      <c r="F105" s="186"/>
      <c r="G105" s="186"/>
      <c r="H105" s="186"/>
      <c r="I105" s="186"/>
    </row>
    <row r="106" spans="1:9" ht="15.75" customHeight="1">
      <c r="A106" s="4"/>
    </row>
    <row r="107" spans="1:9" ht="15.75" customHeight="1">
      <c r="B107" s="71" t="s">
        <v>10</v>
      </c>
      <c r="C107" s="187" t="s">
        <v>124</v>
      </c>
      <c r="D107" s="187"/>
      <c r="E107" s="187"/>
      <c r="F107" s="76"/>
      <c r="I107" s="73"/>
    </row>
    <row r="108" spans="1:9" ht="15.75" customHeight="1">
      <c r="A108" s="74"/>
      <c r="C108" s="183" t="s">
        <v>11</v>
      </c>
      <c r="D108" s="183"/>
      <c r="E108" s="183"/>
      <c r="F108" s="25"/>
      <c r="I108" s="72" t="s">
        <v>12</v>
      </c>
    </row>
    <row r="109" spans="1:9" ht="15.75" customHeight="1">
      <c r="A109" s="26"/>
      <c r="C109" s="12"/>
      <c r="D109" s="12"/>
      <c r="G109" s="12"/>
      <c r="H109" s="12"/>
    </row>
    <row r="110" spans="1:9" ht="15.75" customHeight="1">
      <c r="B110" s="71" t="s">
        <v>13</v>
      </c>
      <c r="C110" s="188"/>
      <c r="D110" s="188"/>
      <c r="E110" s="188"/>
      <c r="F110" s="77"/>
      <c r="I110" s="73"/>
    </row>
    <row r="111" spans="1:9">
      <c r="A111" s="74"/>
      <c r="C111" s="177" t="s">
        <v>11</v>
      </c>
      <c r="D111" s="177"/>
      <c r="E111" s="177"/>
      <c r="F111" s="74"/>
      <c r="I111" s="72" t="s">
        <v>12</v>
      </c>
    </row>
    <row r="112" spans="1:9" ht="15.75">
      <c r="A112" s="4" t="s">
        <v>14</v>
      </c>
    </row>
    <row r="113" spans="1:9">
      <c r="A113" s="175" t="s">
        <v>15</v>
      </c>
      <c r="B113" s="175"/>
      <c r="C113" s="175"/>
      <c r="D113" s="175"/>
      <c r="E113" s="175"/>
      <c r="F113" s="175"/>
      <c r="G113" s="175"/>
      <c r="H113" s="175"/>
      <c r="I113" s="175"/>
    </row>
    <row r="114" spans="1:9" ht="45" customHeight="1">
      <c r="A114" s="176" t="s">
        <v>16</v>
      </c>
      <c r="B114" s="176"/>
      <c r="C114" s="176"/>
      <c r="D114" s="176"/>
      <c r="E114" s="176"/>
      <c r="F114" s="176"/>
      <c r="G114" s="176"/>
      <c r="H114" s="176"/>
      <c r="I114" s="176"/>
    </row>
    <row r="115" spans="1:9" ht="30" customHeight="1">
      <c r="A115" s="176" t="s">
        <v>17</v>
      </c>
      <c r="B115" s="176"/>
      <c r="C115" s="176"/>
      <c r="D115" s="176"/>
      <c r="E115" s="176"/>
      <c r="F115" s="176"/>
      <c r="G115" s="176"/>
      <c r="H115" s="176"/>
      <c r="I115" s="176"/>
    </row>
    <row r="116" spans="1:9" ht="30" customHeight="1">
      <c r="A116" s="176" t="s">
        <v>21</v>
      </c>
      <c r="B116" s="176"/>
      <c r="C116" s="176"/>
      <c r="D116" s="176"/>
      <c r="E116" s="176"/>
      <c r="F116" s="176"/>
      <c r="G116" s="176"/>
      <c r="H116" s="176"/>
      <c r="I116" s="176"/>
    </row>
    <row r="117" spans="1:9" ht="15" customHeight="1">
      <c r="A117" s="176" t="s">
        <v>20</v>
      </c>
      <c r="B117" s="176"/>
      <c r="C117" s="176"/>
      <c r="D117" s="176"/>
      <c r="E117" s="176"/>
      <c r="F117" s="176"/>
      <c r="G117" s="176"/>
      <c r="H117" s="176"/>
      <c r="I117" s="176"/>
    </row>
  </sheetData>
  <autoFilter ref="I12:I60"/>
  <mergeCells count="30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66:U66"/>
    <mergeCell ref="C111:E111"/>
    <mergeCell ref="A87:I87"/>
    <mergeCell ref="A97:I97"/>
    <mergeCell ref="B98:G98"/>
    <mergeCell ref="B99:G99"/>
    <mergeCell ref="A101:I101"/>
    <mergeCell ref="A102:I102"/>
    <mergeCell ref="A103:I103"/>
    <mergeCell ref="A105:I105"/>
    <mergeCell ref="C107:E107"/>
    <mergeCell ref="C108:E108"/>
    <mergeCell ref="C110:E110"/>
    <mergeCell ref="A83:I83"/>
    <mergeCell ref="A96:I96"/>
    <mergeCell ref="A113:I113"/>
    <mergeCell ref="A114:I114"/>
    <mergeCell ref="A115:I115"/>
    <mergeCell ref="A116:I116"/>
    <mergeCell ref="A117:I117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I95" sqref="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8" t="s">
        <v>167</v>
      </c>
      <c r="I1" s="27"/>
      <c r="J1" s="1"/>
      <c r="K1" s="1"/>
      <c r="L1" s="1"/>
      <c r="M1" s="1"/>
    </row>
    <row r="2" spans="1:13" ht="15.75">
      <c r="A2" s="29" t="s">
        <v>62</v>
      </c>
      <c r="J2" s="2"/>
      <c r="K2" s="2"/>
      <c r="L2" s="2"/>
      <c r="M2" s="2"/>
    </row>
    <row r="3" spans="1:13" ht="15.75" customHeight="1">
      <c r="A3" s="190" t="s">
        <v>135</v>
      </c>
      <c r="B3" s="190"/>
      <c r="C3" s="190"/>
      <c r="D3" s="190"/>
      <c r="E3" s="190"/>
      <c r="F3" s="190"/>
      <c r="G3" s="190"/>
      <c r="H3" s="190"/>
      <c r="I3" s="190"/>
      <c r="J3" s="3"/>
      <c r="K3" s="3"/>
      <c r="L3" s="3"/>
    </row>
    <row r="4" spans="1:13" ht="31.5" customHeight="1">
      <c r="A4" s="191" t="s">
        <v>120</v>
      </c>
      <c r="B4" s="191"/>
      <c r="C4" s="191"/>
      <c r="D4" s="191"/>
      <c r="E4" s="191"/>
      <c r="F4" s="191"/>
      <c r="G4" s="191"/>
      <c r="H4" s="191"/>
      <c r="I4" s="191"/>
    </row>
    <row r="5" spans="1:13" ht="15.75">
      <c r="A5" s="190" t="s">
        <v>240</v>
      </c>
      <c r="B5" s="192"/>
      <c r="C5" s="192"/>
      <c r="D5" s="192"/>
      <c r="E5" s="192"/>
      <c r="F5" s="192"/>
      <c r="G5" s="192"/>
      <c r="H5" s="192"/>
      <c r="I5" s="192"/>
      <c r="J5" s="2"/>
      <c r="K5" s="2"/>
      <c r="L5" s="2"/>
      <c r="M5" s="2"/>
    </row>
    <row r="6" spans="1:13" ht="15.75">
      <c r="A6" s="2"/>
      <c r="B6" s="70"/>
      <c r="C6" s="70"/>
      <c r="D6" s="70"/>
      <c r="E6" s="70"/>
      <c r="F6" s="70"/>
      <c r="G6" s="70"/>
      <c r="H6" s="70"/>
      <c r="I6" s="31">
        <v>43738</v>
      </c>
      <c r="J6" s="2"/>
      <c r="K6" s="2"/>
      <c r="L6" s="2"/>
      <c r="M6" s="2"/>
    </row>
    <row r="7" spans="1:13" ht="15.75">
      <c r="B7" s="71"/>
      <c r="C7" s="71"/>
      <c r="D7" s="71"/>
      <c r="E7" s="3"/>
      <c r="F7" s="3"/>
      <c r="G7" s="3"/>
      <c r="H7" s="3"/>
      <c r="J7" s="3"/>
      <c r="K7" s="3"/>
      <c r="L7" s="3"/>
      <c r="M7" s="3"/>
    </row>
    <row r="8" spans="1:13" ht="87" customHeight="1">
      <c r="A8" s="193" t="s">
        <v>169</v>
      </c>
      <c r="B8" s="193"/>
      <c r="C8" s="193"/>
      <c r="D8" s="193"/>
      <c r="E8" s="193"/>
      <c r="F8" s="193"/>
      <c r="G8" s="193"/>
      <c r="H8" s="193"/>
      <c r="I8" s="19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55.5" customHeight="1">
      <c r="A10" s="194" t="s">
        <v>137</v>
      </c>
      <c r="B10" s="194"/>
      <c r="C10" s="194"/>
      <c r="D10" s="194"/>
      <c r="E10" s="194"/>
      <c r="F10" s="194"/>
      <c r="G10" s="194"/>
      <c r="H10" s="194"/>
      <c r="I10" s="194"/>
      <c r="J10" s="2"/>
      <c r="K10" s="2"/>
      <c r="L10" s="2"/>
      <c r="M10" s="2"/>
    </row>
    <row r="11" spans="1:13" ht="15.75">
      <c r="A11" s="4"/>
    </row>
    <row r="12" spans="1:13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95" t="s">
        <v>59</v>
      </c>
      <c r="B14" s="195"/>
      <c r="C14" s="195"/>
      <c r="D14" s="195"/>
      <c r="E14" s="195"/>
      <c r="F14" s="195"/>
      <c r="G14" s="195"/>
      <c r="H14" s="195"/>
      <c r="I14" s="195"/>
      <c r="J14" s="8"/>
      <c r="K14" s="8"/>
      <c r="L14" s="8"/>
      <c r="M14" s="8"/>
    </row>
    <row r="15" spans="1:13" ht="15" customHeight="1">
      <c r="A15" s="189" t="s">
        <v>4</v>
      </c>
      <c r="B15" s="189"/>
      <c r="C15" s="189"/>
      <c r="D15" s="189"/>
      <c r="E15" s="189"/>
      <c r="F15" s="189"/>
      <c r="G15" s="189"/>
      <c r="H15" s="189"/>
      <c r="I15" s="189"/>
      <c r="J15" s="8"/>
      <c r="K15" s="8"/>
      <c r="L15" s="8"/>
      <c r="M15" s="8"/>
    </row>
    <row r="16" spans="1:13" ht="15.75" customHeight="1">
      <c r="A16" s="30">
        <v>1</v>
      </c>
      <c r="B16" s="35" t="s">
        <v>81</v>
      </c>
      <c r="C16" s="46" t="s">
        <v>82</v>
      </c>
      <c r="D16" s="35" t="s">
        <v>199</v>
      </c>
      <c r="E16" s="100">
        <v>37.78</v>
      </c>
      <c r="F16" s="34">
        <f>SUM(E16*156/100)</f>
        <v>58.936800000000005</v>
      </c>
      <c r="G16" s="34">
        <v>230</v>
      </c>
      <c r="H16" s="101">
        <f t="shared" ref="H16:H27" si="0">SUM(F16*G16/1000)</f>
        <v>13.555464000000002</v>
      </c>
      <c r="I16" s="13">
        <f>F16/12*G16</f>
        <v>1129.6220000000001</v>
      </c>
      <c r="J16" s="22"/>
      <c r="K16" s="8"/>
      <c r="L16" s="8"/>
      <c r="M16" s="8"/>
    </row>
    <row r="17" spans="1:13" ht="15.75" customHeight="1">
      <c r="A17" s="30">
        <v>2</v>
      </c>
      <c r="B17" s="35" t="s">
        <v>126</v>
      </c>
      <c r="C17" s="46" t="s">
        <v>82</v>
      </c>
      <c r="D17" s="35" t="s">
        <v>200</v>
      </c>
      <c r="E17" s="100">
        <v>151.12</v>
      </c>
      <c r="F17" s="34">
        <f>SUM(E17*104/100)</f>
        <v>157.16479999999999</v>
      </c>
      <c r="G17" s="34">
        <v>230</v>
      </c>
      <c r="H17" s="101">
        <f t="shared" si="0"/>
        <v>36.147903999999997</v>
      </c>
      <c r="I17" s="13">
        <f>F17/12*G17</f>
        <v>3012.3253333333328</v>
      </c>
      <c r="J17" s="23"/>
      <c r="K17" s="8"/>
      <c r="L17" s="8"/>
      <c r="M17" s="8"/>
    </row>
    <row r="18" spans="1:13" ht="15.75" customHeight="1">
      <c r="A18" s="30">
        <v>3</v>
      </c>
      <c r="B18" s="35" t="s">
        <v>127</v>
      </c>
      <c r="C18" s="46" t="s">
        <v>82</v>
      </c>
      <c r="D18" s="35" t="s">
        <v>201</v>
      </c>
      <c r="E18" s="100">
        <v>188.9</v>
      </c>
      <c r="F18" s="34">
        <f>SUM(E18*24/100)</f>
        <v>45.336000000000006</v>
      </c>
      <c r="G18" s="34">
        <v>661.67</v>
      </c>
      <c r="H18" s="101">
        <f t="shared" si="0"/>
        <v>29.997471120000004</v>
      </c>
      <c r="I18" s="13">
        <f>F18/12*G18</f>
        <v>2499.78926</v>
      </c>
      <c r="J18" s="23"/>
      <c r="K18" s="8"/>
      <c r="L18" s="8"/>
      <c r="M18" s="8"/>
    </row>
    <row r="19" spans="1:13" ht="15.75" hidden="1" customHeight="1">
      <c r="A19" s="30"/>
      <c r="B19" s="35" t="s">
        <v>89</v>
      </c>
      <c r="C19" s="46" t="s">
        <v>90</v>
      </c>
      <c r="D19" s="35" t="s">
        <v>91</v>
      </c>
      <c r="E19" s="100">
        <v>18</v>
      </c>
      <c r="F19" s="34">
        <f>SUM(E19/10)</f>
        <v>1.8</v>
      </c>
      <c r="G19" s="34">
        <v>223.17</v>
      </c>
      <c r="H19" s="101">
        <f t="shared" si="0"/>
        <v>0.40170599999999995</v>
      </c>
      <c r="I19" s="13">
        <v>0</v>
      </c>
      <c r="J19" s="23"/>
      <c r="K19" s="8"/>
      <c r="L19" s="8"/>
      <c r="M19" s="8"/>
    </row>
    <row r="20" spans="1:13" ht="15.75" customHeight="1">
      <c r="A20" s="30">
        <v>4</v>
      </c>
      <c r="B20" s="35" t="s">
        <v>92</v>
      </c>
      <c r="C20" s="46" t="s">
        <v>82</v>
      </c>
      <c r="D20" s="35" t="s">
        <v>202</v>
      </c>
      <c r="E20" s="100">
        <v>14.6</v>
      </c>
      <c r="F20" s="34">
        <f>SUM(E20*12/100)</f>
        <v>1.7519999999999998</v>
      </c>
      <c r="G20" s="34">
        <v>285.76</v>
      </c>
      <c r="H20" s="101">
        <f t="shared" si="0"/>
        <v>0.50065151999999991</v>
      </c>
      <c r="I20" s="13">
        <f>F20/12*G20</f>
        <v>41.720959999999998</v>
      </c>
      <c r="J20" s="23"/>
      <c r="K20" s="8"/>
      <c r="L20" s="8"/>
      <c r="M20" s="8"/>
    </row>
    <row r="21" spans="1:13" ht="15.75" customHeight="1">
      <c r="A21" s="30">
        <v>5</v>
      </c>
      <c r="B21" s="35" t="s">
        <v>93</v>
      </c>
      <c r="C21" s="46" t="s">
        <v>82</v>
      </c>
      <c r="D21" s="35" t="s">
        <v>42</v>
      </c>
      <c r="E21" s="100">
        <v>2.7</v>
      </c>
      <c r="F21" s="34">
        <f>SUM(E21*2/100)</f>
        <v>5.4000000000000006E-2</v>
      </c>
      <c r="G21" s="34">
        <v>283.44</v>
      </c>
      <c r="H21" s="101">
        <f t="shared" si="0"/>
        <v>1.5305760000000002E-2</v>
      </c>
      <c r="I21" s="13">
        <f>F21/2*G21</f>
        <v>7.6528800000000006</v>
      </c>
      <c r="J21" s="23"/>
      <c r="K21" s="8"/>
      <c r="L21" s="8"/>
      <c r="M21" s="8"/>
    </row>
    <row r="22" spans="1:13" ht="15.75" hidden="1" customHeight="1">
      <c r="A22" s="30"/>
      <c r="B22" s="35" t="s">
        <v>94</v>
      </c>
      <c r="C22" s="46" t="s">
        <v>52</v>
      </c>
      <c r="D22" s="35" t="s">
        <v>91</v>
      </c>
      <c r="E22" s="100">
        <v>259.2</v>
      </c>
      <c r="F22" s="34">
        <f>SUM(E22/100)</f>
        <v>2.5920000000000001</v>
      </c>
      <c r="G22" s="34">
        <v>353.14</v>
      </c>
      <c r="H22" s="101">
        <f t="shared" si="0"/>
        <v>0.91533887999999997</v>
      </c>
      <c r="I22" s="13">
        <v>0</v>
      </c>
      <c r="J22" s="23"/>
      <c r="K22" s="8"/>
      <c r="L22" s="8"/>
      <c r="M22" s="8"/>
    </row>
    <row r="23" spans="1:13" ht="15.75" hidden="1" customHeight="1">
      <c r="A23" s="30"/>
      <c r="B23" s="35" t="s">
        <v>95</v>
      </c>
      <c r="C23" s="46" t="s">
        <v>52</v>
      </c>
      <c r="D23" s="35" t="s">
        <v>91</v>
      </c>
      <c r="E23" s="102">
        <v>24.15</v>
      </c>
      <c r="F23" s="34">
        <f>SUM(E23/100)</f>
        <v>0.24149999999999999</v>
      </c>
      <c r="G23" s="34">
        <v>58.08</v>
      </c>
      <c r="H23" s="101">
        <f t="shared" si="0"/>
        <v>1.4026319999999998E-2</v>
      </c>
      <c r="I23" s="13">
        <v>0</v>
      </c>
      <c r="J23" s="23"/>
      <c r="K23" s="8"/>
      <c r="L23" s="8"/>
      <c r="M23" s="8"/>
    </row>
    <row r="24" spans="1:13" ht="15.75" hidden="1" customHeight="1">
      <c r="A24" s="30"/>
      <c r="B24" s="35" t="s">
        <v>96</v>
      </c>
      <c r="C24" s="46" t="s">
        <v>52</v>
      </c>
      <c r="D24" s="35" t="s">
        <v>97</v>
      </c>
      <c r="E24" s="100">
        <v>10</v>
      </c>
      <c r="F24" s="34">
        <f>E24/100</f>
        <v>0.1</v>
      </c>
      <c r="G24" s="34">
        <v>511.12</v>
      </c>
      <c r="H24" s="101">
        <f t="shared" si="0"/>
        <v>5.1112000000000005E-2</v>
      </c>
      <c r="I24" s="13">
        <v>0</v>
      </c>
      <c r="J24" s="23"/>
      <c r="K24" s="8"/>
      <c r="L24" s="8"/>
      <c r="M24" s="8"/>
    </row>
    <row r="25" spans="1:13" ht="31.5" hidden="1" customHeight="1">
      <c r="A25" s="30"/>
      <c r="B25" s="35" t="s">
        <v>98</v>
      </c>
      <c r="C25" s="46" t="s">
        <v>52</v>
      </c>
      <c r="D25" s="35" t="s">
        <v>53</v>
      </c>
      <c r="E25" s="100">
        <v>9.5</v>
      </c>
      <c r="F25" s="34">
        <f>E25/100</f>
        <v>9.5000000000000001E-2</v>
      </c>
      <c r="G25" s="34">
        <v>283.44</v>
      </c>
      <c r="H25" s="101">
        <f t="shared" si="0"/>
        <v>2.6926800000000001E-2</v>
      </c>
      <c r="I25" s="13">
        <v>0</v>
      </c>
      <c r="J25" s="23"/>
      <c r="K25" s="8"/>
      <c r="L25" s="8"/>
      <c r="M25" s="8"/>
    </row>
    <row r="26" spans="1:13" ht="15.75" hidden="1" customHeight="1">
      <c r="A26" s="30"/>
      <c r="B26" s="35" t="s">
        <v>99</v>
      </c>
      <c r="C26" s="46" t="s">
        <v>52</v>
      </c>
      <c r="D26" s="35" t="s">
        <v>91</v>
      </c>
      <c r="E26" s="100">
        <v>4.25</v>
      </c>
      <c r="F26" s="34">
        <f>SUM(E26/100)</f>
        <v>4.2500000000000003E-2</v>
      </c>
      <c r="G26" s="34">
        <v>683.05</v>
      </c>
      <c r="H26" s="101">
        <f t="shared" si="0"/>
        <v>2.9029625E-2</v>
      </c>
      <c r="I26" s="13">
        <v>0</v>
      </c>
      <c r="J26" s="23"/>
      <c r="K26" s="8"/>
      <c r="L26" s="8"/>
      <c r="M26" s="8"/>
    </row>
    <row r="27" spans="1:13" ht="15.75" customHeight="1">
      <c r="A27" s="30">
        <v>6</v>
      </c>
      <c r="B27" s="35" t="s">
        <v>198</v>
      </c>
      <c r="C27" s="46" t="s">
        <v>148</v>
      </c>
      <c r="D27" s="35" t="s">
        <v>208</v>
      </c>
      <c r="E27" s="103">
        <v>4.04</v>
      </c>
      <c r="F27" s="34">
        <f>SUM(E27*258)</f>
        <v>1042.32</v>
      </c>
      <c r="G27" s="34">
        <v>10.39</v>
      </c>
      <c r="H27" s="101">
        <f t="shared" si="0"/>
        <v>10.8297048</v>
      </c>
      <c r="I27" s="13">
        <f>F27/12*G27</f>
        <v>902.47540000000004</v>
      </c>
      <c r="J27" s="24"/>
    </row>
    <row r="28" spans="1:13" ht="15.75" customHeight="1">
      <c r="A28" s="196" t="s">
        <v>80</v>
      </c>
      <c r="B28" s="197"/>
      <c r="C28" s="197"/>
      <c r="D28" s="197"/>
      <c r="E28" s="197"/>
      <c r="F28" s="197"/>
      <c r="G28" s="197"/>
      <c r="H28" s="197"/>
      <c r="I28" s="198"/>
      <c r="J28" s="23"/>
      <c r="K28" s="8"/>
      <c r="L28" s="8"/>
      <c r="M28" s="8"/>
    </row>
    <row r="29" spans="1:13" ht="15.75" customHeight="1">
      <c r="A29" s="30"/>
      <c r="B29" s="92" t="s">
        <v>27</v>
      </c>
      <c r="C29" s="82"/>
      <c r="D29" s="81"/>
      <c r="E29" s="83"/>
      <c r="F29" s="84"/>
      <c r="G29" s="84"/>
      <c r="H29" s="85"/>
      <c r="I29" s="13"/>
      <c r="J29" s="23"/>
      <c r="K29" s="8"/>
      <c r="L29" s="8"/>
      <c r="M29" s="8"/>
    </row>
    <row r="30" spans="1:13" ht="15.75" customHeight="1">
      <c r="A30" s="30">
        <v>7</v>
      </c>
      <c r="B30" s="81" t="s">
        <v>102</v>
      </c>
      <c r="C30" s="46" t="s">
        <v>85</v>
      </c>
      <c r="D30" s="35" t="s">
        <v>200</v>
      </c>
      <c r="E30" s="34">
        <v>331.9</v>
      </c>
      <c r="F30" s="34">
        <f>SUM(E30*52/1000)</f>
        <v>17.258800000000001</v>
      </c>
      <c r="G30" s="34">
        <v>204.44</v>
      </c>
      <c r="H30" s="101">
        <f t="shared" ref="H30:H33" si="1">SUM(F30*G30/1000)</f>
        <v>3.528389072</v>
      </c>
      <c r="I30" s="13">
        <f t="shared" ref="I30:I33" si="2">F30/6*G30</f>
        <v>588.06484533333344</v>
      </c>
      <c r="J30" s="23"/>
      <c r="K30" s="8"/>
      <c r="L30" s="8"/>
      <c r="M30" s="8"/>
    </row>
    <row r="31" spans="1:13" ht="31.5" customHeight="1">
      <c r="A31" s="30">
        <v>8</v>
      </c>
      <c r="B31" s="81" t="s">
        <v>101</v>
      </c>
      <c r="C31" s="46" t="s">
        <v>85</v>
      </c>
      <c r="D31" s="35" t="s">
        <v>199</v>
      </c>
      <c r="E31" s="34">
        <v>108.9</v>
      </c>
      <c r="F31" s="34">
        <f>SUM(E31*78/1000)</f>
        <v>8.4942000000000011</v>
      </c>
      <c r="G31" s="34">
        <v>339.21</v>
      </c>
      <c r="H31" s="101">
        <f t="shared" si="1"/>
        <v>2.8813175820000003</v>
      </c>
      <c r="I31" s="13">
        <f t="shared" si="2"/>
        <v>480.21959700000002</v>
      </c>
      <c r="J31" s="23"/>
      <c r="K31" s="8"/>
      <c r="L31" s="8"/>
      <c r="M31" s="8"/>
    </row>
    <row r="32" spans="1:13" ht="15.75" hidden="1" customHeight="1">
      <c r="A32" s="30"/>
      <c r="B32" s="81" t="s">
        <v>26</v>
      </c>
      <c r="C32" s="46" t="s">
        <v>85</v>
      </c>
      <c r="D32" s="35" t="s">
        <v>53</v>
      </c>
      <c r="E32" s="34">
        <v>331.9</v>
      </c>
      <c r="F32" s="34">
        <f>SUM(E32/1000)</f>
        <v>0.33189999999999997</v>
      </c>
      <c r="G32" s="34">
        <v>3961.23</v>
      </c>
      <c r="H32" s="101">
        <f t="shared" si="1"/>
        <v>1.3147322369999999</v>
      </c>
      <c r="I32" s="13">
        <f>F32*G32</f>
        <v>1314.7322369999999</v>
      </c>
      <c r="J32" s="23"/>
      <c r="K32" s="8"/>
      <c r="L32" s="8"/>
      <c r="M32" s="8"/>
    </row>
    <row r="33" spans="1:14" ht="15.75" customHeight="1">
      <c r="A33" s="30">
        <v>9</v>
      </c>
      <c r="B33" s="81" t="s">
        <v>128</v>
      </c>
      <c r="C33" s="46" t="s">
        <v>40</v>
      </c>
      <c r="D33" s="35" t="s">
        <v>204</v>
      </c>
      <c r="E33" s="34">
        <v>2</v>
      </c>
      <c r="F33" s="34">
        <v>3.1</v>
      </c>
      <c r="G33" s="34">
        <v>1707.63</v>
      </c>
      <c r="H33" s="101">
        <f t="shared" si="1"/>
        <v>5.2936529999999999</v>
      </c>
      <c r="I33" s="13">
        <f t="shared" si="2"/>
        <v>882.27550000000019</v>
      </c>
      <c r="J33" s="23"/>
      <c r="K33" s="8"/>
    </row>
    <row r="34" spans="1:14" ht="15.75" hidden="1" customHeight="1">
      <c r="A34" s="30"/>
      <c r="B34" s="35" t="s">
        <v>64</v>
      </c>
      <c r="C34" s="46" t="s">
        <v>32</v>
      </c>
      <c r="D34" s="35" t="s">
        <v>66</v>
      </c>
      <c r="E34" s="100"/>
      <c r="F34" s="34">
        <v>2</v>
      </c>
      <c r="G34" s="34">
        <v>250.92</v>
      </c>
      <c r="H34" s="101">
        <f t="shared" ref="H34:H35" si="3">SUM(F34*G34/1000)</f>
        <v>0.50183999999999995</v>
      </c>
      <c r="I34" s="13">
        <v>0</v>
      </c>
      <c r="J34" s="24"/>
    </row>
    <row r="35" spans="1:14" ht="15.75" hidden="1" customHeight="1">
      <c r="A35" s="30"/>
      <c r="B35" s="35" t="s">
        <v>65</v>
      </c>
      <c r="C35" s="46" t="s">
        <v>31</v>
      </c>
      <c r="D35" s="35" t="s">
        <v>66</v>
      </c>
      <c r="E35" s="100"/>
      <c r="F35" s="34">
        <v>1</v>
      </c>
      <c r="G35" s="34">
        <v>1490.31</v>
      </c>
      <c r="H35" s="101">
        <f t="shared" si="3"/>
        <v>1.49031</v>
      </c>
      <c r="I35" s="13">
        <v>0</v>
      </c>
      <c r="J35" s="24"/>
    </row>
    <row r="36" spans="1:14" ht="15.75" hidden="1" customHeight="1">
      <c r="A36" s="30"/>
      <c r="B36" s="92" t="s">
        <v>5</v>
      </c>
      <c r="C36" s="82"/>
      <c r="D36" s="81"/>
      <c r="E36" s="83"/>
      <c r="F36" s="84"/>
      <c r="G36" s="84"/>
      <c r="H36" s="85" t="s">
        <v>113</v>
      </c>
      <c r="I36" s="13"/>
      <c r="J36" s="24"/>
    </row>
    <row r="37" spans="1:14" ht="15.75" hidden="1" customHeight="1">
      <c r="A37" s="30">
        <v>8</v>
      </c>
      <c r="B37" s="36" t="s">
        <v>25</v>
      </c>
      <c r="C37" s="46" t="s">
        <v>31</v>
      </c>
      <c r="D37" s="35"/>
      <c r="E37" s="100"/>
      <c r="F37" s="34">
        <v>4</v>
      </c>
      <c r="G37" s="34">
        <v>2003</v>
      </c>
      <c r="H37" s="101">
        <f t="shared" ref="H37:H43" si="4">SUM(F37*G37/1000)</f>
        <v>8.0120000000000005</v>
      </c>
      <c r="I37" s="13">
        <f t="shared" ref="I37:I43" si="5">F37/6*G37</f>
        <v>1335.3333333333333</v>
      </c>
      <c r="J37" s="24"/>
      <c r="L37" s="19"/>
      <c r="M37" s="20"/>
      <c r="N37" s="21"/>
    </row>
    <row r="38" spans="1:14" ht="15.75" hidden="1" customHeight="1">
      <c r="A38" s="30">
        <v>9</v>
      </c>
      <c r="B38" s="36" t="s">
        <v>142</v>
      </c>
      <c r="C38" s="55" t="s">
        <v>28</v>
      </c>
      <c r="D38" s="35" t="s">
        <v>83</v>
      </c>
      <c r="E38" s="100">
        <v>108.9</v>
      </c>
      <c r="F38" s="37">
        <f>E38*30/1000</f>
        <v>3.2669999999999999</v>
      </c>
      <c r="G38" s="34">
        <v>2757.78</v>
      </c>
      <c r="H38" s="101">
        <f t="shared" si="4"/>
        <v>9.0096672600000005</v>
      </c>
      <c r="I38" s="13">
        <f t="shared" si="5"/>
        <v>1501.61121</v>
      </c>
      <c r="J38" s="24"/>
      <c r="L38" s="19"/>
      <c r="M38" s="20"/>
      <c r="N38" s="21"/>
    </row>
    <row r="39" spans="1:14" ht="15.75" hidden="1" customHeight="1">
      <c r="A39" s="30">
        <v>10</v>
      </c>
      <c r="B39" s="35" t="s">
        <v>67</v>
      </c>
      <c r="C39" s="46" t="s">
        <v>28</v>
      </c>
      <c r="D39" s="35" t="s">
        <v>84</v>
      </c>
      <c r="E39" s="34">
        <v>108.9</v>
      </c>
      <c r="F39" s="37">
        <f>SUM(E39*155/1000)</f>
        <v>16.8795</v>
      </c>
      <c r="G39" s="34">
        <v>460.02</v>
      </c>
      <c r="H39" s="101">
        <f t="shared" si="4"/>
        <v>7.76490759</v>
      </c>
      <c r="I39" s="13">
        <f t="shared" si="5"/>
        <v>1294.151265</v>
      </c>
      <c r="J39" s="24"/>
      <c r="L39" s="19"/>
      <c r="M39" s="20"/>
      <c r="N39" s="21"/>
    </row>
    <row r="40" spans="1:14" ht="15.75" hidden="1" customHeight="1">
      <c r="A40" s="30"/>
      <c r="B40" s="35" t="s">
        <v>143</v>
      </c>
      <c r="C40" s="46" t="s">
        <v>144</v>
      </c>
      <c r="D40" s="35" t="s">
        <v>66</v>
      </c>
      <c r="E40" s="100"/>
      <c r="F40" s="37">
        <v>39</v>
      </c>
      <c r="G40" s="34">
        <v>314</v>
      </c>
      <c r="H40" s="101">
        <f t="shared" si="4"/>
        <v>12.246</v>
      </c>
      <c r="I40" s="13"/>
      <c r="J40" s="24"/>
      <c r="L40" s="19"/>
      <c r="M40" s="20"/>
      <c r="N40" s="21"/>
    </row>
    <row r="41" spans="1:14" ht="47.25" hidden="1" customHeight="1">
      <c r="A41" s="30">
        <v>11</v>
      </c>
      <c r="B41" s="35" t="s">
        <v>79</v>
      </c>
      <c r="C41" s="46" t="s">
        <v>85</v>
      </c>
      <c r="D41" s="35" t="s">
        <v>115</v>
      </c>
      <c r="E41" s="34">
        <v>40</v>
      </c>
      <c r="F41" s="37">
        <f>SUM(E41*35/1000)</f>
        <v>1.4</v>
      </c>
      <c r="G41" s="34">
        <v>7611.16</v>
      </c>
      <c r="H41" s="101">
        <f t="shared" si="4"/>
        <v>10.655624</v>
      </c>
      <c r="I41" s="13">
        <f t="shared" si="5"/>
        <v>1775.9373333333331</v>
      </c>
      <c r="J41" s="24"/>
      <c r="L41" s="19"/>
      <c r="M41" s="20"/>
      <c r="N41" s="21"/>
    </row>
    <row r="42" spans="1:14" ht="15.75" hidden="1" customHeight="1">
      <c r="A42" s="30">
        <v>12</v>
      </c>
      <c r="B42" s="35" t="s">
        <v>116</v>
      </c>
      <c r="C42" s="46" t="s">
        <v>85</v>
      </c>
      <c r="D42" s="35" t="s">
        <v>68</v>
      </c>
      <c r="E42" s="34">
        <v>108.9</v>
      </c>
      <c r="F42" s="37">
        <f>SUM(E42*45/1000)</f>
        <v>4.9005000000000001</v>
      </c>
      <c r="G42" s="34">
        <v>562.25</v>
      </c>
      <c r="H42" s="101">
        <f t="shared" si="4"/>
        <v>2.7553061250000002</v>
      </c>
      <c r="I42" s="13">
        <f t="shared" si="5"/>
        <v>459.21768750000001</v>
      </c>
      <c r="J42" s="24"/>
      <c r="L42" s="19"/>
      <c r="M42" s="20"/>
      <c r="N42" s="21"/>
    </row>
    <row r="43" spans="1:14" ht="15.75" hidden="1" customHeight="1">
      <c r="A43" s="30">
        <v>13</v>
      </c>
      <c r="B43" s="36" t="s">
        <v>69</v>
      </c>
      <c r="C43" s="55" t="s">
        <v>32</v>
      </c>
      <c r="D43" s="36"/>
      <c r="E43" s="103"/>
      <c r="F43" s="37">
        <v>0.5</v>
      </c>
      <c r="G43" s="37">
        <v>974.83</v>
      </c>
      <c r="H43" s="101">
        <f t="shared" si="4"/>
        <v>0.48741500000000004</v>
      </c>
      <c r="I43" s="13">
        <f t="shared" si="5"/>
        <v>81.235833333333332</v>
      </c>
      <c r="J43" s="24"/>
      <c r="L43" s="19"/>
      <c r="M43" s="20"/>
      <c r="N43" s="21"/>
    </row>
    <row r="44" spans="1:14" ht="15.75" customHeight="1">
      <c r="A44" s="196" t="s">
        <v>123</v>
      </c>
      <c r="B44" s="197"/>
      <c r="C44" s="197"/>
      <c r="D44" s="197"/>
      <c r="E44" s="197"/>
      <c r="F44" s="197"/>
      <c r="G44" s="197"/>
      <c r="H44" s="197"/>
      <c r="I44" s="198"/>
      <c r="J44" s="24"/>
      <c r="L44" s="19"/>
      <c r="M44" s="20"/>
      <c r="N44" s="21"/>
    </row>
    <row r="45" spans="1:14" ht="15.75" customHeight="1">
      <c r="A45" s="30">
        <v>10</v>
      </c>
      <c r="B45" s="35" t="s">
        <v>103</v>
      </c>
      <c r="C45" s="46" t="s">
        <v>85</v>
      </c>
      <c r="D45" s="35" t="s">
        <v>185</v>
      </c>
      <c r="E45" s="100">
        <v>838.88</v>
      </c>
      <c r="F45" s="34">
        <f>SUM(E45*2/1000)</f>
        <v>1.6777599999999999</v>
      </c>
      <c r="G45" s="39">
        <v>1062</v>
      </c>
      <c r="H45" s="101">
        <f t="shared" ref="H45:H54" si="6">SUM(F45*G45/1000)</f>
        <v>1.7817811199999998</v>
      </c>
      <c r="I45" s="13">
        <f t="shared" ref="I45:I48" si="7">F45/2*G45</f>
        <v>890.89055999999994</v>
      </c>
      <c r="J45" s="24"/>
      <c r="L45" s="19"/>
      <c r="M45" s="20"/>
      <c r="N45" s="21"/>
    </row>
    <row r="46" spans="1:14" ht="15.75" customHeight="1">
      <c r="A46" s="30">
        <v>11</v>
      </c>
      <c r="B46" s="35" t="s">
        <v>35</v>
      </c>
      <c r="C46" s="46" t="s">
        <v>85</v>
      </c>
      <c r="D46" s="35" t="s">
        <v>185</v>
      </c>
      <c r="E46" s="100">
        <v>26</v>
      </c>
      <c r="F46" s="34">
        <f>E46*2/1000</f>
        <v>5.1999999999999998E-2</v>
      </c>
      <c r="G46" s="39">
        <v>759.98</v>
      </c>
      <c r="H46" s="101">
        <f t="shared" si="6"/>
        <v>3.9518959999999999E-2</v>
      </c>
      <c r="I46" s="13">
        <f t="shared" si="7"/>
        <v>19.75948</v>
      </c>
      <c r="J46" s="24"/>
      <c r="L46" s="19"/>
      <c r="M46" s="20"/>
      <c r="N46" s="21"/>
    </row>
    <row r="47" spans="1:14" ht="15.75" customHeight="1">
      <c r="A47" s="30">
        <v>12</v>
      </c>
      <c r="B47" s="35" t="s">
        <v>36</v>
      </c>
      <c r="C47" s="46" t="s">
        <v>85</v>
      </c>
      <c r="D47" s="35" t="s">
        <v>185</v>
      </c>
      <c r="E47" s="100">
        <v>879</v>
      </c>
      <c r="F47" s="34">
        <f>SUM(E47*2/1000)</f>
        <v>1.758</v>
      </c>
      <c r="G47" s="39">
        <v>759.98</v>
      </c>
      <c r="H47" s="101">
        <f t="shared" si="6"/>
        <v>1.33604484</v>
      </c>
      <c r="I47" s="13">
        <f t="shared" si="7"/>
        <v>668.02242000000001</v>
      </c>
      <c r="J47" s="24"/>
      <c r="L47" s="19"/>
      <c r="M47" s="20"/>
      <c r="N47" s="21"/>
    </row>
    <row r="48" spans="1:14" ht="15.75" customHeight="1">
      <c r="A48" s="30">
        <v>13</v>
      </c>
      <c r="B48" s="35" t="s">
        <v>37</v>
      </c>
      <c r="C48" s="46" t="s">
        <v>85</v>
      </c>
      <c r="D48" s="35" t="s">
        <v>185</v>
      </c>
      <c r="E48" s="100">
        <v>1490.75</v>
      </c>
      <c r="F48" s="34">
        <f>SUM(E48*2/1000)</f>
        <v>2.9815</v>
      </c>
      <c r="G48" s="39">
        <v>795.82</v>
      </c>
      <c r="H48" s="101">
        <f t="shared" si="6"/>
        <v>2.3727373300000005</v>
      </c>
      <c r="I48" s="13">
        <f t="shared" si="7"/>
        <v>1186.3686650000002</v>
      </c>
      <c r="J48" s="24"/>
      <c r="L48" s="19"/>
      <c r="M48" s="20"/>
      <c r="N48" s="21"/>
    </row>
    <row r="49" spans="1:22" ht="15.75" customHeight="1">
      <c r="A49" s="30">
        <v>14</v>
      </c>
      <c r="B49" s="35" t="s">
        <v>33</v>
      </c>
      <c r="C49" s="46" t="s">
        <v>34</v>
      </c>
      <c r="D49" s="35" t="s">
        <v>185</v>
      </c>
      <c r="E49" s="100">
        <v>61.04</v>
      </c>
      <c r="F49" s="34">
        <f>SUM(E49*2/100)</f>
        <v>1.2207999999999999</v>
      </c>
      <c r="G49" s="39">
        <v>95.49</v>
      </c>
      <c r="H49" s="101">
        <f t="shared" si="6"/>
        <v>0.11657419199999998</v>
      </c>
      <c r="I49" s="13">
        <f>F49/2*G49</f>
        <v>58.287095999999991</v>
      </c>
      <c r="J49" s="24"/>
      <c r="L49" s="19"/>
      <c r="M49" s="20"/>
      <c r="N49" s="21"/>
    </row>
    <row r="50" spans="1:22" ht="17.25" customHeight="1">
      <c r="A50" s="30">
        <v>15</v>
      </c>
      <c r="B50" s="35" t="s">
        <v>56</v>
      </c>
      <c r="C50" s="46" t="s">
        <v>85</v>
      </c>
      <c r="D50" s="35" t="s">
        <v>185</v>
      </c>
      <c r="E50" s="100">
        <v>2135.1999999999998</v>
      </c>
      <c r="F50" s="34">
        <f>SUM(E50*5/1000)</f>
        <v>10.676</v>
      </c>
      <c r="G50" s="39">
        <v>1591.6</v>
      </c>
      <c r="H50" s="101">
        <f t="shared" si="6"/>
        <v>16.991921599999998</v>
      </c>
      <c r="I50" s="13">
        <f>F50/5*G50</f>
        <v>3398.3843200000001</v>
      </c>
      <c r="J50" s="24"/>
      <c r="L50" s="19"/>
      <c r="M50" s="20"/>
      <c r="N50" s="21"/>
    </row>
    <row r="51" spans="1:22" ht="31.5" customHeight="1">
      <c r="A51" s="30">
        <v>16</v>
      </c>
      <c r="B51" s="35" t="s">
        <v>86</v>
      </c>
      <c r="C51" s="46" t="s">
        <v>85</v>
      </c>
      <c r="D51" s="35" t="s">
        <v>185</v>
      </c>
      <c r="E51" s="100">
        <v>2135.1999999999998</v>
      </c>
      <c r="F51" s="34">
        <f>SUM(E51*2/1000)</f>
        <v>4.2703999999999995</v>
      </c>
      <c r="G51" s="39">
        <v>1591.6</v>
      </c>
      <c r="H51" s="101">
        <f t="shared" si="6"/>
        <v>6.796768639999998</v>
      </c>
      <c r="I51" s="13">
        <f>G51*F51/2</f>
        <v>3398.3843199999992</v>
      </c>
      <c r="J51" s="24"/>
      <c r="L51" s="19"/>
      <c r="M51" s="20"/>
      <c r="N51" s="21"/>
    </row>
    <row r="52" spans="1:22" ht="31.5" customHeight="1">
      <c r="A52" s="30">
        <v>17</v>
      </c>
      <c r="B52" s="35" t="s">
        <v>87</v>
      </c>
      <c r="C52" s="46" t="s">
        <v>38</v>
      </c>
      <c r="D52" s="35" t="s">
        <v>185</v>
      </c>
      <c r="E52" s="100">
        <v>10</v>
      </c>
      <c r="F52" s="34">
        <f>SUM(E52*2/100)</f>
        <v>0.2</v>
      </c>
      <c r="G52" s="39">
        <v>3581.13</v>
      </c>
      <c r="H52" s="101">
        <f t="shared" si="6"/>
        <v>0.71622600000000014</v>
      </c>
      <c r="I52" s="13">
        <f>G52*F52/2</f>
        <v>358.11300000000006</v>
      </c>
      <c r="J52" s="24"/>
      <c r="L52" s="19"/>
      <c r="M52" s="20"/>
      <c r="N52" s="21"/>
    </row>
    <row r="53" spans="1:22" ht="15.75" customHeight="1">
      <c r="A53" s="30">
        <v>18</v>
      </c>
      <c r="B53" s="35" t="s">
        <v>39</v>
      </c>
      <c r="C53" s="46" t="s">
        <v>40</v>
      </c>
      <c r="D53" s="35" t="s">
        <v>185</v>
      </c>
      <c r="E53" s="100">
        <v>1</v>
      </c>
      <c r="F53" s="34">
        <v>0.02</v>
      </c>
      <c r="G53" s="39">
        <v>7412.92</v>
      </c>
      <c r="H53" s="101">
        <f t="shared" si="6"/>
        <v>0.14825839999999998</v>
      </c>
      <c r="I53" s="13">
        <f>G53*F53/2</f>
        <v>74.129199999999997</v>
      </c>
      <c r="J53" s="24"/>
      <c r="L53" s="19"/>
      <c r="M53" s="20"/>
      <c r="N53" s="21"/>
    </row>
    <row r="54" spans="1:22" ht="15.75" hidden="1" customHeight="1">
      <c r="A54" s="109">
        <v>18</v>
      </c>
      <c r="B54" s="105" t="s">
        <v>41</v>
      </c>
      <c r="C54" s="106" t="s">
        <v>104</v>
      </c>
      <c r="D54" s="105" t="s">
        <v>70</v>
      </c>
      <c r="E54" s="107">
        <v>80</v>
      </c>
      <c r="F54" s="108">
        <f>SUM(E54)*3</f>
        <v>240</v>
      </c>
      <c r="G54" s="110">
        <v>86.15</v>
      </c>
      <c r="H54" s="111">
        <f t="shared" si="6"/>
        <v>20.675999999999998</v>
      </c>
      <c r="I54" s="112">
        <f>E54*G54</f>
        <v>6892</v>
      </c>
      <c r="J54" s="24"/>
      <c r="L54" s="19"/>
      <c r="M54" s="20"/>
      <c r="N54" s="21"/>
    </row>
    <row r="55" spans="1:22" ht="15.75" customHeight="1">
      <c r="A55" s="189" t="s">
        <v>122</v>
      </c>
      <c r="B55" s="189"/>
      <c r="C55" s="189"/>
      <c r="D55" s="189"/>
      <c r="E55" s="189"/>
      <c r="F55" s="189"/>
      <c r="G55" s="189"/>
      <c r="H55" s="189"/>
      <c r="I55" s="189"/>
      <c r="J55" s="24"/>
      <c r="L55" s="19"/>
      <c r="M55" s="20"/>
      <c r="N55" s="21"/>
    </row>
    <row r="56" spans="1:22" ht="15.75" hidden="1" customHeight="1">
      <c r="A56" s="30"/>
      <c r="B56" s="69" t="s">
        <v>43</v>
      </c>
      <c r="C56" s="16"/>
      <c r="D56" s="14"/>
      <c r="E56" s="18"/>
      <c r="F56" s="13"/>
      <c r="G56" s="13"/>
      <c r="H56" s="13"/>
      <c r="I56" s="13"/>
      <c r="J56" s="24"/>
      <c r="L56" s="19"/>
      <c r="M56" s="20"/>
      <c r="N56" s="21"/>
    </row>
    <row r="57" spans="1:22" ht="31.5" hidden="1" customHeight="1">
      <c r="A57" s="30">
        <v>16</v>
      </c>
      <c r="B57" s="41" t="s">
        <v>105</v>
      </c>
      <c r="C57" s="42" t="s">
        <v>82</v>
      </c>
      <c r="D57" s="41" t="s">
        <v>106</v>
      </c>
      <c r="E57" s="17">
        <v>45.9</v>
      </c>
      <c r="F57" s="39">
        <f>SUM(E57*6/100)</f>
        <v>2.7539999999999996</v>
      </c>
      <c r="G57" s="39">
        <v>2431.1799999999998</v>
      </c>
      <c r="H57" s="39">
        <f>SUM(F57*G57/1000)</f>
        <v>6.6954697199999984</v>
      </c>
      <c r="I57" s="13">
        <f>F57/6*G57</f>
        <v>1115.9116199999996</v>
      </c>
      <c r="J57" s="24"/>
      <c r="L57" s="19"/>
    </row>
    <row r="58" spans="1:22" ht="15.75" hidden="1" customHeight="1">
      <c r="A58" s="30"/>
      <c r="B58" s="41" t="s">
        <v>145</v>
      </c>
      <c r="C58" s="42" t="s">
        <v>146</v>
      </c>
      <c r="D58" s="41" t="s">
        <v>66</v>
      </c>
      <c r="E58" s="17"/>
      <c r="F58" s="39">
        <v>2</v>
      </c>
      <c r="G58" s="39">
        <v>1582.05</v>
      </c>
      <c r="H58" s="39">
        <f>SUM(F58*G58/1000)</f>
        <v>3.1640999999999999</v>
      </c>
      <c r="I58" s="13">
        <v>0</v>
      </c>
      <c r="J58" s="24"/>
      <c r="L58" s="19"/>
    </row>
    <row r="59" spans="1:22" ht="15.75" customHeight="1">
      <c r="A59" s="30"/>
      <c r="B59" s="69" t="s">
        <v>44</v>
      </c>
      <c r="C59" s="16"/>
      <c r="D59" s="14"/>
      <c r="E59" s="18"/>
      <c r="F59" s="13"/>
      <c r="G59" s="13"/>
      <c r="H59" s="13"/>
      <c r="I59" s="13"/>
    </row>
    <row r="60" spans="1:22" ht="15.75" hidden="1" customHeight="1">
      <c r="A60" s="30"/>
      <c r="B60" s="41" t="s">
        <v>117</v>
      </c>
      <c r="C60" s="42" t="s">
        <v>82</v>
      </c>
      <c r="D60" s="41" t="s">
        <v>53</v>
      </c>
      <c r="E60" s="17">
        <v>168</v>
      </c>
      <c r="F60" s="39">
        <f>E60/100</f>
        <v>1.68</v>
      </c>
      <c r="G60" s="39">
        <v>1040.8399999999999</v>
      </c>
      <c r="H60" s="39">
        <f>F60*G60/1000</f>
        <v>1.7486111999999998</v>
      </c>
      <c r="I60" s="13">
        <v>0</v>
      </c>
    </row>
    <row r="61" spans="1:22" ht="15.75" customHeight="1">
      <c r="A61" s="30">
        <v>19</v>
      </c>
      <c r="B61" s="41" t="s">
        <v>147</v>
      </c>
      <c r="C61" s="42" t="s">
        <v>148</v>
      </c>
      <c r="D61" s="41" t="s">
        <v>185</v>
      </c>
      <c r="E61" s="17">
        <v>134.19999999999999</v>
      </c>
      <c r="F61" s="39">
        <v>1200</v>
      </c>
      <c r="G61" s="39">
        <v>1.4</v>
      </c>
      <c r="H61" s="39">
        <f>F61*G61/1000</f>
        <v>1.68</v>
      </c>
      <c r="I61" s="13">
        <f>F61/12*G61</f>
        <v>140</v>
      </c>
    </row>
    <row r="62" spans="1:22" ht="15.75" customHeight="1">
      <c r="A62" s="113"/>
      <c r="B62" s="114" t="s">
        <v>45</v>
      </c>
      <c r="C62" s="115"/>
      <c r="D62" s="116"/>
      <c r="E62" s="86"/>
      <c r="F62" s="117"/>
      <c r="G62" s="117"/>
      <c r="H62" s="118" t="s">
        <v>113</v>
      </c>
      <c r="I62" s="119"/>
    </row>
    <row r="63" spans="1:22" ht="15.75" customHeight="1">
      <c r="A63" s="30">
        <v>20</v>
      </c>
      <c r="B63" s="58" t="s">
        <v>46</v>
      </c>
      <c r="C63" s="42" t="s">
        <v>104</v>
      </c>
      <c r="D63" s="41" t="s">
        <v>185</v>
      </c>
      <c r="E63" s="17">
        <v>5</v>
      </c>
      <c r="F63" s="34">
        <f>E63</f>
        <v>5</v>
      </c>
      <c r="G63" s="39">
        <v>291.68</v>
      </c>
      <c r="H63" s="79">
        <f t="shared" ref="H63:H70" si="8">SUM(F63*G63/1000)</f>
        <v>1.4584000000000001</v>
      </c>
      <c r="I63" s="13">
        <f>G63*1</f>
        <v>291.68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hidden="1" customHeight="1">
      <c r="A64" s="30"/>
      <c r="B64" s="58" t="s">
        <v>47</v>
      </c>
      <c r="C64" s="42" t="s">
        <v>104</v>
      </c>
      <c r="D64" s="41" t="s">
        <v>66</v>
      </c>
      <c r="E64" s="17">
        <v>5</v>
      </c>
      <c r="F64" s="34">
        <f>E64</f>
        <v>5</v>
      </c>
      <c r="G64" s="39">
        <v>100.01</v>
      </c>
      <c r="H64" s="79">
        <f t="shared" si="8"/>
        <v>0.50004999999999999</v>
      </c>
      <c r="I64" s="13">
        <v>0</v>
      </c>
      <c r="J64" s="26"/>
      <c r="K64" s="26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30"/>
      <c r="B65" s="58" t="s">
        <v>48</v>
      </c>
      <c r="C65" s="44" t="s">
        <v>107</v>
      </c>
      <c r="D65" s="41" t="s">
        <v>53</v>
      </c>
      <c r="E65" s="100">
        <v>10348</v>
      </c>
      <c r="F65" s="40">
        <f>SUM(E65/100)</f>
        <v>103.48</v>
      </c>
      <c r="G65" s="39">
        <v>278.24</v>
      </c>
      <c r="H65" s="79">
        <f t="shared" si="8"/>
        <v>28.792275200000002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30"/>
      <c r="B66" s="58" t="s">
        <v>49</v>
      </c>
      <c r="C66" s="42" t="s">
        <v>108</v>
      </c>
      <c r="D66" s="41" t="s">
        <v>53</v>
      </c>
      <c r="E66" s="100">
        <v>10348</v>
      </c>
      <c r="F66" s="39">
        <f>SUM(E66/1000)</f>
        <v>10.348000000000001</v>
      </c>
      <c r="G66" s="39">
        <v>216.68</v>
      </c>
      <c r="H66" s="79">
        <f t="shared" si="8"/>
        <v>2.2422046400000002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177"/>
      <c r="S66" s="177"/>
      <c r="T66" s="177"/>
      <c r="U66" s="177"/>
    </row>
    <row r="67" spans="1:21" ht="15.75" hidden="1" customHeight="1">
      <c r="A67" s="30"/>
      <c r="B67" s="58" t="s">
        <v>50</v>
      </c>
      <c r="C67" s="42" t="s">
        <v>75</v>
      </c>
      <c r="D67" s="41" t="s">
        <v>53</v>
      </c>
      <c r="E67" s="100">
        <v>1645</v>
      </c>
      <c r="F67" s="39">
        <f>SUM(E67/100)</f>
        <v>16.45</v>
      </c>
      <c r="G67" s="39">
        <v>2720.94</v>
      </c>
      <c r="H67" s="79">
        <f t="shared" si="8"/>
        <v>44.759462999999997</v>
      </c>
      <c r="I67" s="13">
        <v>0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hidden="1" customHeight="1">
      <c r="A68" s="30"/>
      <c r="B68" s="53" t="s">
        <v>109</v>
      </c>
      <c r="C68" s="42" t="s">
        <v>32</v>
      </c>
      <c r="D68" s="41"/>
      <c r="E68" s="100">
        <v>9</v>
      </c>
      <c r="F68" s="39">
        <f>E68</f>
        <v>9</v>
      </c>
      <c r="G68" s="39">
        <v>42.61</v>
      </c>
      <c r="H68" s="79">
        <f t="shared" si="8"/>
        <v>0.38349</v>
      </c>
      <c r="I68" s="13">
        <v>0</v>
      </c>
    </row>
    <row r="69" spans="1:21" ht="15.75" hidden="1" customHeight="1">
      <c r="A69" s="30"/>
      <c r="B69" s="53" t="s">
        <v>110</v>
      </c>
      <c r="C69" s="42" t="s">
        <v>32</v>
      </c>
      <c r="D69" s="41"/>
      <c r="E69" s="100">
        <v>9</v>
      </c>
      <c r="F69" s="39">
        <f t="shared" ref="F69:F70" si="9">E69</f>
        <v>9</v>
      </c>
      <c r="G69" s="39">
        <v>46.04</v>
      </c>
      <c r="H69" s="79">
        <f t="shared" si="8"/>
        <v>0.41436000000000001</v>
      </c>
      <c r="I69" s="13">
        <v>0</v>
      </c>
    </row>
    <row r="70" spans="1:21" ht="15.75" customHeight="1">
      <c r="A70" s="30">
        <v>21</v>
      </c>
      <c r="B70" s="41" t="s">
        <v>57</v>
      </c>
      <c r="C70" s="42" t="s">
        <v>58</v>
      </c>
      <c r="D70" s="41" t="s">
        <v>202</v>
      </c>
      <c r="E70" s="17">
        <v>2</v>
      </c>
      <c r="F70" s="39">
        <f t="shared" si="9"/>
        <v>2</v>
      </c>
      <c r="G70" s="39">
        <v>65.42</v>
      </c>
      <c r="H70" s="79">
        <f t="shared" si="8"/>
        <v>0.13084000000000001</v>
      </c>
      <c r="I70" s="13">
        <f>F70*G70</f>
        <v>130.84</v>
      </c>
    </row>
    <row r="71" spans="1:21" ht="15.75" customHeight="1">
      <c r="A71" s="30"/>
      <c r="B71" s="69" t="s">
        <v>71</v>
      </c>
      <c r="C71" s="16"/>
      <c r="D71" s="14"/>
      <c r="E71" s="18"/>
      <c r="F71" s="13"/>
      <c r="G71" s="13"/>
      <c r="H71" s="80" t="s">
        <v>113</v>
      </c>
      <c r="I71" s="13"/>
    </row>
    <row r="72" spans="1:21" ht="15.75" hidden="1" customHeight="1">
      <c r="A72" s="30"/>
      <c r="B72" s="14" t="s">
        <v>150</v>
      </c>
      <c r="C72" s="16" t="s">
        <v>151</v>
      </c>
      <c r="D72" s="41" t="s">
        <v>66</v>
      </c>
      <c r="E72" s="18">
        <v>1</v>
      </c>
      <c r="F72" s="13">
        <f>E72</f>
        <v>1</v>
      </c>
      <c r="G72" s="13">
        <v>1029.1199999999999</v>
      </c>
      <c r="H72" s="80">
        <f t="shared" ref="H72:H73" si="10">SUM(F72*G72/1000)</f>
        <v>1.0291199999999998</v>
      </c>
      <c r="I72" s="13">
        <v>0</v>
      </c>
    </row>
    <row r="73" spans="1:21" ht="15.75" hidden="1" customHeight="1">
      <c r="A73" s="30"/>
      <c r="B73" s="14" t="s">
        <v>152</v>
      </c>
      <c r="C73" s="16" t="s">
        <v>153</v>
      </c>
      <c r="D73" s="120"/>
      <c r="E73" s="18">
        <v>1</v>
      </c>
      <c r="F73" s="13">
        <v>1</v>
      </c>
      <c r="G73" s="13">
        <v>735</v>
      </c>
      <c r="H73" s="80">
        <f t="shared" si="10"/>
        <v>0.73499999999999999</v>
      </c>
      <c r="I73" s="13">
        <v>0</v>
      </c>
    </row>
    <row r="74" spans="1:21" ht="15.75" hidden="1" customHeight="1">
      <c r="A74" s="30"/>
      <c r="B74" s="14" t="s">
        <v>72</v>
      </c>
      <c r="C74" s="16" t="s">
        <v>73</v>
      </c>
      <c r="D74" s="41" t="s">
        <v>66</v>
      </c>
      <c r="E74" s="18">
        <v>2</v>
      </c>
      <c r="F74" s="84">
        <f>SUM(E74/10)</f>
        <v>0.2</v>
      </c>
      <c r="G74" s="13">
        <v>657.87</v>
      </c>
      <c r="H74" s="80">
        <f>SUM(F74*G74/1000)</f>
        <v>0.13157400000000002</v>
      </c>
      <c r="I74" s="13">
        <v>0</v>
      </c>
    </row>
    <row r="75" spans="1:21" ht="15.75" hidden="1" customHeight="1">
      <c r="A75" s="30"/>
      <c r="B75" s="14" t="s">
        <v>154</v>
      </c>
      <c r="C75" s="16" t="s">
        <v>104</v>
      </c>
      <c r="D75" s="41" t="s">
        <v>66</v>
      </c>
      <c r="E75" s="18">
        <v>2</v>
      </c>
      <c r="F75" s="13">
        <f>E75</f>
        <v>2</v>
      </c>
      <c r="G75" s="13">
        <v>1118.72</v>
      </c>
      <c r="H75" s="80">
        <f>SUM(F75*G75/1000)</f>
        <v>2.2374399999999999</v>
      </c>
      <c r="I75" s="13">
        <v>0</v>
      </c>
    </row>
    <row r="76" spans="1:21" ht="15.75" hidden="1" customHeight="1">
      <c r="A76" s="30"/>
      <c r="B76" s="56" t="s">
        <v>155</v>
      </c>
      <c r="C76" s="57" t="s">
        <v>104</v>
      </c>
      <c r="D76" s="41" t="s">
        <v>66</v>
      </c>
      <c r="E76" s="18">
        <v>1</v>
      </c>
      <c r="F76" s="75">
        <v>1</v>
      </c>
      <c r="G76" s="13">
        <v>1605.83</v>
      </c>
      <c r="H76" s="80">
        <f>SUM(F76*G76/1000)</f>
        <v>1.6058299999999999</v>
      </c>
      <c r="I76" s="13">
        <v>0</v>
      </c>
    </row>
    <row r="77" spans="1:21" ht="32.25" customHeight="1">
      <c r="A77" s="30">
        <v>22</v>
      </c>
      <c r="B77" s="56" t="s">
        <v>156</v>
      </c>
      <c r="C77" s="57" t="s">
        <v>104</v>
      </c>
      <c r="D77" s="14" t="s">
        <v>202</v>
      </c>
      <c r="E77" s="18">
        <v>2</v>
      </c>
      <c r="F77" s="84">
        <f>E77*12</f>
        <v>24</v>
      </c>
      <c r="G77" s="13">
        <v>53.42</v>
      </c>
      <c r="H77" s="80">
        <f t="shared" ref="H77:H78" si="11">SUM(F77*G77/1000)</f>
        <v>1.2820799999999999</v>
      </c>
      <c r="I77" s="13">
        <f>G77*2</f>
        <v>106.84</v>
      </c>
    </row>
    <row r="78" spans="1:21" ht="31.5" customHeight="1">
      <c r="A78" s="30">
        <v>23</v>
      </c>
      <c r="B78" s="56" t="s">
        <v>157</v>
      </c>
      <c r="C78" s="57" t="s">
        <v>104</v>
      </c>
      <c r="D78" s="14" t="s">
        <v>185</v>
      </c>
      <c r="E78" s="18">
        <v>1</v>
      </c>
      <c r="F78" s="84">
        <f>E78*12</f>
        <v>12</v>
      </c>
      <c r="G78" s="13">
        <v>1194</v>
      </c>
      <c r="H78" s="80">
        <f t="shared" si="11"/>
        <v>14.327999999999999</v>
      </c>
      <c r="I78" s="13">
        <f>G78</f>
        <v>1194</v>
      </c>
    </row>
    <row r="79" spans="1:21" ht="15.75" hidden="1" customHeight="1">
      <c r="A79" s="30"/>
      <c r="B79" s="90" t="s">
        <v>74</v>
      </c>
      <c r="C79" s="16"/>
      <c r="D79" s="14"/>
      <c r="E79" s="18"/>
      <c r="F79" s="13"/>
      <c r="G79" s="13" t="s">
        <v>113</v>
      </c>
      <c r="H79" s="80" t="s">
        <v>113</v>
      </c>
      <c r="I79" s="13"/>
    </row>
    <row r="80" spans="1:21" ht="15.75" hidden="1" customHeight="1">
      <c r="A80" s="30"/>
      <c r="B80" s="43" t="s">
        <v>114</v>
      </c>
      <c r="C80" s="44" t="s">
        <v>75</v>
      </c>
      <c r="D80" s="58"/>
      <c r="E80" s="121"/>
      <c r="F80" s="40">
        <v>0.6</v>
      </c>
      <c r="G80" s="40">
        <v>3619.09</v>
      </c>
      <c r="H80" s="79">
        <f t="shared" ref="H80" si="12">SUM(F80*G80/1000)</f>
        <v>2.1714540000000002</v>
      </c>
      <c r="I80" s="13">
        <v>0</v>
      </c>
    </row>
    <row r="81" spans="1:9" ht="15.75" hidden="1" customHeight="1">
      <c r="A81" s="30"/>
      <c r="B81" s="93" t="s">
        <v>88</v>
      </c>
      <c r="C81" s="90"/>
      <c r="D81" s="32"/>
      <c r="E81" s="33"/>
      <c r="F81" s="87"/>
      <c r="G81" s="87"/>
      <c r="H81" s="91">
        <f>SUM(H57:H80)</f>
        <v>115.48976176000001</v>
      </c>
      <c r="I81" s="87"/>
    </row>
    <row r="82" spans="1:9" ht="15.75" hidden="1" customHeight="1">
      <c r="A82" s="109">
        <v>17</v>
      </c>
      <c r="B82" s="123" t="s">
        <v>111</v>
      </c>
      <c r="C82" s="124"/>
      <c r="D82" s="125"/>
      <c r="E82" s="122"/>
      <c r="F82" s="126">
        <v>1</v>
      </c>
      <c r="G82" s="126">
        <v>7005.5</v>
      </c>
      <c r="H82" s="127">
        <f>G82*F82/1000</f>
        <v>7.0054999999999996</v>
      </c>
      <c r="I82" s="112">
        <f>G82</f>
        <v>7005.5</v>
      </c>
    </row>
    <row r="83" spans="1:9" ht="15.75" customHeight="1">
      <c r="A83" s="189" t="s">
        <v>121</v>
      </c>
      <c r="B83" s="189"/>
      <c r="C83" s="189"/>
      <c r="D83" s="189"/>
      <c r="E83" s="189"/>
      <c r="F83" s="189"/>
      <c r="G83" s="189"/>
      <c r="H83" s="189"/>
      <c r="I83" s="189"/>
    </row>
    <row r="84" spans="1:9" ht="15.75" customHeight="1">
      <c r="A84" s="30">
        <v>24</v>
      </c>
      <c r="B84" s="41" t="s">
        <v>112</v>
      </c>
      <c r="C84" s="42" t="s">
        <v>54</v>
      </c>
      <c r="D84" s="59"/>
      <c r="E84" s="39">
        <v>2135.1999999999998</v>
      </c>
      <c r="F84" s="39">
        <f>SUM(E84*12)</f>
        <v>25622.399999999998</v>
      </c>
      <c r="G84" s="39">
        <v>3.1</v>
      </c>
      <c r="H84" s="39">
        <f>SUM(F84*G84/1000)</f>
        <v>79.42944</v>
      </c>
      <c r="I84" s="13">
        <f>F84/12*G84</f>
        <v>6619.12</v>
      </c>
    </row>
    <row r="85" spans="1:9" ht="31.5" customHeight="1">
      <c r="A85" s="30">
        <v>25</v>
      </c>
      <c r="B85" s="14" t="s">
        <v>76</v>
      </c>
      <c r="C85" s="16"/>
      <c r="D85" s="59"/>
      <c r="E85" s="83">
        <v>2135.1999999999998</v>
      </c>
      <c r="F85" s="13">
        <f>E85*12</f>
        <v>25622.399999999998</v>
      </c>
      <c r="G85" s="13">
        <v>3.5</v>
      </c>
      <c r="H85" s="80">
        <f>F85*G85/1000</f>
        <v>89.678399999999996</v>
      </c>
      <c r="I85" s="13">
        <f>F85/12*G85</f>
        <v>7473.1999999999989</v>
      </c>
    </row>
    <row r="86" spans="1:9" ht="15.75" customHeight="1">
      <c r="A86" s="30"/>
      <c r="B86" s="45" t="s">
        <v>78</v>
      </c>
      <c r="C86" s="90"/>
      <c r="D86" s="89"/>
      <c r="E86" s="87"/>
      <c r="F86" s="87"/>
      <c r="G86" s="87"/>
      <c r="H86" s="91">
        <f>H85</f>
        <v>89.678399999999996</v>
      </c>
      <c r="I86" s="87">
        <f>I85+I84+I78+I77+I70+I63+I61+I53+I52+I51+I50+I49+I48+I47+I46+I45+I33+I31+I30+I27+I21+I20+I18+I17+I16</f>
        <v>35552.16483666667</v>
      </c>
    </row>
    <row r="87" spans="1:9" ht="15.75" customHeight="1">
      <c r="A87" s="178" t="s">
        <v>60</v>
      </c>
      <c r="B87" s="179"/>
      <c r="C87" s="179"/>
      <c r="D87" s="179"/>
      <c r="E87" s="179"/>
      <c r="F87" s="179"/>
      <c r="G87" s="179"/>
      <c r="H87" s="179"/>
      <c r="I87" s="180"/>
    </row>
    <row r="88" spans="1:9" ht="15.75" customHeight="1">
      <c r="A88" s="30">
        <v>26</v>
      </c>
      <c r="B88" s="134" t="s">
        <v>171</v>
      </c>
      <c r="C88" s="61" t="s">
        <v>172</v>
      </c>
      <c r="D88" s="60"/>
      <c r="E88" s="39"/>
      <c r="F88" s="39">
        <v>120</v>
      </c>
      <c r="G88" s="39">
        <v>273</v>
      </c>
      <c r="H88" s="79">
        <f>G88*F88/1000</f>
        <v>32.76</v>
      </c>
      <c r="I88" s="13">
        <f>G88*2</f>
        <v>546</v>
      </c>
    </row>
    <row r="89" spans="1:9" ht="15.75" customHeight="1">
      <c r="A89" s="30"/>
      <c r="B89" s="50" t="s">
        <v>51</v>
      </c>
      <c r="C89" s="57"/>
      <c r="D89" s="52"/>
      <c r="E89" s="13"/>
      <c r="F89" s="13"/>
      <c r="G89" s="13"/>
      <c r="H89" s="80"/>
      <c r="I89" s="87">
        <f>I88</f>
        <v>546</v>
      </c>
    </row>
    <row r="90" spans="1:9">
      <c r="A90" s="30"/>
      <c r="B90" s="52" t="s">
        <v>77</v>
      </c>
      <c r="C90" s="15"/>
      <c r="D90" s="15"/>
      <c r="E90" s="47"/>
      <c r="F90" s="47"/>
      <c r="G90" s="48"/>
      <c r="H90" s="48"/>
      <c r="I90" s="17">
        <v>0</v>
      </c>
    </row>
    <row r="91" spans="1:9">
      <c r="A91" s="54"/>
      <c r="B91" s="51" t="s">
        <v>139</v>
      </c>
      <c r="C91" s="38"/>
      <c r="D91" s="38"/>
      <c r="E91" s="38"/>
      <c r="F91" s="38"/>
      <c r="G91" s="38"/>
      <c r="H91" s="38"/>
      <c r="I91" s="49">
        <f>I86+I89</f>
        <v>36098.16483666667</v>
      </c>
    </row>
    <row r="92" spans="1:9" ht="15.75" customHeight="1">
      <c r="A92" s="181" t="s">
        <v>241</v>
      </c>
      <c r="B92" s="181"/>
      <c r="C92" s="181"/>
      <c r="D92" s="181"/>
      <c r="E92" s="181"/>
      <c r="F92" s="181"/>
      <c r="G92" s="181"/>
      <c r="H92" s="181"/>
      <c r="I92" s="181"/>
    </row>
    <row r="93" spans="1:9" ht="15.75" customHeight="1">
      <c r="A93" s="68"/>
      <c r="B93" s="182" t="s">
        <v>242</v>
      </c>
      <c r="C93" s="182"/>
      <c r="D93" s="182"/>
      <c r="E93" s="182"/>
      <c r="F93" s="182"/>
      <c r="G93" s="182"/>
      <c r="H93" s="78"/>
      <c r="I93" s="3"/>
    </row>
    <row r="94" spans="1:9">
      <c r="A94" s="74"/>
      <c r="B94" s="183" t="s">
        <v>6</v>
      </c>
      <c r="C94" s="183"/>
      <c r="D94" s="183"/>
      <c r="E94" s="183"/>
      <c r="F94" s="183"/>
      <c r="G94" s="183"/>
      <c r="H94" s="25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84" t="s">
        <v>7</v>
      </c>
      <c r="B96" s="184"/>
      <c r="C96" s="184"/>
      <c r="D96" s="184"/>
      <c r="E96" s="184"/>
      <c r="F96" s="184"/>
      <c r="G96" s="184"/>
      <c r="H96" s="184"/>
      <c r="I96" s="184"/>
    </row>
    <row r="97" spans="1:9" ht="15.75" customHeight="1">
      <c r="A97" s="184" t="s">
        <v>8</v>
      </c>
      <c r="B97" s="184"/>
      <c r="C97" s="184"/>
      <c r="D97" s="184"/>
      <c r="E97" s="184"/>
      <c r="F97" s="184"/>
      <c r="G97" s="184"/>
      <c r="H97" s="184"/>
      <c r="I97" s="184"/>
    </row>
    <row r="98" spans="1:9" ht="15.75">
      <c r="A98" s="185" t="s">
        <v>61</v>
      </c>
      <c r="B98" s="185"/>
      <c r="C98" s="185"/>
      <c r="D98" s="185"/>
      <c r="E98" s="185"/>
      <c r="F98" s="185"/>
      <c r="G98" s="185"/>
      <c r="H98" s="185"/>
      <c r="I98" s="185"/>
    </row>
    <row r="99" spans="1:9" ht="15.75">
      <c r="A99" s="11"/>
    </row>
    <row r="100" spans="1:9" ht="15.75" customHeight="1">
      <c r="A100" s="186" t="s">
        <v>9</v>
      </c>
      <c r="B100" s="186"/>
      <c r="C100" s="186"/>
      <c r="D100" s="186"/>
      <c r="E100" s="186"/>
      <c r="F100" s="186"/>
      <c r="G100" s="186"/>
      <c r="H100" s="186"/>
      <c r="I100" s="186"/>
    </row>
    <row r="101" spans="1:9" ht="15.75" customHeight="1">
      <c r="A101" s="4"/>
    </row>
    <row r="102" spans="1:9" ht="15.75" customHeight="1">
      <c r="B102" s="71" t="s">
        <v>10</v>
      </c>
      <c r="C102" s="187" t="s">
        <v>124</v>
      </c>
      <c r="D102" s="187"/>
      <c r="E102" s="187"/>
      <c r="F102" s="76"/>
      <c r="I102" s="73"/>
    </row>
    <row r="103" spans="1:9" ht="15.75" customHeight="1">
      <c r="A103" s="74"/>
      <c r="C103" s="183" t="s">
        <v>11</v>
      </c>
      <c r="D103" s="183"/>
      <c r="E103" s="183"/>
      <c r="F103" s="25"/>
      <c r="I103" s="72" t="s">
        <v>12</v>
      </c>
    </row>
    <row r="104" spans="1:9" ht="15.75" customHeight="1">
      <c r="A104" s="26"/>
      <c r="C104" s="12"/>
      <c r="D104" s="12"/>
      <c r="G104" s="12"/>
      <c r="H104" s="12"/>
    </row>
    <row r="105" spans="1:9" ht="15.75" customHeight="1">
      <c r="B105" s="71" t="s">
        <v>13</v>
      </c>
      <c r="C105" s="188"/>
      <c r="D105" s="188"/>
      <c r="E105" s="188"/>
      <c r="F105" s="77"/>
      <c r="I105" s="73"/>
    </row>
    <row r="106" spans="1:9">
      <c r="A106" s="74"/>
      <c r="C106" s="177" t="s">
        <v>11</v>
      </c>
      <c r="D106" s="177"/>
      <c r="E106" s="177"/>
      <c r="F106" s="74"/>
      <c r="I106" s="72" t="s">
        <v>12</v>
      </c>
    </row>
    <row r="107" spans="1:9" ht="15.75">
      <c r="A107" s="4" t="s">
        <v>14</v>
      </c>
    </row>
    <row r="108" spans="1:9">
      <c r="A108" s="175" t="s">
        <v>15</v>
      </c>
      <c r="B108" s="175"/>
      <c r="C108" s="175"/>
      <c r="D108" s="175"/>
      <c r="E108" s="175"/>
      <c r="F108" s="175"/>
      <c r="G108" s="175"/>
      <c r="H108" s="175"/>
      <c r="I108" s="175"/>
    </row>
    <row r="109" spans="1:9" ht="45" customHeight="1">
      <c r="A109" s="176" t="s">
        <v>16</v>
      </c>
      <c r="B109" s="176"/>
      <c r="C109" s="176"/>
      <c r="D109" s="176"/>
      <c r="E109" s="176"/>
      <c r="F109" s="176"/>
      <c r="G109" s="176"/>
      <c r="H109" s="176"/>
      <c r="I109" s="176"/>
    </row>
    <row r="110" spans="1:9" ht="30" customHeight="1">
      <c r="A110" s="176" t="s">
        <v>17</v>
      </c>
      <c r="B110" s="176"/>
      <c r="C110" s="176"/>
      <c r="D110" s="176"/>
      <c r="E110" s="176"/>
      <c r="F110" s="176"/>
      <c r="G110" s="176"/>
      <c r="H110" s="176"/>
      <c r="I110" s="176"/>
    </row>
    <row r="111" spans="1:9" ht="30" customHeight="1">
      <c r="A111" s="176" t="s">
        <v>21</v>
      </c>
      <c r="B111" s="176"/>
      <c r="C111" s="176"/>
      <c r="D111" s="176"/>
      <c r="E111" s="176"/>
      <c r="F111" s="176"/>
      <c r="G111" s="176"/>
      <c r="H111" s="176"/>
      <c r="I111" s="176"/>
    </row>
    <row r="112" spans="1:9" ht="15" customHeight="1">
      <c r="A112" s="176" t="s">
        <v>20</v>
      </c>
      <c r="B112" s="176"/>
      <c r="C112" s="176"/>
      <c r="D112" s="176"/>
      <c r="E112" s="176"/>
      <c r="F112" s="176"/>
      <c r="G112" s="176"/>
      <c r="H112" s="176"/>
      <c r="I112" s="176"/>
    </row>
  </sheetData>
  <autoFilter ref="I12:I60"/>
  <mergeCells count="29">
    <mergeCell ref="A14:I14"/>
    <mergeCell ref="A15:I15"/>
    <mergeCell ref="A28:I28"/>
    <mergeCell ref="A44:I44"/>
    <mergeCell ref="A55:I55"/>
    <mergeCell ref="A3:I3"/>
    <mergeCell ref="A4:I4"/>
    <mergeCell ref="A5:I5"/>
    <mergeCell ref="A8:I8"/>
    <mergeCell ref="A10:I10"/>
    <mergeCell ref="R66:U66"/>
    <mergeCell ref="C106:E106"/>
    <mergeCell ref="A87:I87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3:I83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01.19</vt:lpstr>
      <vt:lpstr>02.19</vt:lpstr>
      <vt:lpstr>03.18</vt:lpstr>
      <vt:lpstr>04.19</vt:lpstr>
      <vt:lpstr>05.19</vt:lpstr>
      <vt:lpstr>06.19</vt:lpstr>
      <vt:lpstr>07.19</vt:lpstr>
      <vt:lpstr>08.19</vt:lpstr>
      <vt:lpstr>09.19</vt:lpstr>
      <vt:lpstr>10.19</vt:lpstr>
      <vt:lpstr>11.19</vt:lpstr>
      <vt:lpstr>12.19</vt:lpstr>
      <vt:lpstr>'01.19'!Область_печати</vt:lpstr>
      <vt:lpstr>'02.19'!Область_печати</vt:lpstr>
      <vt:lpstr>'03.18'!Область_печати</vt:lpstr>
      <vt:lpstr>'06.19'!Область_печати</vt:lpstr>
      <vt:lpstr>'08.19'!Область_печати</vt:lpstr>
      <vt:lpstr>'09.19'!Область_печати</vt:lpstr>
      <vt:lpstr>'10.19'!Область_печати</vt:lpstr>
      <vt:lpstr>'11.19'!Область_печати</vt:lpstr>
      <vt:lpstr>'12.19'!Область_печати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2020-02-18T08:36:13Z</cp:lastPrinted>
  <dcterms:created xsi:type="dcterms:W3CDTF">2016-03-25T08:33:47Z</dcterms:created>
  <dcterms:modified xsi:type="dcterms:W3CDTF">2020-02-18T08:57:00Z</dcterms:modified>
</cp:coreProperties>
</file>