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'01.20'!$I$12:$I$60</definedName>
    <definedName name="_xlnm._FilterDatabase" localSheetId="1" hidden="1">'02.20'!$I$12:$I$59</definedName>
    <definedName name="_xlnm._FilterDatabase" localSheetId="2" hidden="1">'03.20'!$I$12:$I$60</definedName>
    <definedName name="_xlnm._FilterDatabase" localSheetId="3" hidden="1">'04.20'!$I$12:$I$60</definedName>
    <definedName name="_xlnm._FilterDatabase" localSheetId="4" hidden="1">'05.20'!$I$12:$I$59</definedName>
    <definedName name="_xlnm._FilterDatabase" localSheetId="5" hidden="1">'06.20'!$I$12:$I$59</definedName>
    <definedName name="_xlnm._FilterDatabase" localSheetId="6" hidden="1">'07.20'!$I$12:$I$59</definedName>
    <definedName name="_xlnm._FilterDatabase" localSheetId="7" hidden="1">'08.20'!$I$12:$I$59</definedName>
    <definedName name="_xlnm._FilterDatabase" localSheetId="8" hidden="1">'09.20'!$I$12:$I$59</definedName>
    <definedName name="_xlnm._FilterDatabase" localSheetId="9" hidden="1">'10.20'!$I$12:$I$57</definedName>
    <definedName name="_xlnm._FilterDatabase" localSheetId="10" hidden="1">'11.20'!$I$12:$I$61</definedName>
    <definedName name="_xlnm._FilterDatabase" localSheetId="11" hidden="1">'12.20'!$I$12:$I$60</definedName>
    <definedName name="_xlnm.Print_Area" localSheetId="0">'01.20'!$A$1:$I$130</definedName>
    <definedName name="_xlnm.Print_Area" localSheetId="1">'02.20'!$A$1:$I$120</definedName>
    <definedName name="_xlnm.Print_Area" localSheetId="2">'03.20'!$A$1:$I$122</definedName>
    <definedName name="_xlnm.Print_Area" localSheetId="3">'04.20'!$A$1:$I$115</definedName>
    <definedName name="_xlnm.Print_Area" localSheetId="4">'05.20'!$A$1:$I$121</definedName>
    <definedName name="_xlnm.Print_Area" localSheetId="5">'06.20'!$A$1:$I$120</definedName>
    <definedName name="_xlnm.Print_Area" localSheetId="6">'07.20'!$A$1:$I$122</definedName>
    <definedName name="_xlnm.Print_Area" localSheetId="7">'08.20'!$A$1:$I$117</definedName>
    <definedName name="_xlnm.Print_Area" localSheetId="8">'09.20'!$A$1:$I$121</definedName>
    <definedName name="_xlnm.Print_Area" localSheetId="9">'10.20'!$A$1:$I$120</definedName>
  </definedNames>
  <calcPr calcId="124519"/>
</workbook>
</file>

<file path=xl/calcChain.xml><?xml version="1.0" encoding="utf-8"?>
<calcChain xmlns="http://schemas.openxmlformats.org/spreadsheetml/2006/main">
  <c r="I87" i="28"/>
  <c r="I99" l="1"/>
  <c r="I96"/>
  <c r="I95"/>
  <c r="I97"/>
  <c r="I98"/>
  <c r="I93"/>
  <c r="I92"/>
  <c r="I91"/>
  <c r="I90"/>
  <c r="I89"/>
  <c r="I38"/>
  <c r="I66" i="27" l="1"/>
  <c r="I89" s="1"/>
  <c r="I105"/>
  <c r="I104"/>
  <c r="I103"/>
  <c r="I102"/>
  <c r="I100"/>
  <c r="I99"/>
  <c r="I98"/>
  <c r="I95"/>
  <c r="I94"/>
  <c r="I93"/>
  <c r="I92"/>
  <c r="I91"/>
  <c r="I77"/>
  <c r="I44"/>
  <c r="I43"/>
  <c r="I97" i="26" l="1"/>
  <c r="I64"/>
  <c r="I96"/>
  <c r="I88"/>
  <c r="I91"/>
  <c r="I90"/>
  <c r="I93" i="24" l="1"/>
  <c r="I94" s="1"/>
  <c r="I65"/>
  <c r="I86" i="25"/>
  <c r="I98"/>
  <c r="I96"/>
  <c r="I94"/>
  <c r="I92"/>
  <c r="I91"/>
  <c r="I90"/>
  <c r="I88"/>
  <c r="I64"/>
  <c r="I64" i="22"/>
  <c r="I88" i="24"/>
  <c r="I92" l="1"/>
  <c r="I91"/>
  <c r="I96" i="23"/>
  <c r="I99"/>
  <c r="I98"/>
  <c r="I99" i="19" l="1"/>
  <c r="I98"/>
  <c r="I87" i="23" l="1"/>
  <c r="I94"/>
  <c r="I93"/>
  <c r="F93"/>
  <c r="I92"/>
  <c r="I91"/>
  <c r="I90"/>
  <c r="I89"/>
  <c r="I64"/>
  <c r="I24" i="22"/>
  <c r="I25"/>
  <c r="I21"/>
  <c r="I20"/>
  <c r="F25"/>
  <c r="F24"/>
  <c r="F23"/>
  <c r="F22"/>
  <c r="F21"/>
  <c r="F20"/>
  <c r="F19"/>
  <c r="I97"/>
  <c r="I96"/>
  <c r="I94"/>
  <c r="I90"/>
  <c r="I89"/>
  <c r="I92" i="20" l="1"/>
  <c r="I91"/>
  <c r="I98" i="21" l="1"/>
  <c r="I97"/>
  <c r="I96"/>
  <c r="I95"/>
  <c r="I94"/>
  <c r="I93"/>
  <c r="I92"/>
  <c r="I91"/>
  <c r="F91"/>
  <c r="I18"/>
  <c r="I86" l="1"/>
  <c r="I89"/>
  <c r="F88"/>
  <c r="I88" i="20" l="1"/>
  <c r="I37"/>
  <c r="I87" i="19"/>
  <c r="I94"/>
  <c r="I93"/>
  <c r="I92"/>
  <c r="I91"/>
  <c r="I89"/>
  <c r="I43"/>
  <c r="H43"/>
  <c r="F42"/>
  <c r="H42" s="1"/>
  <c r="I37"/>
  <c r="I42" l="1"/>
  <c r="I93" i="18" l="1"/>
  <c r="I37"/>
  <c r="I86" s="1"/>
  <c r="I97"/>
  <c r="I95"/>
  <c r="I94"/>
  <c r="I92"/>
  <c r="I91"/>
  <c r="I89"/>
  <c r="I88"/>
  <c r="I64"/>
  <c r="I42"/>
  <c r="F26"/>
  <c r="H26" s="1"/>
  <c r="F25"/>
  <c r="I25" s="1"/>
  <c r="F24"/>
  <c r="H24" s="1"/>
  <c r="F23"/>
  <c r="H23" s="1"/>
  <c r="F22"/>
  <c r="H22" s="1"/>
  <c r="H21"/>
  <c r="F21"/>
  <c r="I21" s="1"/>
  <c r="F20"/>
  <c r="H20" s="1"/>
  <c r="F19"/>
  <c r="H19" s="1"/>
  <c r="F18"/>
  <c r="I18" s="1"/>
  <c r="F17"/>
  <c r="H17" s="1"/>
  <c r="F16"/>
  <c r="I16" s="1"/>
  <c r="H16" l="1"/>
  <c r="H25"/>
  <c r="H18"/>
  <c r="I17"/>
  <c r="I20"/>
  <c r="I24"/>
  <c r="I26"/>
  <c r="I87" i="17" l="1"/>
  <c r="I65" l="1"/>
  <c r="I107"/>
  <c r="I106"/>
  <c r="I99"/>
  <c r="I98"/>
  <c r="I97"/>
  <c r="I96"/>
  <c r="I95"/>
  <c r="I94"/>
  <c r="I93"/>
  <c r="I92"/>
  <c r="I91"/>
  <c r="I90"/>
  <c r="I89"/>
  <c r="I37"/>
  <c r="I43" i="28" l="1"/>
  <c r="F26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F16"/>
  <c r="I16" s="1"/>
  <c r="H17" l="1"/>
  <c r="I17"/>
  <c r="H26"/>
  <c r="I26"/>
  <c r="H18"/>
  <c r="H21"/>
  <c r="H16"/>
  <c r="H25"/>
  <c r="I20"/>
  <c r="I24"/>
  <c r="I38" i="27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H18" s="1"/>
  <c r="F17"/>
  <c r="H17" s="1"/>
  <c r="F16"/>
  <c r="I16" s="1"/>
  <c r="I42" i="26"/>
  <c r="I75"/>
  <c r="I53"/>
  <c r="F32"/>
  <c r="H32" s="1"/>
  <c r="F31"/>
  <c r="I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16" i="27" l="1"/>
  <c r="H25"/>
  <c r="I18"/>
  <c r="H21"/>
  <c r="I17"/>
  <c r="I20"/>
  <c r="I24"/>
  <c r="I26"/>
  <c r="H18" i="26"/>
  <c r="H21"/>
  <c r="H29"/>
  <c r="I30"/>
  <c r="H31"/>
  <c r="I32"/>
  <c r="H16"/>
  <c r="H25"/>
  <c r="I17"/>
  <c r="I20"/>
  <c r="I24"/>
  <c r="I26"/>
  <c r="I60" i="24" l="1"/>
  <c r="F21" i="25" l="1"/>
  <c r="H21" s="1"/>
  <c r="F20"/>
  <c r="I20" s="1"/>
  <c r="F32"/>
  <c r="H32" s="1"/>
  <c r="F31"/>
  <c r="I31" s="1"/>
  <c r="F30"/>
  <c r="H30" s="1"/>
  <c r="F29"/>
  <c r="I29" s="1"/>
  <c r="I53"/>
  <c r="E85"/>
  <c r="F85" s="1"/>
  <c r="F84"/>
  <c r="H84" s="1"/>
  <c r="I76"/>
  <c r="F82"/>
  <c r="I82" s="1"/>
  <c r="F53"/>
  <c r="F51"/>
  <c r="F50"/>
  <c r="F49"/>
  <c r="F48"/>
  <c r="F47"/>
  <c r="F46"/>
  <c r="F45"/>
  <c r="I54"/>
  <c r="F26"/>
  <c r="H26" s="1"/>
  <c r="F25"/>
  <c r="I25" s="1"/>
  <c r="F24"/>
  <c r="H24" s="1"/>
  <c r="F23"/>
  <c r="H23" s="1"/>
  <c r="F22"/>
  <c r="H22" s="1"/>
  <c r="F19"/>
  <c r="H19" s="1"/>
  <c r="F18"/>
  <c r="I18" s="1"/>
  <c r="F17"/>
  <c r="H17" s="1"/>
  <c r="F16"/>
  <c r="I16" s="1"/>
  <c r="E87" i="24"/>
  <c r="F87" s="1"/>
  <c r="F86"/>
  <c r="H86" s="1"/>
  <c r="I84"/>
  <c r="F82"/>
  <c r="I82" s="1"/>
  <c r="H65"/>
  <c r="I54"/>
  <c r="F32"/>
  <c r="H32" s="1"/>
  <c r="F31"/>
  <c r="I31" s="1"/>
  <c r="F30"/>
  <c r="H30" s="1"/>
  <c r="F29"/>
  <c r="I29" s="1"/>
  <c r="I18" i="17"/>
  <c r="F26" i="24"/>
  <c r="H26" s="1"/>
  <c r="F25"/>
  <c r="I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H16" s="1"/>
  <c r="H20" i="25" l="1"/>
  <c r="I21"/>
  <c r="H29"/>
  <c r="I30"/>
  <c r="H31"/>
  <c r="I32"/>
  <c r="H85"/>
  <c r="I85"/>
  <c r="I84"/>
  <c r="H16"/>
  <c r="H18"/>
  <c r="I17"/>
  <c r="I24"/>
  <c r="H25"/>
  <c r="I26"/>
  <c r="H87" i="24"/>
  <c r="I87"/>
  <c r="I86"/>
  <c r="H17"/>
  <c r="H24"/>
  <c r="H20"/>
  <c r="H29"/>
  <c r="I30"/>
  <c r="H31"/>
  <c r="I32"/>
  <c r="I16"/>
  <c r="H18"/>
  <c r="H21"/>
  <c r="H25"/>
  <c r="I26"/>
  <c r="E86" i="23"/>
  <c r="F86" s="1"/>
  <c r="F85"/>
  <c r="H85" s="1"/>
  <c r="I79"/>
  <c r="I76"/>
  <c r="I75"/>
  <c r="F75"/>
  <c r="F73"/>
  <c r="I73" s="1"/>
  <c r="F70"/>
  <c r="F69"/>
  <c r="F68"/>
  <c r="F67"/>
  <c r="F66"/>
  <c r="I54"/>
  <c r="F32"/>
  <c r="H32" s="1"/>
  <c r="F31"/>
  <c r="I31" s="1"/>
  <c r="F30"/>
  <c r="H30" s="1"/>
  <c r="F29"/>
  <c r="I29" s="1"/>
  <c r="F26"/>
  <c r="H26" s="1"/>
  <c r="F25"/>
  <c r="I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F26" i="22"/>
  <c r="H26" s="1"/>
  <c r="H24"/>
  <c r="H20"/>
  <c r="F18"/>
  <c r="I18" s="1"/>
  <c r="F17"/>
  <c r="H17" s="1"/>
  <c r="F16"/>
  <c r="I16" s="1"/>
  <c r="F26" i="21"/>
  <c r="H26" s="1"/>
  <c r="F18"/>
  <c r="F17"/>
  <c r="I17" s="1"/>
  <c r="F16"/>
  <c r="H16" s="1"/>
  <c r="F26" i="20"/>
  <c r="H26" s="1"/>
  <c r="F25"/>
  <c r="I25" s="1"/>
  <c r="F24"/>
  <c r="H24" s="1"/>
  <c r="F23"/>
  <c r="H23" s="1"/>
  <c r="F22"/>
  <c r="H22" s="1"/>
  <c r="H21"/>
  <c r="F21"/>
  <c r="I21" s="1"/>
  <c r="F20"/>
  <c r="H20" s="1"/>
  <c r="F19"/>
  <c r="H19" s="1"/>
  <c r="H18"/>
  <c r="F18"/>
  <c r="I18" s="1"/>
  <c r="F17"/>
  <c r="H17" s="1"/>
  <c r="F16"/>
  <c r="I16" s="1"/>
  <c r="F26" i="19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6" i="17"/>
  <c r="E86" i="22"/>
  <c r="F86" s="1"/>
  <c r="F85"/>
  <c r="H85" s="1"/>
  <c r="I83"/>
  <c r="F81"/>
  <c r="I81" s="1"/>
  <c r="F70"/>
  <c r="F69"/>
  <c r="F68"/>
  <c r="F67"/>
  <c r="F66"/>
  <c r="I54"/>
  <c r="F32"/>
  <c r="I32" s="1"/>
  <c r="F31"/>
  <c r="I31" s="1"/>
  <c r="F30"/>
  <c r="I30" s="1"/>
  <c r="F29"/>
  <c r="I29" s="1"/>
  <c r="H19" l="1"/>
  <c r="I19"/>
  <c r="H23"/>
  <c r="I23"/>
  <c r="H22"/>
  <c r="I22"/>
  <c r="H18"/>
  <c r="H21"/>
  <c r="H18" i="21"/>
  <c r="H17"/>
  <c r="H16" i="20"/>
  <c r="H25"/>
  <c r="H86" i="23"/>
  <c r="I86"/>
  <c r="I85"/>
  <c r="H29"/>
  <c r="I30"/>
  <c r="H31"/>
  <c r="I32"/>
  <c r="H24"/>
  <c r="H17"/>
  <c r="H20"/>
  <c r="H16"/>
  <c r="H18"/>
  <c r="H21"/>
  <c r="H25"/>
  <c r="I26"/>
  <c r="H16" i="22"/>
  <c r="H25"/>
  <c r="I17"/>
  <c r="I87"/>
  <c r="I26"/>
  <c r="I26" i="21"/>
  <c r="I16"/>
  <c r="I17" i="20"/>
  <c r="I20"/>
  <c r="I24"/>
  <c r="I26"/>
  <c r="H16" i="19"/>
  <c r="I17"/>
  <c r="H18"/>
  <c r="I20"/>
  <c r="H21"/>
  <c r="I24"/>
  <c r="H25"/>
  <c r="I26"/>
  <c r="H29" i="22"/>
  <c r="H31"/>
  <c r="H86"/>
  <c r="I86"/>
  <c r="I85"/>
  <c r="H30"/>
  <c r="H32"/>
  <c r="I53" i="21"/>
  <c r="I76"/>
  <c r="E85"/>
  <c r="F85" s="1"/>
  <c r="F84"/>
  <c r="H84" s="1"/>
  <c r="I78"/>
  <c r="F73"/>
  <c r="I73" s="1"/>
  <c r="F70"/>
  <c r="F69"/>
  <c r="F68"/>
  <c r="F67"/>
  <c r="F66"/>
  <c r="F53"/>
  <c r="F51"/>
  <c r="F50"/>
  <c r="F49"/>
  <c r="F48"/>
  <c r="F47"/>
  <c r="F46"/>
  <c r="F45"/>
  <c r="I54"/>
  <c r="F32"/>
  <c r="F31"/>
  <c r="F30"/>
  <c r="F29"/>
  <c r="F25"/>
  <c r="I25" s="1"/>
  <c r="F24"/>
  <c r="I24" s="1"/>
  <c r="F23"/>
  <c r="F22"/>
  <c r="F21"/>
  <c r="I21" s="1"/>
  <c r="F20"/>
  <c r="I20" s="1"/>
  <c r="F19"/>
  <c r="I19" s="1"/>
  <c r="I53" i="18"/>
  <c r="H85" i="21" l="1"/>
  <c r="I85"/>
  <c r="I84"/>
  <c r="E87" i="20"/>
  <c r="F87" s="1"/>
  <c r="F86"/>
  <c r="H86" s="1"/>
  <c r="I80"/>
  <c r="F75"/>
  <c r="I75" s="1"/>
  <c r="F64"/>
  <c r="H64" s="1"/>
  <c r="F61"/>
  <c r="H61" s="1"/>
  <c r="I55"/>
  <c r="F44"/>
  <c r="I44" s="1"/>
  <c r="I43"/>
  <c r="H43"/>
  <c r="F42"/>
  <c r="H42" s="1"/>
  <c r="F41"/>
  <c r="I41" s="1"/>
  <c r="F40"/>
  <c r="H40" s="1"/>
  <c r="H39"/>
  <c r="F38"/>
  <c r="H38" s="1"/>
  <c r="H37"/>
  <c r="H87" l="1"/>
  <c r="I87"/>
  <c r="I86"/>
  <c r="I64"/>
  <c r="I61"/>
  <c r="I38"/>
  <c r="I40"/>
  <c r="H41"/>
  <c r="I42"/>
  <c r="F76" i="19" l="1"/>
  <c r="I76"/>
  <c r="E86" l="1"/>
  <c r="F86" s="1"/>
  <c r="F85"/>
  <c r="H85" s="1"/>
  <c r="I79"/>
  <c r="F74"/>
  <c r="I74" s="1"/>
  <c r="F63"/>
  <c r="F60"/>
  <c r="I55"/>
  <c r="F44"/>
  <c r="I44" s="1"/>
  <c r="F41"/>
  <c r="F40"/>
  <c r="F38"/>
  <c r="H86" l="1"/>
  <c r="I86"/>
  <c r="I85"/>
  <c r="F53" i="18"/>
  <c r="E85"/>
  <c r="F85" s="1"/>
  <c r="F84"/>
  <c r="I78"/>
  <c r="F73"/>
  <c r="I73" s="1"/>
  <c r="F59"/>
  <c r="I54"/>
  <c r="F49"/>
  <c r="F43"/>
  <c r="I43" s="1"/>
  <c r="F41"/>
  <c r="I41" s="1"/>
  <c r="F40"/>
  <c r="F39"/>
  <c r="F38"/>
  <c r="E86" i="17" l="1"/>
  <c r="F86" s="1"/>
  <c r="F85"/>
  <c r="I79"/>
  <c r="F74"/>
  <c r="I74" s="1"/>
  <c r="F60"/>
  <c r="I55"/>
  <c r="F50"/>
  <c r="F44"/>
  <c r="I44" s="1"/>
  <c r="F42"/>
  <c r="I42" s="1"/>
  <c r="F41"/>
  <c r="F39"/>
  <c r="F38"/>
  <c r="F18"/>
  <c r="F17"/>
  <c r="F16"/>
  <c r="I83" i="28" l="1"/>
  <c r="I54"/>
  <c r="E86"/>
  <c r="F86" s="1"/>
  <c r="F85"/>
  <c r="I79"/>
  <c r="F74"/>
  <c r="I74" s="1"/>
  <c r="I55"/>
  <c r="F54"/>
  <c r="F50"/>
  <c r="F44"/>
  <c r="I44" s="1"/>
  <c r="F42"/>
  <c r="I42" s="1"/>
  <c r="F41"/>
  <c r="I41" s="1"/>
  <c r="F40"/>
  <c r="I40" s="1"/>
  <c r="F39"/>
  <c r="E88" i="27" l="1"/>
  <c r="F88" s="1"/>
  <c r="H88" s="1"/>
  <c r="F87"/>
  <c r="H87" s="1"/>
  <c r="I81"/>
  <c r="H81"/>
  <c r="F75"/>
  <c r="I75" s="1"/>
  <c r="F64"/>
  <c r="I56"/>
  <c r="F45"/>
  <c r="I45" s="1"/>
  <c r="F43"/>
  <c r="F42"/>
  <c r="F41"/>
  <c r="F40"/>
  <c r="F39"/>
  <c r="F27"/>
  <c r="I87" l="1"/>
  <c r="I88"/>
  <c r="I51" i="26"/>
  <c r="I80"/>
  <c r="E87"/>
  <c r="F87" s="1"/>
  <c r="F86"/>
  <c r="F77"/>
  <c r="F73"/>
  <c r="I73" s="1"/>
  <c r="F70"/>
  <c r="F69"/>
  <c r="F68"/>
  <c r="F67"/>
  <c r="F66"/>
  <c r="F62"/>
  <c r="F57"/>
  <c r="F52"/>
  <c r="F50"/>
  <c r="I50" s="1"/>
  <c r="F49"/>
  <c r="I49" s="1"/>
  <c r="F48"/>
  <c r="F47"/>
  <c r="F46"/>
  <c r="F45"/>
  <c r="F44"/>
  <c r="F42"/>
  <c r="F40"/>
  <c r="F39"/>
  <c r="F38"/>
  <c r="F37"/>
  <c r="I57" i="18" l="1"/>
  <c r="I64" i="21"/>
  <c r="I75"/>
  <c r="I62"/>
  <c r="I52"/>
  <c r="I51"/>
  <c r="I50"/>
  <c r="H89" i="19" l="1"/>
  <c r="I65"/>
  <c r="H96" i="18"/>
  <c r="H95" l="1"/>
  <c r="H94"/>
  <c r="H93"/>
  <c r="H92"/>
  <c r="H91"/>
  <c r="H90"/>
  <c r="H89"/>
  <c r="H88"/>
  <c r="F62"/>
  <c r="H98" i="17"/>
  <c r="H97"/>
  <c r="H96"/>
  <c r="H95"/>
  <c r="H94"/>
  <c r="H93"/>
  <c r="H92"/>
  <c r="H91"/>
  <c r="H90"/>
  <c r="H89"/>
  <c r="F63"/>
  <c r="H63" s="1"/>
  <c r="I76" i="28" l="1"/>
  <c r="H85"/>
  <c r="H83"/>
  <c r="H81"/>
  <c r="H78"/>
  <c r="H77"/>
  <c r="H76"/>
  <c r="I72"/>
  <c r="H72"/>
  <c r="F71"/>
  <c r="H71" s="1"/>
  <c r="F70"/>
  <c r="I70" s="1"/>
  <c r="F69"/>
  <c r="H69" s="1"/>
  <c r="F68"/>
  <c r="I68" s="1"/>
  <c r="F67"/>
  <c r="H67" s="1"/>
  <c r="I66"/>
  <c r="H66"/>
  <c r="I65"/>
  <c r="H65"/>
  <c r="I63"/>
  <c r="I62"/>
  <c r="H62"/>
  <c r="F60"/>
  <c r="H60" s="1"/>
  <c r="I59"/>
  <c r="H59"/>
  <c r="F58"/>
  <c r="I58" s="1"/>
  <c r="H54"/>
  <c r="H53"/>
  <c r="F52"/>
  <c r="H52" s="1"/>
  <c r="F51"/>
  <c r="H51" s="1"/>
  <c r="H50"/>
  <c r="F49"/>
  <c r="H49" s="1"/>
  <c r="F48"/>
  <c r="H48" s="1"/>
  <c r="F47"/>
  <c r="H47" s="1"/>
  <c r="F46"/>
  <c r="H46" s="1"/>
  <c r="H43"/>
  <c r="H41"/>
  <c r="I39"/>
  <c r="H39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H85" i="27"/>
  <c r="H83"/>
  <c r="H80"/>
  <c r="H79"/>
  <c r="I78"/>
  <c r="H78"/>
  <c r="I73"/>
  <c r="H73"/>
  <c r="F72"/>
  <c r="I72" s="1"/>
  <c r="F71"/>
  <c r="H71" s="1"/>
  <c r="F70"/>
  <c r="I70" s="1"/>
  <c r="F69"/>
  <c r="H69" s="1"/>
  <c r="F68"/>
  <c r="I68" s="1"/>
  <c r="I67"/>
  <c r="H67"/>
  <c r="H66"/>
  <c r="H64"/>
  <c r="I63"/>
  <c r="H63"/>
  <c r="F61"/>
  <c r="I61" s="1"/>
  <c r="I60"/>
  <c r="H60"/>
  <c r="F59"/>
  <c r="H59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H44"/>
  <c r="H43"/>
  <c r="H42"/>
  <c r="H41"/>
  <c r="I40"/>
  <c r="I39"/>
  <c r="H39"/>
  <c r="H38"/>
  <c r="H36"/>
  <c r="H35"/>
  <c r="H34"/>
  <c r="F34"/>
  <c r="I34" s="1"/>
  <c r="F33"/>
  <c r="H33" s="1"/>
  <c r="F32"/>
  <c r="I32" s="1"/>
  <c r="F31"/>
  <c r="H31" s="1"/>
  <c r="F30"/>
  <c r="I30" s="1"/>
  <c r="H27"/>
  <c r="H68" i="28" l="1"/>
  <c r="H86"/>
  <c r="H87" s="1"/>
  <c r="I86"/>
  <c r="H27"/>
  <c r="I30"/>
  <c r="H31"/>
  <c r="I32"/>
  <c r="H33"/>
  <c r="H40"/>
  <c r="H42"/>
  <c r="I50"/>
  <c r="H58"/>
  <c r="I60"/>
  <c r="H63"/>
  <c r="I67"/>
  <c r="I69"/>
  <c r="H70"/>
  <c r="I71"/>
  <c r="I85"/>
  <c r="H40" i="27"/>
  <c r="H89"/>
  <c r="I27"/>
  <c r="H30"/>
  <c r="I31"/>
  <c r="H32"/>
  <c r="I33"/>
  <c r="I42"/>
  <c r="H51"/>
  <c r="I59"/>
  <c r="H61"/>
  <c r="I64"/>
  <c r="H68"/>
  <c r="I69"/>
  <c r="H70"/>
  <c r="I71"/>
  <c r="H72"/>
  <c r="I101" i="28" l="1"/>
  <c r="I107" i="27"/>
  <c r="H82" i="28"/>
  <c r="H84" i="27"/>
  <c r="H90" i="26" l="1"/>
  <c r="I78"/>
  <c r="H88" i="25" l="1"/>
  <c r="H91" i="24" l="1"/>
  <c r="H89" i="23"/>
  <c r="H89" i="22"/>
  <c r="H90" i="20"/>
  <c r="I77"/>
  <c r="I66"/>
  <c r="I53" i="19"/>
  <c r="I87" i="26" l="1"/>
  <c r="I86"/>
  <c r="H84"/>
  <c r="H82"/>
  <c r="H80"/>
  <c r="H79"/>
  <c r="H78"/>
  <c r="I71"/>
  <c r="H71"/>
  <c r="I70"/>
  <c r="I69"/>
  <c r="I68"/>
  <c r="I67"/>
  <c r="I66"/>
  <c r="I65"/>
  <c r="H65"/>
  <c r="H64"/>
  <c r="I62"/>
  <c r="I60"/>
  <c r="H60"/>
  <c r="I57"/>
  <c r="I56"/>
  <c r="H56"/>
  <c r="I52"/>
  <c r="H52"/>
  <c r="H51"/>
  <c r="H50"/>
  <c r="H49"/>
  <c r="I48"/>
  <c r="H47"/>
  <c r="H46"/>
  <c r="H45"/>
  <c r="H44"/>
  <c r="I41"/>
  <c r="H41"/>
  <c r="I40"/>
  <c r="I39"/>
  <c r="I38"/>
  <c r="I37"/>
  <c r="I36"/>
  <c r="H36"/>
  <c r="H34"/>
  <c r="H33"/>
  <c r="I99" l="1"/>
  <c r="H48"/>
  <c r="H66"/>
  <c r="H70"/>
  <c r="H68"/>
  <c r="H57"/>
  <c r="H39"/>
  <c r="H37"/>
  <c r="H38"/>
  <c r="H40"/>
  <c r="H62"/>
  <c r="H67"/>
  <c r="H69"/>
  <c r="H86"/>
  <c r="H87"/>
  <c r="H88" s="1"/>
  <c r="H83" l="1"/>
  <c r="I52" i="25" l="1"/>
  <c r="H80"/>
  <c r="H78"/>
  <c r="H75"/>
  <c r="H74"/>
  <c r="H73"/>
  <c r="I71"/>
  <c r="H71"/>
  <c r="F70"/>
  <c r="H70" s="1"/>
  <c r="F69"/>
  <c r="I69" s="1"/>
  <c r="F68"/>
  <c r="H68" s="1"/>
  <c r="F67"/>
  <c r="I67" s="1"/>
  <c r="F66"/>
  <c r="H66" s="1"/>
  <c r="I65"/>
  <c r="H65"/>
  <c r="H64"/>
  <c r="I62"/>
  <c r="I61"/>
  <c r="H61"/>
  <c r="F59"/>
  <c r="H59" s="1"/>
  <c r="I58"/>
  <c r="H58"/>
  <c r="F57"/>
  <c r="I57" s="1"/>
  <c r="H53"/>
  <c r="H52"/>
  <c r="I51"/>
  <c r="I50"/>
  <c r="H49"/>
  <c r="H48"/>
  <c r="H47"/>
  <c r="H46"/>
  <c r="H45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I74" i="24"/>
  <c r="H90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I63"/>
  <c r="I62"/>
  <c r="H62"/>
  <c r="F59"/>
  <c r="H59" s="1"/>
  <c r="I58"/>
  <c r="H58"/>
  <c r="F57"/>
  <c r="I57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H83" i="23"/>
  <c r="H81"/>
  <c r="H78"/>
  <c r="H77"/>
  <c r="H75"/>
  <c r="I71"/>
  <c r="H71"/>
  <c r="H70"/>
  <c r="I69"/>
  <c r="H68"/>
  <c r="I67"/>
  <c r="H66"/>
  <c r="I65"/>
  <c r="H65"/>
  <c r="H64"/>
  <c r="I62"/>
  <c r="I61"/>
  <c r="H61"/>
  <c r="F59"/>
  <c r="H59" s="1"/>
  <c r="I58"/>
  <c r="H58"/>
  <c r="F57"/>
  <c r="I57" s="1"/>
  <c r="I53"/>
  <c r="F53"/>
  <c r="H53" s="1"/>
  <c r="H52"/>
  <c r="F51"/>
  <c r="F50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H79" i="22"/>
  <c r="H77"/>
  <c r="H75"/>
  <c r="H74"/>
  <c r="H73"/>
  <c r="I71"/>
  <c r="H71"/>
  <c r="H70"/>
  <c r="I69"/>
  <c r="H68"/>
  <c r="I67"/>
  <c r="H66"/>
  <c r="I65"/>
  <c r="H65"/>
  <c r="H64"/>
  <c r="H62"/>
  <c r="I62"/>
  <c r="I61"/>
  <c r="H61"/>
  <c r="F59"/>
  <c r="H59" s="1"/>
  <c r="I58"/>
  <c r="H58"/>
  <c r="F57"/>
  <c r="I57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H82" i="21"/>
  <c r="H80"/>
  <c r="H77"/>
  <c r="H76"/>
  <c r="H75"/>
  <c r="I71"/>
  <c r="H71"/>
  <c r="H70"/>
  <c r="I69"/>
  <c r="H68"/>
  <c r="I67"/>
  <c r="H66"/>
  <c r="I65"/>
  <c r="H65"/>
  <c r="H64"/>
  <c r="F62"/>
  <c r="I61"/>
  <c r="H61"/>
  <c r="F59"/>
  <c r="H59" s="1"/>
  <c r="I58"/>
  <c r="H58"/>
  <c r="F57"/>
  <c r="I57" s="1"/>
  <c r="H53"/>
  <c r="H52"/>
  <c r="H51"/>
  <c r="H50"/>
  <c r="H49"/>
  <c r="H48"/>
  <c r="H47"/>
  <c r="H46"/>
  <c r="H45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I32"/>
  <c r="H31"/>
  <c r="I30"/>
  <c r="H29"/>
  <c r="H24"/>
  <c r="H23"/>
  <c r="H22"/>
  <c r="H20"/>
  <c r="H19"/>
  <c r="I84" i="20"/>
  <c r="H84"/>
  <c r="H82"/>
  <c r="H79"/>
  <c r="H78"/>
  <c r="H77"/>
  <c r="I73"/>
  <c r="H73"/>
  <c r="F72"/>
  <c r="H72" s="1"/>
  <c r="F71"/>
  <c r="I71" s="1"/>
  <c r="F70"/>
  <c r="H70" s="1"/>
  <c r="F69"/>
  <c r="I69" s="1"/>
  <c r="F68"/>
  <c r="H68" s="1"/>
  <c r="I67"/>
  <c r="H67"/>
  <c r="H66"/>
  <c r="I63"/>
  <c r="H63"/>
  <c r="F60"/>
  <c r="H60" s="1"/>
  <c r="I59"/>
  <c r="H59"/>
  <c r="F58"/>
  <c r="I58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35"/>
  <c r="H34"/>
  <c r="H33"/>
  <c r="F33"/>
  <c r="I33" s="1"/>
  <c r="F32"/>
  <c r="I32" s="1"/>
  <c r="F31"/>
  <c r="H31" s="1"/>
  <c r="F30"/>
  <c r="I30" s="1"/>
  <c r="F29"/>
  <c r="H29" s="1"/>
  <c r="H83" i="19"/>
  <c r="H81"/>
  <c r="H78"/>
  <c r="H77"/>
  <c r="H76"/>
  <c r="I72"/>
  <c r="H72"/>
  <c r="F71"/>
  <c r="H71" s="1"/>
  <c r="F70"/>
  <c r="I70" s="1"/>
  <c r="F69"/>
  <c r="H69" s="1"/>
  <c r="F68"/>
  <c r="I68" s="1"/>
  <c r="F67"/>
  <c r="H67" s="1"/>
  <c r="I66"/>
  <c r="H66"/>
  <c r="H65"/>
  <c r="I63"/>
  <c r="I62"/>
  <c r="H62"/>
  <c r="H60"/>
  <c r="I59"/>
  <c r="H59"/>
  <c r="F58"/>
  <c r="I58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1"/>
  <c r="I40"/>
  <c r="H39"/>
  <c r="I38"/>
  <c r="H38"/>
  <c r="H37"/>
  <c r="H35"/>
  <c r="H34"/>
  <c r="H33"/>
  <c r="F33"/>
  <c r="I33" s="1"/>
  <c r="F32"/>
  <c r="I32" s="1"/>
  <c r="F31"/>
  <c r="H31" s="1"/>
  <c r="F30"/>
  <c r="I30" s="1"/>
  <c r="F29"/>
  <c r="H29" s="1"/>
  <c r="H50" i="23" l="1"/>
  <c r="I50"/>
  <c r="H51"/>
  <c r="I51"/>
  <c r="H50" i="25"/>
  <c r="H51"/>
  <c r="H38"/>
  <c r="H62"/>
  <c r="I48"/>
  <c r="I46"/>
  <c r="I47"/>
  <c r="I45"/>
  <c r="H67"/>
  <c r="H69"/>
  <c r="H57"/>
  <c r="H40"/>
  <c r="H42"/>
  <c r="H86"/>
  <c r="I41"/>
  <c r="I49"/>
  <c r="I59"/>
  <c r="I66"/>
  <c r="I68"/>
  <c r="I70"/>
  <c r="H68" i="24"/>
  <c r="H88"/>
  <c r="H38"/>
  <c r="H40"/>
  <c r="I41"/>
  <c r="H42"/>
  <c r="I49"/>
  <c r="H57"/>
  <c r="I59"/>
  <c r="H63"/>
  <c r="I67"/>
  <c r="I69"/>
  <c r="H70"/>
  <c r="I71"/>
  <c r="H62" i="23"/>
  <c r="H87"/>
  <c r="H38"/>
  <c r="H40"/>
  <c r="I41"/>
  <c r="H42"/>
  <c r="I49"/>
  <c r="H57"/>
  <c r="I59"/>
  <c r="I66"/>
  <c r="H67"/>
  <c r="I68"/>
  <c r="H69"/>
  <c r="I70"/>
  <c r="H87" i="22"/>
  <c r="H38"/>
  <c r="H40"/>
  <c r="I41"/>
  <c r="H42"/>
  <c r="I49"/>
  <c r="H57"/>
  <c r="I59"/>
  <c r="I66"/>
  <c r="H67"/>
  <c r="I68"/>
  <c r="H69"/>
  <c r="I70"/>
  <c r="H62" i="21"/>
  <c r="I22"/>
  <c r="I45"/>
  <c r="I47"/>
  <c r="H21"/>
  <c r="H32"/>
  <c r="H38"/>
  <c r="I23"/>
  <c r="I48"/>
  <c r="I46"/>
  <c r="H67"/>
  <c r="H69"/>
  <c r="H57"/>
  <c r="H42"/>
  <c r="H40"/>
  <c r="H30"/>
  <c r="H25"/>
  <c r="H86"/>
  <c r="I29"/>
  <c r="I31"/>
  <c r="I41"/>
  <c r="I49"/>
  <c r="I59"/>
  <c r="I66"/>
  <c r="I68"/>
  <c r="I70"/>
  <c r="I51" i="20"/>
  <c r="I52"/>
  <c r="H69"/>
  <c r="H71"/>
  <c r="I29"/>
  <c r="H30"/>
  <c r="I31"/>
  <c r="H32"/>
  <c r="I50"/>
  <c r="H58"/>
  <c r="H83" s="1"/>
  <c r="I60"/>
  <c r="I68"/>
  <c r="I70"/>
  <c r="I72"/>
  <c r="H88"/>
  <c r="H70" i="19"/>
  <c r="H30"/>
  <c r="H40"/>
  <c r="H63"/>
  <c r="H68"/>
  <c r="H32"/>
  <c r="H58"/>
  <c r="H87"/>
  <c r="I29"/>
  <c r="I31"/>
  <c r="I41"/>
  <c r="I50"/>
  <c r="I60"/>
  <c r="I67"/>
  <c r="I69"/>
  <c r="I71"/>
  <c r="I100" i="25" l="1"/>
  <c r="I96" i="24"/>
  <c r="I101" i="23"/>
  <c r="I99" i="22"/>
  <c r="H81" i="21"/>
  <c r="I100"/>
  <c r="I101" i="19"/>
  <c r="H79" i="25"/>
  <c r="H79" i="24"/>
  <c r="H82" i="23"/>
  <c r="H78" i="22"/>
  <c r="I94" i="20"/>
  <c r="H82" i="19"/>
  <c r="I52" i="18" l="1"/>
  <c r="I85" l="1"/>
  <c r="I84"/>
  <c r="H82"/>
  <c r="H80"/>
  <c r="H77"/>
  <c r="H76"/>
  <c r="H75"/>
  <c r="I71"/>
  <c r="H71"/>
  <c r="F70"/>
  <c r="H70" s="1"/>
  <c r="F69"/>
  <c r="I69" s="1"/>
  <c r="F68"/>
  <c r="H68" s="1"/>
  <c r="F67"/>
  <c r="I67" s="1"/>
  <c r="F66"/>
  <c r="H66" s="1"/>
  <c r="I65"/>
  <c r="H65"/>
  <c r="H64"/>
  <c r="I62"/>
  <c r="I61"/>
  <c r="H61"/>
  <c r="H59"/>
  <c r="I58"/>
  <c r="H58"/>
  <c r="F57"/>
  <c r="H53"/>
  <c r="H52"/>
  <c r="F51"/>
  <c r="F50"/>
  <c r="H49"/>
  <c r="F48"/>
  <c r="H48" s="1"/>
  <c r="F47"/>
  <c r="H47" s="1"/>
  <c r="F46"/>
  <c r="H46" s="1"/>
  <c r="F45"/>
  <c r="H45" s="1"/>
  <c r="H42"/>
  <c r="H40"/>
  <c r="I39"/>
  <c r="I38"/>
  <c r="H37"/>
  <c r="H35"/>
  <c r="H34"/>
  <c r="H33"/>
  <c r="F33"/>
  <c r="I33" s="1"/>
  <c r="F32"/>
  <c r="I32" s="1"/>
  <c r="F31"/>
  <c r="H31" s="1"/>
  <c r="F30"/>
  <c r="I30" s="1"/>
  <c r="F29"/>
  <c r="H29" s="1"/>
  <c r="H50" l="1"/>
  <c r="I50"/>
  <c r="H62"/>
  <c r="H51"/>
  <c r="I51"/>
  <c r="I29"/>
  <c r="H30"/>
  <c r="I31"/>
  <c r="H32"/>
  <c r="H38"/>
  <c r="H39"/>
  <c r="I40"/>
  <c r="H41"/>
  <c r="I49"/>
  <c r="H57"/>
  <c r="I59"/>
  <c r="I66"/>
  <c r="H67"/>
  <c r="I68"/>
  <c r="H69"/>
  <c r="I70"/>
  <c r="H84"/>
  <c r="H85"/>
  <c r="H86" s="1"/>
  <c r="I72" i="17"/>
  <c r="I85"/>
  <c r="H83"/>
  <c r="H81"/>
  <c r="H78"/>
  <c r="H77"/>
  <c r="H76"/>
  <c r="H72"/>
  <c r="F71"/>
  <c r="H71" s="1"/>
  <c r="F70"/>
  <c r="H70" s="1"/>
  <c r="F69"/>
  <c r="H69" s="1"/>
  <c r="F68"/>
  <c r="H68" s="1"/>
  <c r="F67"/>
  <c r="H67" s="1"/>
  <c r="I66"/>
  <c r="H66"/>
  <c r="H65"/>
  <c r="I63"/>
  <c r="I62"/>
  <c r="H62"/>
  <c r="I59"/>
  <c r="H59"/>
  <c r="F58"/>
  <c r="I58" s="1"/>
  <c r="I54"/>
  <c r="F54"/>
  <c r="H54" s="1"/>
  <c r="H53"/>
  <c r="F52"/>
  <c r="H52" s="1"/>
  <c r="F51"/>
  <c r="H51" s="1"/>
  <c r="I50"/>
  <c r="F49"/>
  <c r="H49" s="1"/>
  <c r="F48"/>
  <c r="H48" s="1"/>
  <c r="F47"/>
  <c r="H47" s="1"/>
  <c r="F46"/>
  <c r="H46" s="1"/>
  <c r="H44"/>
  <c r="I43"/>
  <c r="I41"/>
  <c r="H40"/>
  <c r="I39"/>
  <c r="I38"/>
  <c r="H38"/>
  <c r="H37"/>
  <c r="H35"/>
  <c r="H34"/>
  <c r="I26"/>
  <c r="H33"/>
  <c r="F33"/>
  <c r="I33" s="1"/>
  <c r="F32"/>
  <c r="H32" s="1"/>
  <c r="F31"/>
  <c r="H31" s="1"/>
  <c r="F30"/>
  <c r="H30" s="1"/>
  <c r="F29"/>
  <c r="H29" s="1"/>
  <c r="F25"/>
  <c r="I25" s="1"/>
  <c r="F24"/>
  <c r="I24" s="1"/>
  <c r="F23"/>
  <c r="H23" s="1"/>
  <c r="F22"/>
  <c r="H22" s="1"/>
  <c r="F21"/>
  <c r="I21" s="1"/>
  <c r="F20"/>
  <c r="I20" s="1"/>
  <c r="F19"/>
  <c r="H19" s="1"/>
  <c r="I17"/>
  <c r="I16"/>
  <c r="I99" i="18" l="1"/>
  <c r="H60" i="17"/>
  <c r="I60"/>
  <c r="H81" i="18"/>
  <c r="I70" i="17"/>
  <c r="I68"/>
  <c r="I67"/>
  <c r="I71"/>
  <c r="I69"/>
  <c r="I29"/>
  <c r="I32"/>
  <c r="I31"/>
  <c r="I30"/>
  <c r="H43"/>
  <c r="H50"/>
  <c r="H17"/>
  <c r="H24"/>
  <c r="H39"/>
  <c r="H20"/>
  <c r="H41"/>
  <c r="H85"/>
  <c r="I86"/>
  <c r="H86"/>
  <c r="H87" s="1"/>
  <c r="H16"/>
  <c r="H18"/>
  <c r="H21"/>
  <c r="H25"/>
  <c r="H26"/>
  <c r="H42"/>
  <c r="H58"/>
  <c r="H82" s="1"/>
  <c r="I109" l="1"/>
</calcChain>
</file>

<file path=xl/sharedStrings.xml><?xml version="1.0" encoding="utf-8"?>
<sst xmlns="http://schemas.openxmlformats.org/spreadsheetml/2006/main" count="2902" uniqueCount="372">
  <si>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</si>
  <si>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</si>
  <si>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</si>
  <si>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</si>
  <si>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</si>
  <si>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</si>
  <si>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</si>
  <si>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</si>
  <si>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</si>
  <si>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</si>
  <si>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</si>
  <si>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</si>
  <si>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</si>
  <si>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</si>
  <si>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</si>
  <si>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</si>
  <si>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</si>
  <si>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</si>
  <si>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</si>
  <si>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</si>
  <si>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</si>
  <si>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</si>
  <si>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</si>
  <si>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</si>
  <si>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</si>
  <si>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</si>
  <si>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</si>
  <si>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</si>
  <si>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</si>
  <si>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</si>
  <si>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</si>
  <si>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</si>
  <si>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</si>
  <si>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</si>
  <si>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</si>
  <si>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</si>
  <si>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</si>
  <si>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</si>
  <si>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</si>
  <si>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</si>
  <si>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</si>
  <si>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</si>
  <si>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</si>
  <si>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</si>
  <si>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</si>
  <si>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</si>
  <si>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</si>
  <si>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</si>
  <si>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</si>
  <si>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</si>
  <si>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</si>
  <si>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</si>
  <si>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</si>
  <si>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</si>
  <si>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</si>
  <si>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</si>
  <si>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</si>
  <si>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</si>
  <si>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</si>
  <si>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</si>
  <si>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</si>
  <si>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</si>
  <si>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</si>
  <si>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</si>
  <si>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</si>
  <si>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</si>
  <si>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</si>
  <si>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</si>
  <si>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</si>
  <si>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</si>
  <si>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</si>
  <si>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</si>
  <si>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</si>
  <si>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</si>
  <si>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</si>
  <si>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</si>
  <si>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</si>
  <si>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</si>
  <si>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</si>
  <si>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</si>
  <si>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</si>
  <si>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</si>
  <si>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</si>
  <si>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</si>
  <si>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</si>
  <si>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</si>
  <si>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</si>
  <si>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</si>
  <si>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</si>
  <si>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</si>
  <si>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</si>
  <si>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</si>
  <si>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</si>
  <si>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</si>
  <si>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</si>
  <si>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</si>
  <si>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</si>
  <si>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</si>
  <si>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</si>
  <si>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</si>
  <si>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</si>
  <si>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</si>
  <si>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</si>
  <si>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</si>
  <si>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</si>
  <si>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</si>
  <si>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</si>
  <si>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</si>
  <si>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</si>
  <si>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</si>
  <si>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</si>
  <si>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</si>
  <si>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</si>
  <si>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</si>
  <si>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</si>
  <si>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</si>
  <si>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</si>
  <si>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</si>
  <si>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 xml:space="preserve">1 раз в месяц  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</si>
  <si>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</si>
  <si>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</si>
  <si>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Перекидывания снега и скола</t>
  </si>
  <si>
    <t>25 раз за сезон</t>
  </si>
  <si>
    <t>Вывоз снега с придомовой территории</t>
  </si>
  <si>
    <t>1м3</t>
  </si>
  <si>
    <t>50 раз за сезон</t>
  </si>
  <si>
    <t>Осмотр рулонной кровли</t>
  </si>
  <si>
    <t>Очистка края кровли от слежавшегося снега со сбрасыванием сосулек (козырьки)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</si>
  <si>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</si>
  <si>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</si>
  <si>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</si>
  <si>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</si>
  <si>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</si>
  <si>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ул.Строительная пгт.Ярега
</t>
  </si>
  <si>
    <t>генеральный директор Куканов Ю.Л.</t>
  </si>
  <si>
    <t>IV. Прочие услуги</t>
  </si>
  <si>
    <t>III. Содержание общего имущества МКД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</si>
  <si>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</si>
  <si>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</si>
  <si>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</si>
  <si>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</si>
  <si>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</si>
  <si>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</si>
  <si>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</si>
  <si>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1 шт</t>
  </si>
  <si>
    <t>5 раз в год</t>
  </si>
  <si>
    <t>Прочистка каналов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</si>
  <si>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</si>
  <si>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</si>
  <si>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</si>
  <si>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</si>
  <si>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</si>
  <si>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</si>
  <si>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</si>
  <si>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</si>
  <si>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</si>
  <si>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д.5</t>
    </r>
  </si>
  <si>
    <t>Итого затраты за месяц</t>
  </si>
  <si>
    <t>10 м2</t>
  </si>
  <si>
    <t>52 раза в сезон</t>
  </si>
  <si>
    <t>78 раз за сезон</t>
  </si>
  <si>
    <t>АКТ №11</t>
  </si>
  <si>
    <t>АКТ №12</t>
  </si>
  <si>
    <t>м</t>
  </si>
  <si>
    <t>Смена дверных приборов /замки навесные)</t>
  </si>
  <si>
    <t>ООО «Движение»</t>
  </si>
  <si>
    <t>Влажная протирка шкафов для шитов и слаботочных устройств</t>
  </si>
  <si>
    <t>по мере необходимости</t>
  </si>
  <si>
    <t>30 раз за сезон</t>
  </si>
  <si>
    <t>35 раз за сезон</t>
  </si>
  <si>
    <t>Очистка вручную от снега и наледи люков канализационных и водопроводных колодцев</t>
  </si>
  <si>
    <t>1 раз в месяц (5 раз за сезон)</t>
  </si>
  <si>
    <t>Осмотр маяков</t>
  </si>
  <si>
    <t>6 раз в год</t>
  </si>
  <si>
    <t>Работа автовышки</t>
  </si>
  <si>
    <t>маш-час</t>
  </si>
  <si>
    <t>Водоснабжение, канализация</t>
  </si>
  <si>
    <t>Техическое обслуживание внутренних сетей водопровода и канализации</t>
  </si>
  <si>
    <t>руб/м2 в мес</t>
  </si>
  <si>
    <t>Смена светодиодного светильника внутреннего освещения ( со стоимостью светильника)</t>
  </si>
  <si>
    <t>1шт</t>
  </si>
  <si>
    <t>Смена выключателей</t>
  </si>
  <si>
    <t>Смена светодиодного светильника наружного освещения</t>
  </si>
  <si>
    <t>Снятие показаний с общедомовых приборов учета электрической энергии и холодной воды</t>
  </si>
  <si>
    <t xml:space="preserve"> - прочистка каналов</t>
  </si>
  <si>
    <t>Работа ротенбергера</t>
  </si>
  <si>
    <t>час</t>
  </si>
  <si>
    <t>Смена арматуры - вентилей и клапанов обратных муфтовых диаметром до 20 мм ( без материалов)</t>
  </si>
  <si>
    <r>
      <t xml:space="preserve">    Собственники помещений в многоквартирном доме, расположенном по адресу: пгт.Ярега, ул.Строительная, д.5,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18.09.2018г.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</si>
  <si>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1шт.</t>
  </si>
  <si>
    <t>Смена арматуры - вентилей и клапанов обратных муфтовых диаметром до 20 мм</t>
  </si>
  <si>
    <t>Ремонт и регулировка доводчика (без стоимости доводчика)</t>
  </si>
  <si>
    <t xml:space="preserve">Осмотр водопроводов, канализации, отопления </t>
  </si>
  <si>
    <t>Организация 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</si>
  <si>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</si>
  <si>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</si>
  <si>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</si>
  <si>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</si>
  <si>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</si>
  <si>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</si>
  <si>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</si>
  <si>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7 раз</t>
  </si>
  <si>
    <t xml:space="preserve">2 раза </t>
  </si>
  <si>
    <t>1 раз</t>
  </si>
  <si>
    <t xml:space="preserve">1 раз </t>
  </si>
  <si>
    <t xml:space="preserve">1 раз  </t>
  </si>
  <si>
    <t xml:space="preserve">1 раз     </t>
  </si>
  <si>
    <t>Смена арматуры - вентилей и клапанов обратных муфтовых диаметром до 32 мм</t>
  </si>
  <si>
    <t>руб</t>
  </si>
  <si>
    <t>3 маш/час</t>
  </si>
  <si>
    <t>Отвод 50-90</t>
  </si>
  <si>
    <t>кв.95</t>
  </si>
  <si>
    <t>2 под.</t>
  </si>
  <si>
    <t>подвал</t>
  </si>
  <si>
    <t>за период с 01.01.2020 г. по 31.01.2020 г.</t>
  </si>
  <si>
    <t>Смена внутренних трубопроводв на полипропиленовые трубы PN 25 Dу 25</t>
  </si>
  <si>
    <t>Смена внутренних трубопроводв на полипропиленовые трубы PN 25 Dу 20</t>
  </si>
  <si>
    <t>Смена канализационный труб на полипропиленовые ПП 50*1000</t>
  </si>
  <si>
    <t>Смена полиэтиленовых канализационных труб диаметром до 50 мм (без стоимости креплений)</t>
  </si>
  <si>
    <t>Патрубок компенсационный 50</t>
  </si>
  <si>
    <t>Переход чугун - пластик 50</t>
  </si>
  <si>
    <t>Тройник 50</t>
  </si>
  <si>
    <t>Установка хомута диаметром до 50 мм</t>
  </si>
  <si>
    <t>ХВС подвал</t>
  </si>
  <si>
    <t>12 м ХВС с подвала до 46 кв.</t>
  </si>
  <si>
    <t>1 м ХВС с подвала до 46 кв</t>
  </si>
  <si>
    <t>ГВС кв.16</t>
  </si>
  <si>
    <t>ГВС кв 42; п/с кв.105;ГВС кв.32</t>
  </si>
  <si>
    <t>ГВС подсобка</t>
  </si>
  <si>
    <t>за период с 01.02.2020 г. по 28.02.2020 г.</t>
  </si>
  <si>
    <t>19 февраля</t>
  </si>
  <si>
    <t>4 раза</t>
  </si>
  <si>
    <t>Очистка канализационной сети внутренней</t>
  </si>
  <si>
    <t>кв.19</t>
  </si>
  <si>
    <t>под.№1</t>
  </si>
  <si>
    <t>под.№2 подвал</t>
  </si>
  <si>
    <t>кв.6</t>
  </si>
  <si>
    <t>ГВС кв 61;ГВС кв.83; сушилка кв.57</t>
  </si>
  <si>
    <t>10,18,20, 26 февраля</t>
  </si>
  <si>
    <t>за период с 01.03.2020 г. по 31.03.2020 г.</t>
  </si>
  <si>
    <t>3,13,17 марта</t>
  </si>
  <si>
    <t>25 марта</t>
  </si>
  <si>
    <t>Заменили "голову" на вентиле</t>
  </si>
  <si>
    <t>Ремонт дверного полотна</t>
  </si>
  <si>
    <t>Укрепление оконных и дверных приборов - пружин, ручек, петель, шпингалетов</t>
  </si>
  <si>
    <t>кв.53</t>
  </si>
  <si>
    <t>кв.93-1шт, п/с; кв.30 ГВС</t>
  </si>
  <si>
    <t>Осмотр электросетей, армазуры и электрооборудования на лестничных клетках</t>
  </si>
  <si>
    <t>за период с 01.04.2020 г. по 30.04.2020 г.</t>
  </si>
  <si>
    <t>за период с 01.05.2020 г. по 31.05.2020 г.</t>
  </si>
  <si>
    <t>3 под. черд.люк</t>
  </si>
  <si>
    <t>Прочистка аэратора на смесителе</t>
  </si>
  <si>
    <t>3м</t>
  </si>
  <si>
    <t>Смена канализационный труб на полипропиленовые ПП 100*1000</t>
  </si>
  <si>
    <t>Отвод 100-45</t>
  </si>
  <si>
    <t>Отвод 100-90</t>
  </si>
  <si>
    <t>Тройник 100</t>
  </si>
  <si>
    <t>Переход чугун - пластик 100</t>
  </si>
  <si>
    <t>под 4-м под.</t>
  </si>
  <si>
    <t>ГВС кв.112</t>
  </si>
  <si>
    <t>Установили ревизию</t>
  </si>
  <si>
    <t>на кан. лежак</t>
  </si>
  <si>
    <t>за период с 01.06.2020 г. по 30.06.2020 г.</t>
  </si>
  <si>
    <t xml:space="preserve">1 раз    </t>
  </si>
  <si>
    <t>Герметизация стыков трубопроводов</t>
  </si>
  <si>
    <t>1 место</t>
  </si>
  <si>
    <t>ливневка</t>
  </si>
  <si>
    <t>п/с кв.70-1 шт.;п/с кв.93 -1шт.</t>
  </si>
  <si>
    <t>Материалы для косм.ремонта в подъезде ( по заявлению)</t>
  </si>
  <si>
    <t>ГВС с 5эт. до 74 кв</t>
  </si>
  <si>
    <t>Демонтаж и монтаж сборки ХВС</t>
  </si>
  <si>
    <t>за период с 01.07.2020 г. по 31.07.2020 г.</t>
  </si>
  <si>
    <t>3 шт</t>
  </si>
  <si>
    <t>Прочистка фильтра</t>
  </si>
  <si>
    <t>ГВС  до 38 кв.-2 м</t>
  </si>
  <si>
    <t>ГВС чердак</t>
  </si>
  <si>
    <t>п/с кв.70</t>
  </si>
  <si>
    <t>кв.16</t>
  </si>
  <si>
    <t>ВДГО</t>
  </si>
  <si>
    <t>Внеплановая проверка вентканалов</t>
  </si>
  <si>
    <t>кв.77</t>
  </si>
  <si>
    <t>ГВС кв.51-1 шт.; ХВС кв.51-1 шт.; 1 шт. ГВС кв.28</t>
  </si>
  <si>
    <t>за период с 01.08.2020 г. по 31.08.2020 г.</t>
  </si>
  <si>
    <t>Смена ламп накаливания ( без материалов)</t>
  </si>
  <si>
    <t>10шт</t>
  </si>
  <si>
    <t>ГВС чердак 1 шт.</t>
  </si>
  <si>
    <t>3 раза</t>
  </si>
  <si>
    <t>за период с 01.09.2020 г. по 30.09.2020 г.</t>
  </si>
  <si>
    <t>Ремонт рулонной кровли</t>
  </si>
  <si>
    <t>Замена муфты</t>
  </si>
  <si>
    <t>Установка заглушек диаметром трубопроводов до 100 мм</t>
  </si>
  <si>
    <t>заглушка</t>
  </si>
  <si>
    <t>1 шт. ГВС чердак</t>
  </si>
  <si>
    <t>кан. под.3 под. 1 шт</t>
  </si>
  <si>
    <t>2 шт.кв.16</t>
  </si>
  <si>
    <t>с/о кв 6 1 шт; с/о 37 - 1 шт.;</t>
  </si>
  <si>
    <t>3 м2</t>
  </si>
  <si>
    <t>2 шт</t>
  </si>
  <si>
    <t>2 м к п/с кв.51; 1 м п/с кв.20; 2 м ГВС кв.16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</si>
  <si>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</si>
  <si>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ул.Строительная, д.5,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18.09.2018г.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</si>
  <si>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3 шт.ГВС кв.97</t>
  </si>
  <si>
    <t>байпас ГВС кв.97 2 м</t>
  </si>
  <si>
    <t>кв.8</t>
  </si>
  <si>
    <t>генеральный директор Кочанова И.Л.</t>
  </si>
  <si>
    <t>Регулировка освещения над подъездами</t>
  </si>
  <si>
    <t>за период с 01.11.2020 г. по 30.11.2020 г.</t>
  </si>
  <si>
    <r>
      <t xml:space="preserve">    Собственники помещений в многоквартирном доме, расположенном по адресу: пгт.Ярега, ул.Строительная, д.5,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18.09.2018г. стороны, и ООО «Движение», именуемое в дальнейшем "Исполнитель", в лице генерального директора Кочановой Ирины Леонидовны действующего на основании Устава, с другой стороны, совместно именуемые "Стороны", составили настоящий Акт о нижеследующем:</t>
    </r>
  </si>
  <si>
    <t>Сварочные раюота</t>
  </si>
  <si>
    <t>Смена полиэтиленовых канализационных труб диаметром до 50 мм</t>
  </si>
  <si>
    <t>Отвод 50-45</t>
  </si>
  <si>
    <t>Торф</t>
  </si>
  <si>
    <t>кг</t>
  </si>
  <si>
    <t>Закрытие продухов</t>
  </si>
  <si>
    <t>Работа гона</t>
  </si>
  <si>
    <t>маш/час</t>
  </si>
  <si>
    <t>0,5 часа ( засыпали яму в отмостке)</t>
  </si>
  <si>
    <t>2 шт. ГВС и ХВС кв.8</t>
  </si>
  <si>
    <t>кв.51</t>
  </si>
  <si>
    <t>10 шт.</t>
  </si>
  <si>
    <t>под.№5 тамбур</t>
  </si>
  <si>
    <t>1 шт. ХВС кв.66</t>
  </si>
  <si>
    <t>кв.8 -0,5 м</t>
  </si>
  <si>
    <t>под.№ 1</t>
  </si>
  <si>
    <t>за период с 01.12.2020 г. по 31.12.2020 г.</t>
  </si>
  <si>
    <t>0,8 ч ( 18 и 21 дек.)</t>
  </si>
  <si>
    <t>19 раз</t>
  </si>
  <si>
    <t>Отогрев ХВС+ трансформатор</t>
  </si>
  <si>
    <t>Утепление трубопроводов минеральной ватой</t>
  </si>
  <si>
    <t>I МЗ</t>
  </si>
  <si>
    <t>Установка циркуляционного насоса</t>
  </si>
  <si>
    <t>Сварочные работы</t>
  </si>
  <si>
    <t>Смена автомата на ток до 25А</t>
  </si>
  <si>
    <t>Смена отдельных участков наружной проводки</t>
  </si>
  <si>
    <t>ХВС в подвале</t>
  </si>
  <si>
    <t>2 шт.</t>
  </si>
  <si>
    <t>р/у под.№1</t>
  </si>
  <si>
    <t>с/о кв.6 - 1м; ГВС с чердака до кв.97 -6 м</t>
  </si>
  <si>
    <t>2. Всего за период с 01.01.2020 по 31.01.2020 выполнено работ (оказано услуг) на общую сумму: 141280,61 руб.</t>
  </si>
  <si>
    <t>(сто сорок одна тысяча двести восемьдесят рублей 61 копейка)</t>
  </si>
  <si>
    <t>12 м</t>
  </si>
  <si>
    <t>2. Всего за период с 01.02.2020 по 28.02.2020 выполнено работ (оказано услуг) на общую сумму: 123547,82 руб.</t>
  </si>
  <si>
    <t>(сто двадцать три тысячи пятьсот сорок семь рублей 82 копейки)</t>
  </si>
  <si>
    <t>9м</t>
  </si>
  <si>
    <t>Сборка канализационной трубы</t>
  </si>
  <si>
    <t>2. Всего за период с 01.03.2020 по 31.03.2020 выполнено работ (оказано услуг) на общую сумму: 149696,07 руб.</t>
  </si>
  <si>
    <t>(сто сорок девять тысяч шестьсот девяносто шесть рублей 07 копеек)</t>
  </si>
  <si>
    <t>22 м</t>
  </si>
  <si>
    <t>2. Всего за период с 01.04.2020 по 30.04.2020 выполнено работ (оказано услуг) на общую сумму: 110111,66 руб.</t>
  </si>
  <si>
    <t>(сто десять тысяч сто одиннадцать рублей 66 копеек)</t>
  </si>
  <si>
    <t>12м</t>
  </si>
  <si>
    <t>2. Всего за период с 01.05.2020 по 31.05.2020 выполнено работ (оказано услуг) на общую сумму: 153986,09 руб.</t>
  </si>
  <si>
    <t>(сто пятьдесят три рубля девятьсот восемьдесят шесть рублей 09 копеек)</t>
  </si>
  <si>
    <t>4 м</t>
  </si>
  <si>
    <t>2. Всего за период с 01.06.2020 по 30.06.2020 выполнено работ (оказано услуг) на общую сумму: 127973,95 руб.</t>
  </si>
  <si>
    <t>(сто двадцать семь тысяч девятьсот семьдесят три рубля 95 копеек)</t>
  </si>
  <si>
    <t>6м</t>
  </si>
  <si>
    <t>2. Всего за период с 01.07.2020 по 31.07.2020 выполнено работ (оказано услуг) на общую сумму: 296894,43 руб.</t>
  </si>
  <si>
    <t>(двести девяносто шесть тысяч восемьсот девяносто четыре рубля 43 копейки)</t>
  </si>
  <si>
    <t>2. Всего за период с 01.08.2020 по 31.08.2020 выполнено работ (оказано услуг) на общую сумму: 123024,21 руб.</t>
  </si>
  <si>
    <t>(сто двадцать три тысячи двадцать четыре рубля 21 копейка)</t>
  </si>
  <si>
    <t>35 м</t>
  </si>
  <si>
    <t>2. Всего за период с 01.09.2020 по 30.09.2020 выполнено работ (оказано услуг) на общую сумму: 151166,51 руб.</t>
  </si>
  <si>
    <t>(сто пятьдесят одна тысяча сто шестьдесят шесть рублей 51 копейка)</t>
  </si>
  <si>
    <t>20 м</t>
  </si>
  <si>
    <t>2. Всего за период с 01.10.2020 по 31.10.2020 выполнено работ (оказано услуг) на общую сумму: 121680,72 руб.</t>
  </si>
  <si>
    <t>(сто двадцать одна тысяча шестьсот восемьдесят рублей 72 копейки)</t>
  </si>
  <si>
    <t>14м</t>
  </si>
  <si>
    <t>2. Всего за период с 01.11.2020 по 30.11.2020 выполнено работ (оказано услуг) на общую сумму: 116754,30 руб.</t>
  </si>
  <si>
    <t>(сто шестнадцать тысяч семьсот пятьдесят четыре рубля 30 копеек)</t>
  </si>
  <si>
    <t>2. Всего за период с 01.12.2020 по 31.12.2020 выполнено работ (оказано услуг) на общую сумму: 133054,98 руб.</t>
  </si>
  <si>
    <t>(сто тридцать три тысячи пятьдесят четыре рубля 98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</si>
</sst>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20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/>
    </xf>
    <xf numFmtId="4" fontId="20" fillId="2" borderId="8" xfId="0" applyNumberFormat="1" applyFont="1" applyFill="1" applyBorder="1" applyAlignment="1">
      <alignment horizontal="center" vertical="center" wrapText="1"/>
    </xf>
    <xf numFmtId="4" fontId="20" fillId="2" borderId="8" xfId="0" applyNumberFormat="1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center" vertical="center"/>
    </xf>
    <xf numFmtId="4" fontId="20" fillId="2" borderId="11" xfId="0" applyNumberFormat="1" applyFont="1" applyFill="1" applyBorder="1" applyAlignment="1">
      <alignment horizontal="center" vertical="center" wrapText="1"/>
    </xf>
    <xf numFmtId="4" fontId="20" fillId="2" borderId="16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 wrapText="1"/>
    </xf>
    <xf numFmtId="4" fontId="20" fillId="2" borderId="1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/>
    </xf>
    <xf numFmtId="4" fontId="20" fillId="3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4" fontId="20" fillId="4" borderId="3" xfId="0" applyNumberFormat="1" applyFont="1" applyFill="1" applyBorder="1" applyAlignment="1">
      <alignment horizontal="center" vertical="center"/>
    </xf>
    <xf numFmtId="4" fontId="22" fillId="4" borderId="3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3" borderId="2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3" xfId="0" applyBorder="1"/>
    <xf numFmtId="0" fontId="0" fillId="0" borderId="0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0" fillId="0" borderId="10" xfId="0" applyBorder="1"/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0"/>
  <sheetViews>
    <sheetView topLeftCell="A99" workbookViewId="0">
      <selection activeCell="I119" sqref="I11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140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214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3">
        <v>43861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.7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6.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6.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6.5" customHeight="1">
      <c r="A18" s="32">
        <v>3</v>
      </c>
      <c r="B18" s="111" t="s">
        <v>116</v>
      </c>
      <c r="C18" s="112" t="s">
        <v>85</v>
      </c>
      <c r="D18" s="111" t="s">
        <v>203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hidden="1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31.5" hidden="1" customHeight="1">
      <c r="A29" s="32">
        <v>10</v>
      </c>
      <c r="B29" s="71" t="s">
        <v>104</v>
      </c>
      <c r="C29" s="72" t="s">
        <v>87</v>
      </c>
      <c r="D29" s="71" t="s">
        <v>101</v>
      </c>
      <c r="E29" s="74">
        <v>1168.05</v>
      </c>
      <c r="F29" s="74">
        <f>SUM(E29*52/1000)</f>
        <v>60.738599999999998</v>
      </c>
      <c r="G29" s="74">
        <v>155.88999999999999</v>
      </c>
      <c r="H29" s="75">
        <f t="shared" ref="H29:H35" si="1">SUM(F29*G29/1000)</f>
        <v>9.4685403539999982</v>
      </c>
      <c r="I29" s="13">
        <f>F29/6*G29</f>
        <v>1578.0900589999997</v>
      </c>
      <c r="J29" s="25"/>
      <c r="K29" s="8"/>
      <c r="L29" s="8"/>
      <c r="M29" s="8"/>
    </row>
    <row r="30" spans="1:13" ht="31.5" hidden="1" customHeight="1">
      <c r="A30" s="32">
        <v>11</v>
      </c>
      <c r="B30" s="71" t="s">
        <v>120</v>
      </c>
      <c r="C30" s="72" t="s">
        <v>87</v>
      </c>
      <c r="D30" s="71" t="s">
        <v>102</v>
      </c>
      <c r="E30" s="74">
        <v>1039.2</v>
      </c>
      <c r="F30" s="74">
        <f>SUM(E30*78/1000)</f>
        <v>81.057600000000008</v>
      </c>
      <c r="G30" s="74">
        <v>258.63</v>
      </c>
      <c r="H30" s="75">
        <f t="shared" si="1"/>
        <v>20.963927088000002</v>
      </c>
      <c r="I30" s="13">
        <f t="shared" ref="I30:I33" si="2">F30/6*G30</f>
        <v>3493.9878480000002</v>
      </c>
      <c r="J30" s="25"/>
      <c r="K30" s="8"/>
      <c r="L30" s="8"/>
      <c r="M30" s="8"/>
    </row>
    <row r="31" spans="1:13" ht="15.75" hidden="1" customHeight="1">
      <c r="A31" s="32">
        <v>16</v>
      </c>
      <c r="B31" s="71" t="s">
        <v>27</v>
      </c>
      <c r="C31" s="72" t="s">
        <v>87</v>
      </c>
      <c r="D31" s="71" t="s">
        <v>53</v>
      </c>
      <c r="E31" s="74">
        <v>584.03</v>
      </c>
      <c r="F31" s="74">
        <f>SUM(E31/1000)</f>
        <v>0.58402999999999994</v>
      </c>
      <c r="G31" s="74">
        <v>3020.33</v>
      </c>
      <c r="H31" s="75">
        <f t="shared" si="1"/>
        <v>1.7639633298999997</v>
      </c>
      <c r="I31" s="13">
        <f>F31*G31</f>
        <v>1763.9633298999997</v>
      </c>
      <c r="J31" s="25"/>
      <c r="K31" s="8"/>
      <c r="L31" s="8"/>
      <c r="M31" s="8"/>
    </row>
    <row r="32" spans="1:13" ht="15.75" hidden="1" customHeight="1">
      <c r="A32" s="32">
        <v>12</v>
      </c>
      <c r="B32" s="71" t="s">
        <v>119</v>
      </c>
      <c r="C32" s="72" t="s">
        <v>39</v>
      </c>
      <c r="D32" s="71" t="s">
        <v>62</v>
      </c>
      <c r="E32" s="74">
        <v>6</v>
      </c>
      <c r="F32" s="74">
        <f>E32*155/100</f>
        <v>9.3000000000000007</v>
      </c>
      <c r="G32" s="74">
        <v>1302.02</v>
      </c>
      <c r="H32" s="75">
        <f>G32*F32/1000</f>
        <v>12.108786</v>
      </c>
      <c r="I32" s="13">
        <f t="shared" si="2"/>
        <v>2018.1310000000001</v>
      </c>
      <c r="J32" s="25"/>
      <c r="K32" s="8"/>
      <c r="L32" s="8"/>
      <c r="M32" s="8"/>
    </row>
    <row r="33" spans="1:14" ht="15.75" hidden="1" customHeight="1">
      <c r="A33" s="32">
        <v>13</v>
      </c>
      <c r="B33" s="71" t="s">
        <v>103</v>
      </c>
      <c r="C33" s="72" t="s">
        <v>31</v>
      </c>
      <c r="D33" s="71" t="s">
        <v>62</v>
      </c>
      <c r="E33" s="78">
        <v>0.33333333333333331</v>
      </c>
      <c r="F33" s="74">
        <f>155/3</f>
        <v>51.666666666666664</v>
      </c>
      <c r="G33" s="74">
        <v>56.69</v>
      </c>
      <c r="H33" s="75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71" t="s">
        <v>63</v>
      </c>
      <c r="C34" s="72" t="s">
        <v>33</v>
      </c>
      <c r="D34" s="71" t="s">
        <v>65</v>
      </c>
      <c r="E34" s="73"/>
      <c r="F34" s="74">
        <v>4</v>
      </c>
      <c r="G34" s="74">
        <v>180.15</v>
      </c>
      <c r="H34" s="75">
        <f t="shared" si="1"/>
        <v>0.72060000000000002</v>
      </c>
      <c r="I34" s="13">
        <v>0</v>
      </c>
      <c r="J34" s="26"/>
    </row>
    <row r="35" spans="1:14" ht="15.75" hidden="1" customHeight="1">
      <c r="A35" s="32"/>
      <c r="B35" s="71" t="s">
        <v>64</v>
      </c>
      <c r="C35" s="72" t="s">
        <v>32</v>
      </c>
      <c r="D35" s="71" t="s">
        <v>65</v>
      </c>
      <c r="E35" s="73"/>
      <c r="F35" s="74">
        <v>3</v>
      </c>
      <c r="G35" s="74">
        <v>1136.33</v>
      </c>
      <c r="H35" s="75">
        <f t="shared" si="1"/>
        <v>3.4089899999999997</v>
      </c>
      <c r="I35" s="13">
        <v>0</v>
      </c>
      <c r="J35" s="26"/>
    </row>
    <row r="36" spans="1:14" ht="15.75" customHeight="1">
      <c r="A36" s="32"/>
      <c r="B36" s="92" t="s">
        <v>5</v>
      </c>
      <c r="C36" s="72"/>
      <c r="D36" s="71"/>
      <c r="E36" s="73"/>
      <c r="F36" s="74"/>
      <c r="G36" s="74"/>
      <c r="H36" s="75" t="s">
        <v>141</v>
      </c>
      <c r="I36" s="13"/>
      <c r="J36" s="26"/>
    </row>
    <row r="37" spans="1:14" ht="15.75" customHeight="1">
      <c r="A37" s="32">
        <v>5</v>
      </c>
      <c r="B37" s="158" t="s">
        <v>26</v>
      </c>
      <c r="C37" s="112" t="s">
        <v>32</v>
      </c>
      <c r="D37" s="111"/>
      <c r="E37" s="146"/>
      <c r="F37" s="147">
        <v>5</v>
      </c>
      <c r="G37" s="147">
        <v>2083</v>
      </c>
      <c r="H37" s="75">
        <f t="shared" ref="H37:H44" si="3">SUM(F37*G37/1000)</f>
        <v>10.414999999999999</v>
      </c>
      <c r="I37" s="13">
        <f>G37*0.6</f>
        <v>1249.8</v>
      </c>
      <c r="J37" s="26"/>
    </row>
    <row r="38" spans="1:14" ht="15.75" customHeight="1">
      <c r="A38" s="32">
        <v>6</v>
      </c>
      <c r="B38" s="158" t="s">
        <v>105</v>
      </c>
      <c r="C38" s="159" t="s">
        <v>29</v>
      </c>
      <c r="D38" s="111" t="s">
        <v>198</v>
      </c>
      <c r="E38" s="146">
        <v>153</v>
      </c>
      <c r="F38" s="160">
        <f>E38*30/1000</f>
        <v>4.59</v>
      </c>
      <c r="G38" s="147">
        <v>2868.09</v>
      </c>
      <c r="H38" s="75">
        <f>G38*F38/1000</f>
        <v>13.1645331</v>
      </c>
      <c r="I38" s="13">
        <f>F38/6*G38</f>
        <v>2194.0888500000001</v>
      </c>
      <c r="J38" s="26"/>
      <c r="L38" s="19"/>
      <c r="M38" s="20"/>
      <c r="N38" s="21"/>
    </row>
    <row r="39" spans="1:14" ht="15.75" customHeight="1">
      <c r="A39" s="32">
        <v>7</v>
      </c>
      <c r="B39" s="111" t="s">
        <v>66</v>
      </c>
      <c r="C39" s="112" t="s">
        <v>29</v>
      </c>
      <c r="D39" s="111" t="s">
        <v>199</v>
      </c>
      <c r="E39" s="147">
        <v>153</v>
      </c>
      <c r="F39" s="160">
        <f>SUM(E39*155/1000)</f>
        <v>23.715</v>
      </c>
      <c r="G39" s="147">
        <v>478.42</v>
      </c>
      <c r="H39" s="75">
        <f>G39*F39/1000</f>
        <v>11.345730300000001</v>
      </c>
      <c r="I39" s="13">
        <f>F39/6*G39</f>
        <v>1890.95505</v>
      </c>
      <c r="J39" s="26"/>
      <c r="L39" s="19"/>
      <c r="M39" s="20"/>
      <c r="N39" s="21"/>
    </row>
    <row r="40" spans="1:14" ht="15.75" hidden="1" customHeight="1">
      <c r="A40" s="32"/>
      <c r="B40" s="71" t="s">
        <v>123</v>
      </c>
      <c r="C40" s="72" t="s">
        <v>124</v>
      </c>
      <c r="D40" s="71" t="s">
        <v>65</v>
      </c>
      <c r="E40" s="73"/>
      <c r="F40" s="74">
        <v>50</v>
      </c>
      <c r="G40" s="74">
        <v>213.2</v>
      </c>
      <c r="H40" s="75">
        <f>G40*F40/1000</f>
        <v>10.66</v>
      </c>
      <c r="I40" s="13">
        <v>0</v>
      </c>
      <c r="J40" s="26"/>
      <c r="L40" s="19"/>
      <c r="M40" s="20"/>
      <c r="N40" s="21"/>
    </row>
    <row r="41" spans="1:14" ht="45.75" customHeight="1">
      <c r="A41" s="32">
        <v>8</v>
      </c>
      <c r="B41" s="111" t="s">
        <v>81</v>
      </c>
      <c r="C41" s="112" t="s">
        <v>87</v>
      </c>
      <c r="D41" s="111" t="s">
        <v>200</v>
      </c>
      <c r="E41" s="147">
        <v>25</v>
      </c>
      <c r="F41" s="160">
        <f>SUM(E41*35/1000)</f>
        <v>0.875</v>
      </c>
      <c r="G41" s="147">
        <v>7915.6</v>
      </c>
      <c r="H41" s="75">
        <f t="shared" si="3"/>
        <v>6.9261500000000007</v>
      </c>
      <c r="I41" s="13">
        <f>F41/6*G41</f>
        <v>1154.3583333333333</v>
      </c>
      <c r="J41" s="26"/>
      <c r="L41" s="19"/>
      <c r="M41" s="20"/>
      <c r="N41" s="21"/>
    </row>
    <row r="42" spans="1:14" ht="16.5" hidden="1" customHeight="1">
      <c r="A42" s="32">
        <v>9</v>
      </c>
      <c r="B42" s="111" t="s">
        <v>88</v>
      </c>
      <c r="C42" s="112" t="s">
        <v>87</v>
      </c>
      <c r="D42" s="111" t="s">
        <v>201</v>
      </c>
      <c r="E42" s="147">
        <v>153</v>
      </c>
      <c r="F42" s="160">
        <f>SUM(E42*45/1000)</f>
        <v>6.8849999999999998</v>
      </c>
      <c r="G42" s="147">
        <v>584.74</v>
      </c>
      <c r="H42" s="75">
        <f t="shared" si="3"/>
        <v>4.0259348999999993</v>
      </c>
      <c r="I42" s="13">
        <f>F42/7.5*G42</f>
        <v>536.79131999999993</v>
      </c>
      <c r="J42" s="26"/>
      <c r="L42" s="19"/>
      <c r="M42" s="20"/>
      <c r="N42" s="21"/>
    </row>
    <row r="43" spans="1:14" ht="15.75" hidden="1" customHeight="1">
      <c r="A43" s="32">
        <v>10</v>
      </c>
      <c r="B43" s="158" t="s">
        <v>68</v>
      </c>
      <c r="C43" s="159" t="s">
        <v>33</v>
      </c>
      <c r="D43" s="158"/>
      <c r="E43" s="149"/>
      <c r="F43" s="160">
        <v>0.9</v>
      </c>
      <c r="G43" s="160">
        <v>800</v>
      </c>
      <c r="H43" s="75">
        <f t="shared" si="3"/>
        <v>0.72</v>
      </c>
      <c r="I43" s="13">
        <f>F43/7.5*G43</f>
        <v>96.000000000000014</v>
      </c>
      <c r="J43" s="26"/>
      <c r="L43" s="19"/>
      <c r="M43" s="20"/>
      <c r="N43" s="21"/>
    </row>
    <row r="44" spans="1:14" ht="33" customHeight="1">
      <c r="A44" s="32">
        <v>9</v>
      </c>
      <c r="B44" s="158" t="s">
        <v>170</v>
      </c>
      <c r="C44" s="159" t="s">
        <v>29</v>
      </c>
      <c r="D44" s="158" t="s">
        <v>202</v>
      </c>
      <c r="E44" s="149">
        <v>4.2</v>
      </c>
      <c r="F44" s="160">
        <f>E44*12/1000</f>
        <v>5.0400000000000007E-2</v>
      </c>
      <c r="G44" s="160">
        <v>270.61</v>
      </c>
      <c r="H44" s="75">
        <f t="shared" si="3"/>
        <v>1.3638744000000003E-2</v>
      </c>
      <c r="I44" s="13">
        <f>F44/6*G44</f>
        <v>2.2731240000000006</v>
      </c>
      <c r="J44" s="26"/>
      <c r="L44" s="19"/>
      <c r="M44" s="20"/>
      <c r="N44" s="21"/>
    </row>
    <row r="45" spans="1:14" ht="15" customHeight="1">
      <c r="A45" s="215" t="s">
        <v>137</v>
      </c>
      <c r="B45" s="216"/>
      <c r="C45" s="216"/>
      <c r="D45" s="216"/>
      <c r="E45" s="216"/>
      <c r="F45" s="216"/>
      <c r="G45" s="216"/>
      <c r="H45" s="216"/>
      <c r="I45" s="217"/>
      <c r="J45" s="26"/>
      <c r="L45" s="19"/>
      <c r="M45" s="20"/>
      <c r="N45" s="21"/>
    </row>
    <row r="46" spans="1:14" ht="15.75" hidden="1" customHeight="1">
      <c r="A46" s="32"/>
      <c r="B46" s="71" t="s">
        <v>126</v>
      </c>
      <c r="C46" s="72" t="s">
        <v>87</v>
      </c>
      <c r="D46" s="71" t="s">
        <v>42</v>
      </c>
      <c r="E46" s="73">
        <v>1895</v>
      </c>
      <c r="F46" s="74">
        <f>SUM(E46*2/1000)</f>
        <v>3.79</v>
      </c>
      <c r="G46" s="13">
        <v>849.49</v>
      </c>
      <c r="H46" s="75">
        <f t="shared" ref="H46:H54" si="4">SUM(F46*G46/1000)</f>
        <v>3.2195671000000003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34</v>
      </c>
      <c r="C47" s="72" t="s">
        <v>87</v>
      </c>
      <c r="D47" s="71" t="s">
        <v>42</v>
      </c>
      <c r="E47" s="73">
        <v>118.2</v>
      </c>
      <c r="F47" s="74">
        <f>E47*2/1000</f>
        <v>0.2364</v>
      </c>
      <c r="G47" s="13">
        <v>579.48</v>
      </c>
      <c r="H47" s="75">
        <f t="shared" si="4"/>
        <v>0.13698907199999999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35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579.48</v>
      </c>
      <c r="H48" s="75">
        <f t="shared" si="4"/>
        <v>5.4181379999999999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1" t="s">
        <v>36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606.77</v>
      </c>
      <c r="H49" s="75">
        <f t="shared" si="4"/>
        <v>5.6732994999999988</v>
      </c>
      <c r="I49" s="13">
        <v>0</v>
      </c>
      <c r="J49" s="26"/>
      <c r="L49" s="19"/>
      <c r="M49" s="20"/>
      <c r="N49" s="21"/>
    </row>
    <row r="50" spans="1:22" ht="15.75" customHeight="1">
      <c r="A50" s="32">
        <v>10</v>
      </c>
      <c r="B50" s="111" t="s">
        <v>55</v>
      </c>
      <c r="C50" s="112" t="s">
        <v>87</v>
      </c>
      <c r="D50" s="111" t="s">
        <v>203</v>
      </c>
      <c r="E50" s="146">
        <v>3988</v>
      </c>
      <c r="F50" s="147">
        <f>SUM(E50*5/1000)</f>
        <v>19.940000000000001</v>
      </c>
      <c r="G50" s="36">
        <v>1655.27</v>
      </c>
      <c r="H50" s="75">
        <f t="shared" si="4"/>
        <v>33.006083799999999</v>
      </c>
      <c r="I50" s="13">
        <f>F50/5*G50</f>
        <v>6601.2167600000002</v>
      </c>
      <c r="J50" s="26"/>
      <c r="L50" s="19"/>
      <c r="M50" s="20"/>
      <c r="N50" s="21"/>
    </row>
    <row r="51" spans="1:22" ht="31.5" hidden="1" customHeight="1">
      <c r="A51" s="32"/>
      <c r="B51" s="71" t="s">
        <v>89</v>
      </c>
      <c r="C51" s="72" t="s">
        <v>87</v>
      </c>
      <c r="D51" s="71" t="s">
        <v>42</v>
      </c>
      <c r="E51" s="73">
        <v>3988</v>
      </c>
      <c r="F51" s="74">
        <f>SUM(E51*2/1000)</f>
        <v>7.976</v>
      </c>
      <c r="G51" s="13">
        <v>1213.55</v>
      </c>
      <c r="H51" s="75">
        <f t="shared" si="4"/>
        <v>9.6792748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71" t="s">
        <v>90</v>
      </c>
      <c r="C52" s="72" t="s">
        <v>37</v>
      </c>
      <c r="D52" s="71" t="s">
        <v>42</v>
      </c>
      <c r="E52" s="73">
        <v>30</v>
      </c>
      <c r="F52" s="74">
        <f>SUM(E52*2/100)</f>
        <v>0.6</v>
      </c>
      <c r="G52" s="13">
        <v>2730.49</v>
      </c>
      <c r="H52" s="75">
        <f>SUM(F52*G52/1000)</f>
        <v>1.6382939999999999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71" t="s">
        <v>38</v>
      </c>
      <c r="C53" s="72" t="s">
        <v>39</v>
      </c>
      <c r="D53" s="71" t="s">
        <v>42</v>
      </c>
      <c r="E53" s="73">
        <v>1</v>
      </c>
      <c r="F53" s="74">
        <v>0.02</v>
      </c>
      <c r="G53" s="13">
        <v>5652.13</v>
      </c>
      <c r="H53" s="75">
        <f t="shared" si="4"/>
        <v>0.11304260000000001</v>
      </c>
      <c r="I53" s="13">
        <v>0</v>
      </c>
      <c r="J53" s="26"/>
      <c r="L53" s="19"/>
      <c r="M53" s="20"/>
      <c r="N53" s="21"/>
    </row>
    <row r="54" spans="1:22" ht="18.75" hidden="1" customHeight="1">
      <c r="A54" s="32">
        <v>18</v>
      </c>
      <c r="B54" s="71" t="s">
        <v>41</v>
      </c>
      <c r="C54" s="72" t="s">
        <v>106</v>
      </c>
      <c r="D54" s="71" t="s">
        <v>69</v>
      </c>
      <c r="E54" s="73">
        <v>236</v>
      </c>
      <c r="F54" s="74">
        <f>SUM(E54)*3</f>
        <v>708</v>
      </c>
      <c r="G54" s="13">
        <v>65.67</v>
      </c>
      <c r="H54" s="75">
        <f t="shared" si="4"/>
        <v>46.49436</v>
      </c>
      <c r="I54" s="13">
        <f>E54*G54</f>
        <v>15498.12</v>
      </c>
      <c r="J54" s="26"/>
      <c r="L54" s="19"/>
      <c r="M54" s="20"/>
      <c r="N54" s="21"/>
    </row>
    <row r="55" spans="1:22" ht="18.75" customHeight="1">
      <c r="A55" s="119">
        <v>11</v>
      </c>
      <c r="B55" s="111" t="s">
        <v>172</v>
      </c>
      <c r="C55" s="112" t="s">
        <v>106</v>
      </c>
      <c r="D55" s="111" t="s">
        <v>204</v>
      </c>
      <c r="E55" s="146">
        <v>5</v>
      </c>
      <c r="F55" s="147">
        <v>60</v>
      </c>
      <c r="G55" s="152">
        <v>903.71</v>
      </c>
      <c r="H55" s="66"/>
      <c r="I55" s="120">
        <f>G55*F55/12</f>
        <v>4518.55</v>
      </c>
      <c r="J55" s="26"/>
      <c r="L55" s="19"/>
      <c r="M55" s="20"/>
      <c r="N55" s="21"/>
    </row>
    <row r="56" spans="1:22" ht="15.75" customHeight="1">
      <c r="A56" s="215" t="s">
        <v>138</v>
      </c>
      <c r="B56" s="216"/>
      <c r="C56" s="216"/>
      <c r="D56" s="216"/>
      <c r="E56" s="216"/>
      <c r="F56" s="216"/>
      <c r="G56" s="216"/>
      <c r="H56" s="216"/>
      <c r="I56" s="217"/>
      <c r="J56" s="26"/>
      <c r="L56" s="19"/>
      <c r="M56" s="20"/>
      <c r="N56" s="21"/>
    </row>
    <row r="57" spans="1:22" ht="15.75" hidden="1" customHeight="1">
      <c r="A57" s="32"/>
      <c r="B57" s="92" t="s">
        <v>43</v>
      </c>
      <c r="C57" s="72"/>
      <c r="D57" s="71"/>
      <c r="E57" s="73"/>
      <c r="F57" s="74"/>
      <c r="G57" s="74"/>
      <c r="H57" s="75"/>
      <c r="I57" s="13"/>
      <c r="J57" s="26"/>
      <c r="L57" s="19"/>
      <c r="M57" s="20"/>
      <c r="N57" s="21"/>
    </row>
    <row r="58" spans="1:22" ht="31.5" hidden="1" customHeight="1">
      <c r="A58" s="32">
        <v>18</v>
      </c>
      <c r="B58" s="71" t="s">
        <v>127</v>
      </c>
      <c r="C58" s="72" t="s">
        <v>85</v>
      </c>
      <c r="D58" s="71" t="s">
        <v>107</v>
      </c>
      <c r="E58" s="73">
        <v>30</v>
      </c>
      <c r="F58" s="74">
        <f>SUM(E58*6/100)</f>
        <v>1.8</v>
      </c>
      <c r="G58" s="13">
        <v>1547.28</v>
      </c>
      <c r="H58" s="75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19</v>
      </c>
      <c r="B59" s="80" t="s">
        <v>128</v>
      </c>
      <c r="C59" s="81" t="s">
        <v>129</v>
      </c>
      <c r="D59" s="80" t="s">
        <v>42</v>
      </c>
      <c r="E59" s="82">
        <v>6</v>
      </c>
      <c r="F59" s="83">
        <v>12</v>
      </c>
      <c r="G59" s="13">
        <v>180.78</v>
      </c>
      <c r="H59" s="84">
        <f>G59*F59/1000</f>
        <v>2.1693600000000002</v>
      </c>
      <c r="I59" s="13">
        <f>F59/2*G59</f>
        <v>1084.68</v>
      </c>
    </row>
    <row r="60" spans="1:22" ht="15.75" hidden="1" customHeight="1">
      <c r="A60" s="32">
        <v>14</v>
      </c>
      <c r="B60" s="105" t="s">
        <v>130</v>
      </c>
      <c r="C60" s="106" t="s">
        <v>52</v>
      </c>
      <c r="D60" s="105" t="s">
        <v>203</v>
      </c>
      <c r="E60" s="107">
        <v>6</v>
      </c>
      <c r="F60" s="110">
        <f>E60*6/100</f>
        <v>0.36</v>
      </c>
      <c r="G60" s="36">
        <v>2110.4699999999998</v>
      </c>
      <c r="H60" s="84">
        <f>G60*F60/1000</f>
        <v>0.75976919999999992</v>
      </c>
      <c r="I60" s="13">
        <f>F60/4*G60</f>
        <v>189.94229999999999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8.75" customHeight="1">
      <c r="A63" s="32">
        <v>12</v>
      </c>
      <c r="B63" s="105" t="s">
        <v>132</v>
      </c>
      <c r="C63" s="106" t="s">
        <v>25</v>
      </c>
      <c r="D63" s="105" t="s">
        <v>204</v>
      </c>
      <c r="E63" s="107">
        <v>200</v>
      </c>
      <c r="F63" s="108">
        <f>E63*12</f>
        <v>2400</v>
      </c>
      <c r="G63" s="109">
        <v>1.4</v>
      </c>
      <c r="H63" s="110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93" t="s">
        <v>45</v>
      </c>
      <c r="C64" s="81"/>
      <c r="D64" s="80"/>
      <c r="E64" s="82"/>
      <c r="F64" s="85"/>
      <c r="G64" s="85"/>
      <c r="H64" s="83" t="s">
        <v>141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13</v>
      </c>
      <c r="B65" s="14" t="s">
        <v>46</v>
      </c>
      <c r="C65" s="16" t="s">
        <v>106</v>
      </c>
      <c r="D65" s="71" t="s">
        <v>65</v>
      </c>
      <c r="E65" s="18">
        <v>15</v>
      </c>
      <c r="F65" s="74">
        <v>15</v>
      </c>
      <c r="G65" s="125">
        <v>303.35000000000002</v>
      </c>
      <c r="H65" s="86">
        <f t="shared" ref="H65:H81" si="5">SUM(F65*G65/1000)</f>
        <v>4.5502500000000001</v>
      </c>
      <c r="I65" s="13">
        <f>G65*2</f>
        <v>606.70000000000005</v>
      </c>
      <c r="J65" s="5"/>
      <c r="K65" s="5"/>
      <c r="L65" s="5"/>
      <c r="M65" s="5"/>
      <c r="N65" s="5"/>
      <c r="O65" s="5"/>
      <c r="P65" s="5"/>
      <c r="Q65" s="5"/>
      <c r="R65" s="218"/>
      <c r="S65" s="218"/>
      <c r="T65" s="218"/>
      <c r="U65" s="218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5"/>
        <v>2.4733800000000001</v>
      </c>
      <c r="I71" s="13">
        <f t="shared" si="6"/>
        <v>2473.38</v>
      </c>
    </row>
    <row r="72" spans="1:21" ht="22.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5"/>
        <v>0.24940000000000001</v>
      </c>
      <c r="I72" s="13">
        <f t="shared" si="6"/>
        <v>249.4</v>
      </c>
    </row>
    <row r="73" spans="1:21" ht="22.5" customHeight="1">
      <c r="A73" s="32"/>
      <c r="B73" s="173" t="s">
        <v>176</v>
      </c>
      <c r="C73" s="154"/>
      <c r="D73" s="39"/>
      <c r="E73" s="17"/>
      <c r="F73" s="109"/>
      <c r="G73" s="36"/>
      <c r="H73" s="86"/>
      <c r="I73" s="13"/>
    </row>
    <row r="74" spans="1:21" ht="27.75" customHeight="1">
      <c r="A74" s="32">
        <v>14</v>
      </c>
      <c r="B74" s="39" t="s">
        <v>177</v>
      </c>
      <c r="C74" s="156" t="s">
        <v>178</v>
      </c>
      <c r="D74" s="39"/>
      <c r="E74" s="17">
        <v>6980.3</v>
      </c>
      <c r="F74" s="36">
        <f>E74*12</f>
        <v>83763.600000000006</v>
      </c>
      <c r="G74" s="36">
        <v>2.37</v>
      </c>
      <c r="H74" s="86"/>
      <c r="I74" s="13">
        <f>G74*F74/12</f>
        <v>16543.311000000002</v>
      </c>
    </row>
    <row r="75" spans="1:21" ht="14.25" customHeight="1">
      <c r="A75" s="32"/>
      <c r="B75" s="172" t="s">
        <v>70</v>
      </c>
      <c r="C75" s="16"/>
      <c r="D75" s="14"/>
      <c r="E75" s="18"/>
      <c r="F75" s="13"/>
      <c r="G75" s="13"/>
      <c r="H75" s="86" t="s">
        <v>141</v>
      </c>
      <c r="I75" s="13"/>
    </row>
    <row r="76" spans="1:21" ht="23.25" hidden="1" customHeight="1">
      <c r="A76" s="32"/>
      <c r="B76" s="14" t="s">
        <v>71</v>
      </c>
      <c r="C76" s="16" t="s">
        <v>73</v>
      </c>
      <c r="D76" s="14"/>
      <c r="E76" s="18">
        <v>10</v>
      </c>
      <c r="F76" s="13">
        <v>1</v>
      </c>
      <c r="G76" s="13">
        <v>501.62</v>
      </c>
      <c r="H76" s="86">
        <f t="shared" si="5"/>
        <v>0.50161999999999995</v>
      </c>
      <c r="I76" s="13">
        <v>0</v>
      </c>
    </row>
    <row r="77" spans="1:21" ht="23.25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22.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28.5" customHeight="1">
      <c r="A79" s="32">
        <v>15</v>
      </c>
      <c r="B79" s="39" t="s">
        <v>183</v>
      </c>
      <c r="C79" s="154" t="s">
        <v>106</v>
      </c>
      <c r="D79" s="39" t="s">
        <v>204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22.5" hidden="1" customHeight="1">
      <c r="A80" s="32"/>
      <c r="B80" s="89" t="s">
        <v>74</v>
      </c>
      <c r="C80" s="16"/>
      <c r="D80" s="14"/>
      <c r="E80" s="18"/>
      <c r="F80" s="13"/>
      <c r="G80" s="13" t="s">
        <v>141</v>
      </c>
      <c r="H80" s="86" t="s">
        <v>141</v>
      </c>
      <c r="I80" s="13"/>
    </row>
    <row r="81" spans="1:9" ht="25.5" hidden="1" customHeight="1">
      <c r="A81" s="32"/>
      <c r="B81" s="47" t="s">
        <v>146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5"/>
        <v>3.311328</v>
      </c>
      <c r="I81" s="13">
        <v>0</v>
      </c>
    </row>
    <row r="82" spans="1:9" ht="27.75" hidden="1" customHeight="1">
      <c r="A82" s="32"/>
      <c r="B82" s="65" t="s">
        <v>91</v>
      </c>
      <c r="C82" s="65"/>
      <c r="D82" s="65"/>
      <c r="E82" s="65"/>
      <c r="F82" s="65"/>
      <c r="G82" s="77"/>
      <c r="H82" s="90">
        <f>SUM(H58:H81)</f>
        <v>190.40011605999999</v>
      </c>
      <c r="I82" s="77"/>
    </row>
    <row r="83" spans="1:9" ht="23.25" hidden="1" customHeight="1">
      <c r="A83" s="32"/>
      <c r="B83" s="94" t="s">
        <v>112</v>
      </c>
      <c r="C83" s="23"/>
      <c r="D83" s="22"/>
      <c r="E83" s="67"/>
      <c r="F83" s="95">
        <v>1</v>
      </c>
      <c r="G83" s="13">
        <v>23072.1</v>
      </c>
      <c r="H83" s="86">
        <f>G83*F83/1000</f>
        <v>23.072099999999999</v>
      </c>
      <c r="I83" s="13">
        <v>0</v>
      </c>
    </row>
    <row r="84" spans="1:9" ht="15.75" customHeight="1">
      <c r="A84" s="219" t="s">
        <v>139</v>
      </c>
      <c r="B84" s="220"/>
      <c r="C84" s="220"/>
      <c r="D84" s="220"/>
      <c r="E84" s="220"/>
      <c r="F84" s="220"/>
      <c r="G84" s="220"/>
      <c r="H84" s="220"/>
      <c r="I84" s="221"/>
    </row>
    <row r="85" spans="1:9" ht="15.75" customHeight="1">
      <c r="A85" s="32">
        <v>16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17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I86+I85+I79+I74+I65+I63+I55+I50+I44+I41+I39+I38+I37+I26+I18+I17+I16</f>
        <v>116519.59138733333</v>
      </c>
    </row>
    <row r="88" spans="1:9" ht="15.75" customHeight="1">
      <c r="A88" s="230" t="s">
        <v>59</v>
      </c>
      <c r="B88" s="231"/>
      <c r="C88" s="231"/>
      <c r="D88" s="231"/>
      <c r="E88" s="231"/>
      <c r="F88" s="231"/>
      <c r="G88" s="231"/>
      <c r="H88" s="231"/>
      <c r="I88" s="232"/>
    </row>
    <row r="89" spans="1:9" ht="31.5" customHeight="1">
      <c r="A89" s="32">
        <v>18</v>
      </c>
      <c r="B89" s="51" t="s">
        <v>187</v>
      </c>
      <c r="C89" s="52" t="s">
        <v>144</v>
      </c>
      <c r="D89" s="197" t="s">
        <v>226</v>
      </c>
      <c r="E89" s="198"/>
      <c r="F89" s="198">
        <v>1</v>
      </c>
      <c r="G89" s="198">
        <v>587.65</v>
      </c>
      <c r="H89" s="86">
        <f t="shared" ref="H89:H98" si="7">G89*F89/1000</f>
        <v>0.58765000000000001</v>
      </c>
      <c r="I89" s="13">
        <f t="shared" ref="I89:I100" si="8">G89*F89</f>
        <v>587.65</v>
      </c>
    </row>
    <row r="90" spans="1:9" ht="31.5" customHeight="1">
      <c r="A90" s="32">
        <v>19</v>
      </c>
      <c r="B90" s="51" t="s">
        <v>207</v>
      </c>
      <c r="C90" s="52" t="s">
        <v>144</v>
      </c>
      <c r="D90" s="197" t="s">
        <v>223</v>
      </c>
      <c r="E90" s="198"/>
      <c r="F90" s="198">
        <v>1</v>
      </c>
      <c r="G90" s="198">
        <v>913.43</v>
      </c>
      <c r="H90" s="86">
        <f t="shared" si="7"/>
        <v>0.91342999999999996</v>
      </c>
      <c r="I90" s="13">
        <f t="shared" si="8"/>
        <v>913.43</v>
      </c>
    </row>
    <row r="91" spans="1:9" ht="29.25" customHeight="1">
      <c r="A91" s="32">
        <v>20</v>
      </c>
      <c r="B91" s="51" t="s">
        <v>215</v>
      </c>
      <c r="C91" s="52" t="s">
        <v>163</v>
      </c>
      <c r="D91" s="199" t="s">
        <v>224</v>
      </c>
      <c r="E91" s="198"/>
      <c r="F91" s="198">
        <v>12</v>
      </c>
      <c r="G91" s="198">
        <v>1523.6</v>
      </c>
      <c r="H91" s="86">
        <f t="shared" si="7"/>
        <v>18.283199999999997</v>
      </c>
      <c r="I91" s="13">
        <f t="shared" si="8"/>
        <v>18283.199999999997</v>
      </c>
    </row>
    <row r="92" spans="1:9" ht="31.5" customHeight="1">
      <c r="A92" s="32">
        <v>21</v>
      </c>
      <c r="B92" s="51" t="s">
        <v>216</v>
      </c>
      <c r="C92" s="52" t="s">
        <v>163</v>
      </c>
      <c r="D92" s="199" t="s">
        <v>225</v>
      </c>
      <c r="E92" s="198"/>
      <c r="F92" s="198">
        <v>1</v>
      </c>
      <c r="G92" s="198">
        <v>1421.68</v>
      </c>
      <c r="H92" s="86">
        <f t="shared" si="7"/>
        <v>1.4216800000000001</v>
      </c>
      <c r="I92" s="13">
        <f t="shared" si="8"/>
        <v>1421.68</v>
      </c>
    </row>
    <row r="93" spans="1:9" ht="32.25" customHeight="1">
      <c r="A93" s="32">
        <v>22</v>
      </c>
      <c r="B93" s="51" t="s">
        <v>217</v>
      </c>
      <c r="C93" s="52" t="s">
        <v>106</v>
      </c>
      <c r="D93" s="197" t="s">
        <v>211</v>
      </c>
      <c r="E93" s="198"/>
      <c r="F93" s="198">
        <v>2</v>
      </c>
      <c r="G93" s="198">
        <v>764.83</v>
      </c>
      <c r="H93" s="86">
        <f t="shared" si="7"/>
        <v>1.52966</v>
      </c>
      <c r="I93" s="13">
        <f t="shared" si="8"/>
        <v>1529.66</v>
      </c>
    </row>
    <row r="94" spans="1:9" ht="32.25" customHeight="1">
      <c r="A94" s="32">
        <v>23</v>
      </c>
      <c r="B94" s="51" t="s">
        <v>218</v>
      </c>
      <c r="C94" s="52" t="s">
        <v>79</v>
      </c>
      <c r="D94" s="197" t="s">
        <v>211</v>
      </c>
      <c r="E94" s="198"/>
      <c r="F94" s="198">
        <v>0.5</v>
      </c>
      <c r="G94" s="198">
        <v>796</v>
      </c>
      <c r="H94" s="86">
        <f t="shared" si="7"/>
        <v>0.39800000000000002</v>
      </c>
      <c r="I94" s="91">
        <f t="shared" si="8"/>
        <v>398</v>
      </c>
    </row>
    <row r="95" spans="1:9" ht="31.5" customHeight="1">
      <c r="A95" s="32">
        <v>24</v>
      </c>
      <c r="B95" s="51" t="s">
        <v>210</v>
      </c>
      <c r="C95" s="52" t="s">
        <v>106</v>
      </c>
      <c r="D95" s="197"/>
      <c r="E95" s="198"/>
      <c r="F95" s="198">
        <v>1</v>
      </c>
      <c r="G95" s="198">
        <v>22</v>
      </c>
      <c r="H95" s="86">
        <f t="shared" si="7"/>
        <v>2.1999999999999999E-2</v>
      </c>
      <c r="I95" s="13">
        <f t="shared" si="8"/>
        <v>22</v>
      </c>
    </row>
    <row r="96" spans="1:9" ht="15.75" customHeight="1">
      <c r="A96" s="32">
        <v>25</v>
      </c>
      <c r="B96" s="51" t="s">
        <v>219</v>
      </c>
      <c r="C96" s="52" t="s">
        <v>106</v>
      </c>
      <c r="D96" s="197"/>
      <c r="E96" s="198"/>
      <c r="F96" s="198">
        <v>1</v>
      </c>
      <c r="G96" s="198">
        <v>49</v>
      </c>
      <c r="H96" s="86">
        <f t="shared" si="7"/>
        <v>4.9000000000000002E-2</v>
      </c>
      <c r="I96" s="91">
        <f t="shared" si="8"/>
        <v>49</v>
      </c>
    </row>
    <row r="97" spans="1:9" ht="15.75" customHeight="1">
      <c r="A97" s="32">
        <v>26</v>
      </c>
      <c r="B97" s="51" t="s">
        <v>220</v>
      </c>
      <c r="C97" s="52" t="s">
        <v>106</v>
      </c>
      <c r="D97" s="197"/>
      <c r="E97" s="198"/>
      <c r="F97" s="198">
        <v>1</v>
      </c>
      <c r="G97" s="198">
        <v>86</v>
      </c>
      <c r="H97" s="86">
        <f t="shared" si="7"/>
        <v>8.5999999999999993E-2</v>
      </c>
      <c r="I97" s="91">
        <f t="shared" si="8"/>
        <v>86</v>
      </c>
    </row>
    <row r="98" spans="1:9" ht="16.5" customHeight="1">
      <c r="A98" s="32">
        <v>27</v>
      </c>
      <c r="B98" s="51" t="s">
        <v>221</v>
      </c>
      <c r="C98" s="52" t="s">
        <v>106</v>
      </c>
      <c r="D98" s="197"/>
      <c r="E98" s="198"/>
      <c r="F98" s="198">
        <v>1</v>
      </c>
      <c r="G98" s="198">
        <v>132</v>
      </c>
      <c r="H98" s="86">
        <f t="shared" si="7"/>
        <v>0.13200000000000001</v>
      </c>
      <c r="I98" s="13">
        <f t="shared" si="8"/>
        <v>132</v>
      </c>
    </row>
    <row r="99" spans="1:9" ht="35.25" customHeight="1">
      <c r="A99" s="32">
        <v>28</v>
      </c>
      <c r="B99" s="51" t="s">
        <v>222</v>
      </c>
      <c r="C99" s="52" t="s">
        <v>82</v>
      </c>
      <c r="D99" s="199" t="s">
        <v>227</v>
      </c>
      <c r="E99" s="198"/>
      <c r="F99" s="198">
        <v>3</v>
      </c>
      <c r="G99" s="198">
        <v>222.63</v>
      </c>
      <c r="H99" s="86"/>
      <c r="I99" s="13">
        <f t="shared" si="8"/>
        <v>667.89</v>
      </c>
    </row>
    <row r="100" spans="1:9" ht="16.5" customHeight="1">
      <c r="A100" s="32">
        <v>29</v>
      </c>
      <c r="B100" s="51" t="s">
        <v>192</v>
      </c>
      <c r="C100" s="52" t="s">
        <v>39</v>
      </c>
      <c r="D100" s="197" t="s">
        <v>203</v>
      </c>
      <c r="E100" s="198"/>
      <c r="F100" s="198">
        <v>0.01</v>
      </c>
      <c r="G100" s="198">
        <v>27139.18</v>
      </c>
      <c r="H100" s="86"/>
      <c r="I100" s="13">
        <v>0</v>
      </c>
    </row>
    <row r="101" spans="1:9" ht="16.5" hidden="1" customHeight="1">
      <c r="A101" s="32"/>
      <c r="B101" s="113"/>
      <c r="C101" s="52"/>
      <c r="D101" s="16"/>
      <c r="E101" s="13"/>
      <c r="F101" s="13"/>
      <c r="G101" s="36"/>
      <c r="H101" s="86"/>
      <c r="I101" s="13"/>
    </row>
    <row r="102" spans="1:9" ht="16.5" hidden="1" customHeight="1">
      <c r="A102" s="32"/>
      <c r="B102" s="113"/>
      <c r="C102" s="52"/>
      <c r="D102" s="16"/>
      <c r="E102" s="13"/>
      <c r="F102" s="13"/>
      <c r="G102" s="36"/>
      <c r="H102" s="86"/>
      <c r="I102" s="13"/>
    </row>
    <row r="103" spans="1:9" ht="16.5" hidden="1" customHeight="1">
      <c r="A103" s="32"/>
      <c r="B103" s="113"/>
      <c r="C103" s="52"/>
      <c r="D103" s="16"/>
      <c r="E103" s="13"/>
      <c r="F103" s="13"/>
      <c r="G103" s="36"/>
      <c r="H103" s="86"/>
      <c r="I103" s="13"/>
    </row>
    <row r="104" spans="1:9" ht="16.5" hidden="1" customHeight="1">
      <c r="A104" s="32"/>
      <c r="B104" s="113"/>
      <c r="C104" s="52"/>
      <c r="D104" s="16"/>
      <c r="E104" s="13"/>
      <c r="F104" s="13"/>
      <c r="G104" s="36"/>
      <c r="H104" s="86"/>
      <c r="I104" s="13"/>
    </row>
    <row r="105" spans="1:9" ht="16.5" hidden="1" customHeight="1">
      <c r="A105" s="32"/>
      <c r="B105" s="113"/>
      <c r="C105" s="52"/>
      <c r="D105" s="16"/>
      <c r="E105" s="13"/>
      <c r="F105" s="13"/>
      <c r="G105" s="36"/>
      <c r="H105" s="86"/>
      <c r="I105" s="13"/>
    </row>
    <row r="106" spans="1:9" ht="32.25" customHeight="1">
      <c r="A106" s="32">
        <v>30</v>
      </c>
      <c r="B106" s="51" t="s">
        <v>190</v>
      </c>
      <c r="C106" s="52" t="s">
        <v>144</v>
      </c>
      <c r="D106" s="197" t="s">
        <v>228</v>
      </c>
      <c r="E106" s="198"/>
      <c r="F106" s="198">
        <v>1</v>
      </c>
      <c r="G106" s="198">
        <v>670.51</v>
      </c>
      <c r="H106" s="86"/>
      <c r="I106" s="13">
        <f>G106*1</f>
        <v>670.51</v>
      </c>
    </row>
    <row r="107" spans="1:9" ht="15.75" customHeight="1">
      <c r="A107" s="32"/>
      <c r="B107" s="45" t="s">
        <v>51</v>
      </c>
      <c r="C107" s="41"/>
      <c r="D107" s="48"/>
      <c r="E107" s="41">
        <v>1</v>
      </c>
      <c r="F107" s="41"/>
      <c r="G107" s="41"/>
      <c r="H107" s="41"/>
      <c r="I107" s="34">
        <f>SUM(I89:I106)</f>
        <v>24761.019999999997</v>
      </c>
    </row>
    <row r="108" spans="1:9">
      <c r="A108" s="32"/>
      <c r="B108" s="47" t="s">
        <v>77</v>
      </c>
      <c r="C108" s="15"/>
      <c r="D108" s="15"/>
      <c r="E108" s="42"/>
      <c r="F108" s="42"/>
      <c r="G108" s="43"/>
      <c r="H108" s="43"/>
      <c r="I108" s="17">
        <v>0</v>
      </c>
    </row>
    <row r="109" spans="1:9">
      <c r="A109" s="49"/>
      <c r="B109" s="46" t="s">
        <v>157</v>
      </c>
      <c r="C109" s="35"/>
      <c r="D109" s="35"/>
      <c r="E109" s="35"/>
      <c r="F109" s="35"/>
      <c r="G109" s="35"/>
      <c r="H109" s="35"/>
      <c r="I109" s="44">
        <f>I87+I107</f>
        <v>141280.61138733334</v>
      </c>
    </row>
    <row r="110" spans="1:9" ht="15.75">
      <c r="A110" s="222" t="s">
        <v>338</v>
      </c>
      <c r="B110" s="222"/>
      <c r="C110" s="222"/>
      <c r="D110" s="222"/>
      <c r="E110" s="222"/>
      <c r="F110" s="222"/>
      <c r="G110" s="222"/>
      <c r="H110" s="222"/>
      <c r="I110" s="222"/>
    </row>
    <row r="111" spans="1:9" ht="15.75" customHeight="1">
      <c r="A111" s="58"/>
      <c r="B111" s="223" t="s">
        <v>339</v>
      </c>
      <c r="C111" s="223"/>
      <c r="D111" s="223"/>
      <c r="E111" s="223"/>
      <c r="F111" s="223"/>
      <c r="G111" s="223"/>
      <c r="H111" s="70"/>
      <c r="I111" s="3"/>
    </row>
    <row r="112" spans="1:9">
      <c r="A112" s="55"/>
      <c r="B112" s="224" t="s">
        <v>6</v>
      </c>
      <c r="C112" s="224"/>
      <c r="D112" s="224"/>
      <c r="E112" s="224"/>
      <c r="F112" s="224"/>
      <c r="G112" s="224"/>
      <c r="H112" s="27"/>
      <c r="I112" s="5"/>
    </row>
    <row r="113" spans="1:9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>
      <c r="A114" s="225" t="s">
        <v>7</v>
      </c>
      <c r="B114" s="225"/>
      <c r="C114" s="225"/>
      <c r="D114" s="225"/>
      <c r="E114" s="225"/>
      <c r="F114" s="225"/>
      <c r="G114" s="225"/>
      <c r="H114" s="225"/>
      <c r="I114" s="225"/>
    </row>
    <row r="115" spans="1:9" ht="15.75">
      <c r="A115" s="225" t="s">
        <v>8</v>
      </c>
      <c r="B115" s="225"/>
      <c r="C115" s="225"/>
      <c r="D115" s="225"/>
      <c r="E115" s="225"/>
      <c r="F115" s="225"/>
      <c r="G115" s="225"/>
      <c r="H115" s="225"/>
      <c r="I115" s="225"/>
    </row>
    <row r="116" spans="1:9" ht="15.75">
      <c r="A116" s="226" t="s">
        <v>60</v>
      </c>
      <c r="B116" s="226"/>
      <c r="C116" s="226"/>
      <c r="D116" s="226"/>
      <c r="E116" s="226"/>
      <c r="F116" s="226"/>
      <c r="G116" s="226"/>
      <c r="H116" s="226"/>
      <c r="I116" s="226"/>
    </row>
    <row r="117" spans="1:9" ht="15.75">
      <c r="A117" s="11"/>
    </row>
    <row r="118" spans="1:9" ht="15.75">
      <c r="A118" s="227" t="s">
        <v>9</v>
      </c>
      <c r="B118" s="227"/>
      <c r="C118" s="227"/>
      <c r="D118" s="227"/>
      <c r="E118" s="227"/>
      <c r="F118" s="227"/>
      <c r="G118" s="227"/>
      <c r="H118" s="227"/>
      <c r="I118" s="227"/>
    </row>
    <row r="119" spans="1:9" ht="15.75" customHeight="1">
      <c r="A119" s="4"/>
    </row>
    <row r="120" spans="1:9" ht="15.75" customHeight="1">
      <c r="B120" s="56" t="s">
        <v>10</v>
      </c>
      <c r="C120" s="228" t="s">
        <v>134</v>
      </c>
      <c r="D120" s="228"/>
      <c r="E120" s="228"/>
      <c r="F120" s="68"/>
      <c r="I120" s="54"/>
    </row>
    <row r="121" spans="1:9" ht="15.75" customHeight="1">
      <c r="A121" s="55"/>
      <c r="C121" s="224" t="s">
        <v>11</v>
      </c>
      <c r="D121" s="224"/>
      <c r="E121" s="224"/>
      <c r="F121" s="27"/>
      <c r="I121" s="53" t="s">
        <v>12</v>
      </c>
    </row>
    <row r="122" spans="1:9" ht="15.75" customHeight="1">
      <c r="A122" s="28"/>
      <c r="C122" s="12"/>
      <c r="D122" s="12"/>
      <c r="G122" s="12"/>
      <c r="H122" s="12"/>
    </row>
    <row r="123" spans="1:9" ht="15.75">
      <c r="B123" s="56" t="s">
        <v>13</v>
      </c>
      <c r="C123" s="229"/>
      <c r="D123" s="229"/>
      <c r="E123" s="229"/>
      <c r="F123" s="69"/>
      <c r="I123" s="54"/>
    </row>
    <row r="124" spans="1:9">
      <c r="A124" s="55"/>
      <c r="C124" s="218" t="s">
        <v>11</v>
      </c>
      <c r="D124" s="218"/>
      <c r="E124" s="218"/>
      <c r="F124" s="55"/>
      <c r="I124" s="53" t="s">
        <v>12</v>
      </c>
    </row>
    <row r="125" spans="1:9" ht="15.75">
      <c r="A125" s="4" t="s">
        <v>14</v>
      </c>
    </row>
    <row r="126" spans="1:9">
      <c r="A126" s="233" t="s">
        <v>15</v>
      </c>
      <c r="B126" s="233"/>
      <c r="C126" s="233"/>
      <c r="D126" s="233"/>
      <c r="E126" s="233"/>
      <c r="F126" s="233"/>
      <c r="G126" s="233"/>
      <c r="H126" s="233"/>
      <c r="I126" s="233"/>
    </row>
    <row r="127" spans="1:9" ht="45" customHeight="1">
      <c r="A127" s="234" t="s">
        <v>16</v>
      </c>
      <c r="B127" s="234"/>
      <c r="C127" s="234"/>
      <c r="D127" s="234"/>
      <c r="E127" s="234"/>
      <c r="F127" s="234"/>
      <c r="G127" s="234"/>
      <c r="H127" s="234"/>
      <c r="I127" s="234"/>
    </row>
    <row r="128" spans="1:9" ht="30" customHeight="1">
      <c r="A128" s="234" t="s">
        <v>17</v>
      </c>
      <c r="B128" s="234"/>
      <c r="C128" s="234"/>
      <c r="D128" s="234"/>
      <c r="E128" s="234"/>
      <c r="F128" s="234"/>
      <c r="G128" s="234"/>
      <c r="H128" s="234"/>
      <c r="I128" s="234"/>
    </row>
    <row r="129" spans="1:9" ht="30" customHeight="1">
      <c r="A129" s="234" t="s">
        <v>21</v>
      </c>
      <c r="B129" s="234"/>
      <c r="C129" s="234"/>
      <c r="D129" s="234"/>
      <c r="E129" s="234"/>
      <c r="F129" s="234"/>
      <c r="G129" s="234"/>
      <c r="H129" s="234"/>
      <c r="I129" s="234"/>
    </row>
    <row r="130" spans="1:9" ht="15" customHeight="1">
      <c r="A130" s="234" t="s">
        <v>20</v>
      </c>
      <c r="B130" s="234"/>
      <c r="C130" s="234"/>
      <c r="D130" s="234"/>
      <c r="E130" s="234"/>
      <c r="F130" s="234"/>
      <c r="G130" s="234"/>
      <c r="H130" s="234"/>
      <c r="I130" s="234"/>
    </row>
  </sheetData>
  <autoFilter ref="I12:I60"/>
  <mergeCells count="29">
    <mergeCell ref="A126:I126"/>
    <mergeCell ref="A127:I127"/>
    <mergeCell ref="A128:I128"/>
    <mergeCell ref="A129:I129"/>
    <mergeCell ref="A130:I130"/>
    <mergeCell ref="C124:E124"/>
    <mergeCell ref="A84:I84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88:I88"/>
    <mergeCell ref="A15:I15"/>
    <mergeCell ref="A27:I27"/>
    <mergeCell ref="A45:I45"/>
    <mergeCell ref="A56:I56"/>
    <mergeCell ref="R65:U6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0"/>
  <sheetViews>
    <sheetView topLeftCell="A85" workbookViewId="0">
      <selection activeCell="A105" sqref="A105: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155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299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44135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300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196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21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21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20.2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5</v>
      </c>
      <c r="B29" s="111" t="s">
        <v>104</v>
      </c>
      <c r="C29" s="112" t="s">
        <v>87</v>
      </c>
      <c r="D29" s="111" t="s">
        <v>195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6</v>
      </c>
      <c r="B30" s="111" t="s">
        <v>120</v>
      </c>
      <c r="C30" s="112" t="s">
        <v>87</v>
      </c>
      <c r="D30" s="111" t="s">
        <v>194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7</v>
      </c>
      <c r="B32" s="111" t="s">
        <v>119</v>
      </c>
      <c r="C32" s="112" t="s">
        <v>39</v>
      </c>
      <c r="D32" s="111" t="s">
        <v>199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27.75" hidden="1" customHeight="1">
      <c r="A33" s="32"/>
      <c r="B33" s="114" t="s">
        <v>63</v>
      </c>
      <c r="C33" s="115" t="s">
        <v>33</v>
      </c>
      <c r="D33" s="114" t="s">
        <v>167</v>
      </c>
      <c r="E33" s="116"/>
      <c r="F33" s="117">
        <v>2</v>
      </c>
      <c r="G33" s="117">
        <v>260.95</v>
      </c>
      <c r="H33" s="75">
        <f t="shared" ref="H33:H34" si="3">SUM(F33*G33/1000)</f>
        <v>0.52190000000000003</v>
      </c>
      <c r="I33" s="13">
        <v>0</v>
      </c>
      <c r="J33" s="26"/>
    </row>
    <row r="34" spans="1:14" ht="20.25" hidden="1" customHeight="1">
      <c r="A34" s="32"/>
      <c r="B34" s="114" t="s">
        <v>64</v>
      </c>
      <c r="C34" s="115" t="s">
        <v>32</v>
      </c>
      <c r="D34" s="114" t="s">
        <v>167</v>
      </c>
      <c r="E34" s="116"/>
      <c r="F34" s="117">
        <v>1</v>
      </c>
      <c r="G34" s="117">
        <v>1549.92</v>
      </c>
      <c r="H34" s="75">
        <f t="shared" si="3"/>
        <v>1.54992</v>
      </c>
      <c r="I34" s="13">
        <v>0</v>
      </c>
      <c r="J34" s="26"/>
    </row>
    <row r="35" spans="1:14" ht="16.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141</v>
      </c>
      <c r="I35" s="13"/>
      <c r="J35" s="26"/>
    </row>
    <row r="36" spans="1:14" ht="26.25" hidden="1" customHeight="1">
      <c r="A36" s="32">
        <v>10</v>
      </c>
      <c r="B36" s="122" t="s">
        <v>26</v>
      </c>
      <c r="C36" s="115" t="s">
        <v>32</v>
      </c>
      <c r="D36" s="114"/>
      <c r="E36" s="116"/>
      <c r="F36" s="117">
        <v>5</v>
      </c>
      <c r="G36" s="117">
        <v>2083</v>
      </c>
      <c r="H36" s="75">
        <f t="shared" ref="H36:H41" si="4">SUM(F36*G36/1000)</f>
        <v>10.414999999999999</v>
      </c>
      <c r="I36" s="13">
        <f t="shared" ref="I36:I41" si="5">F36/6*G36</f>
        <v>1735.8333333333335</v>
      </c>
      <c r="J36" s="26"/>
    </row>
    <row r="37" spans="1:14" ht="28.5" hidden="1" customHeight="1">
      <c r="A37" s="32">
        <v>12</v>
      </c>
      <c r="B37" s="122" t="s">
        <v>105</v>
      </c>
      <c r="C37" s="123" t="s">
        <v>29</v>
      </c>
      <c r="D37" s="114" t="s">
        <v>168</v>
      </c>
      <c r="E37" s="116">
        <v>153</v>
      </c>
      <c r="F37" s="124">
        <f>E37*30/1000</f>
        <v>4.59</v>
      </c>
      <c r="G37" s="117">
        <v>2868.09</v>
      </c>
      <c r="H37" s="75">
        <f>G37*F37/1000</f>
        <v>13.1645331</v>
      </c>
      <c r="I37" s="13">
        <f t="shared" si="5"/>
        <v>2194.0888500000001</v>
      </c>
      <c r="J37" s="26"/>
      <c r="L37" s="19"/>
      <c r="M37" s="20"/>
      <c r="N37" s="21"/>
    </row>
    <row r="38" spans="1:14" ht="24" hidden="1" customHeight="1">
      <c r="A38" s="32">
        <v>13</v>
      </c>
      <c r="B38" s="114" t="s">
        <v>66</v>
      </c>
      <c r="C38" s="115" t="s">
        <v>29</v>
      </c>
      <c r="D38" s="114" t="s">
        <v>86</v>
      </c>
      <c r="E38" s="117">
        <v>153</v>
      </c>
      <c r="F38" s="124">
        <f>SUM(E38*155/1000)</f>
        <v>23.715</v>
      </c>
      <c r="G38" s="117">
        <v>478.42</v>
      </c>
      <c r="H38" s="75">
        <f t="shared" si="4"/>
        <v>11.345730300000001</v>
      </c>
      <c r="I38" s="13">
        <f t="shared" si="5"/>
        <v>1890.95505</v>
      </c>
      <c r="J38" s="26"/>
      <c r="L38" s="19"/>
      <c r="M38" s="20"/>
      <c r="N38" s="21"/>
    </row>
    <row r="39" spans="1:14" ht="33" hidden="1" customHeight="1">
      <c r="A39" s="32">
        <v>14</v>
      </c>
      <c r="B39" s="114" t="s">
        <v>81</v>
      </c>
      <c r="C39" s="115" t="s">
        <v>87</v>
      </c>
      <c r="D39" s="114" t="s">
        <v>169</v>
      </c>
      <c r="E39" s="117">
        <v>25</v>
      </c>
      <c r="F39" s="124">
        <f>SUM(E39*35/1000)</f>
        <v>0.875</v>
      </c>
      <c r="G39" s="117">
        <v>7915.6</v>
      </c>
      <c r="H39" s="75">
        <f t="shared" si="4"/>
        <v>6.9261500000000007</v>
      </c>
      <c r="I39" s="13">
        <f t="shared" si="5"/>
        <v>1154.3583333333333</v>
      </c>
      <c r="J39" s="26"/>
      <c r="L39" s="19"/>
      <c r="M39" s="20"/>
      <c r="N39" s="21"/>
    </row>
    <row r="40" spans="1:14" ht="24.75" hidden="1" customHeight="1">
      <c r="A40" s="32">
        <v>15</v>
      </c>
      <c r="B40" s="114" t="s">
        <v>88</v>
      </c>
      <c r="C40" s="115" t="s">
        <v>87</v>
      </c>
      <c r="D40" s="114" t="s">
        <v>67</v>
      </c>
      <c r="E40" s="117">
        <v>153</v>
      </c>
      <c r="F40" s="124">
        <f>SUM(E40*45/1000)</f>
        <v>6.8849999999999998</v>
      </c>
      <c r="G40" s="117">
        <v>584.74</v>
      </c>
      <c r="H40" s="75">
        <f t="shared" si="4"/>
        <v>4.0259348999999993</v>
      </c>
      <c r="I40" s="13">
        <f t="shared" si="5"/>
        <v>670.98915</v>
      </c>
      <c r="J40" s="26"/>
      <c r="L40" s="19"/>
      <c r="M40" s="20"/>
      <c r="N40" s="21"/>
    </row>
    <row r="41" spans="1:14" ht="23.25" hidden="1" customHeight="1">
      <c r="A41" s="121">
        <v>16</v>
      </c>
      <c r="B41" s="122" t="s">
        <v>68</v>
      </c>
      <c r="C41" s="123" t="s">
        <v>33</v>
      </c>
      <c r="D41" s="122"/>
      <c r="E41" s="118"/>
      <c r="F41" s="124">
        <v>0.9</v>
      </c>
      <c r="G41" s="124">
        <v>800</v>
      </c>
      <c r="H41" s="83">
        <f t="shared" si="4"/>
        <v>0.72</v>
      </c>
      <c r="I41" s="91">
        <f t="shared" si="5"/>
        <v>120</v>
      </c>
      <c r="J41" s="26"/>
      <c r="L41" s="19"/>
      <c r="M41" s="20"/>
      <c r="N41" s="21"/>
    </row>
    <row r="42" spans="1:14" ht="30" hidden="1" customHeight="1">
      <c r="A42" s="32">
        <v>8</v>
      </c>
      <c r="B42" s="158" t="s">
        <v>170</v>
      </c>
      <c r="C42" s="159" t="s">
        <v>29</v>
      </c>
      <c r="D42" s="158" t="s">
        <v>203</v>
      </c>
      <c r="E42" s="149">
        <v>4.2</v>
      </c>
      <c r="F42" s="160">
        <f>E42*12/1000</f>
        <v>5.0400000000000007E-2</v>
      </c>
      <c r="G42" s="160">
        <v>270.61</v>
      </c>
      <c r="H42" s="13"/>
      <c r="I42" s="13">
        <f>G42*4.2/1000</f>
        <v>1.1365620000000001</v>
      </c>
      <c r="J42" s="26"/>
      <c r="L42" s="19"/>
      <c r="M42" s="20"/>
      <c r="N42" s="21"/>
    </row>
    <row r="43" spans="1:14" ht="21.75" customHeight="1">
      <c r="A43" s="215" t="s">
        <v>137</v>
      </c>
      <c r="B43" s="216"/>
      <c r="C43" s="216"/>
      <c r="D43" s="216"/>
      <c r="E43" s="216"/>
      <c r="F43" s="216"/>
      <c r="G43" s="216"/>
      <c r="H43" s="216"/>
      <c r="I43" s="217"/>
      <c r="J43" s="26"/>
      <c r="L43" s="19"/>
      <c r="M43" s="20"/>
      <c r="N43" s="21"/>
    </row>
    <row r="44" spans="1:14" ht="28.5" hidden="1" customHeight="1">
      <c r="A44" s="32"/>
      <c r="B44" s="114" t="s">
        <v>126</v>
      </c>
      <c r="C44" s="115" t="s">
        <v>87</v>
      </c>
      <c r="D44" s="114" t="s">
        <v>42</v>
      </c>
      <c r="E44" s="116">
        <v>1895</v>
      </c>
      <c r="F44" s="117">
        <f>SUM(E44*2/1000)</f>
        <v>3.79</v>
      </c>
      <c r="G44" s="125">
        <v>1158.7</v>
      </c>
      <c r="H44" s="75">
        <f t="shared" ref="H44:H52" si="6">SUM(F44*G44/1000)</f>
        <v>4.3914729999999995</v>
      </c>
      <c r="I44" s="13">
        <v>0</v>
      </c>
      <c r="J44" s="26"/>
      <c r="L44" s="19"/>
      <c r="M44" s="20"/>
      <c r="N44" s="21"/>
    </row>
    <row r="45" spans="1:14" ht="23.25" hidden="1" customHeight="1">
      <c r="A45" s="32"/>
      <c r="B45" s="114" t="s">
        <v>34</v>
      </c>
      <c r="C45" s="115" t="s">
        <v>87</v>
      </c>
      <c r="D45" s="114" t="s">
        <v>42</v>
      </c>
      <c r="E45" s="116">
        <v>118.2</v>
      </c>
      <c r="F45" s="117">
        <f>E45*2/1000</f>
        <v>0.2364</v>
      </c>
      <c r="G45" s="125">
        <v>790.38</v>
      </c>
      <c r="H45" s="75">
        <f t="shared" si="6"/>
        <v>0.18684583199999999</v>
      </c>
      <c r="I45" s="13">
        <v>0</v>
      </c>
      <c r="J45" s="26"/>
      <c r="L45" s="19"/>
      <c r="M45" s="20"/>
      <c r="N45" s="21"/>
    </row>
    <row r="46" spans="1:14" ht="16.5" hidden="1" customHeight="1">
      <c r="A46" s="32"/>
      <c r="B46" s="114" t="s">
        <v>35</v>
      </c>
      <c r="C46" s="115" t="s">
        <v>87</v>
      </c>
      <c r="D46" s="114" t="s">
        <v>42</v>
      </c>
      <c r="E46" s="116">
        <v>4675</v>
      </c>
      <c r="F46" s="117">
        <f>SUM(E46*2/1000)</f>
        <v>9.35</v>
      </c>
      <c r="G46" s="125">
        <v>790.38</v>
      </c>
      <c r="H46" s="75">
        <f t="shared" si="6"/>
        <v>7.390053</v>
      </c>
      <c r="I46" s="13">
        <v>0</v>
      </c>
      <c r="J46" s="26"/>
      <c r="L46" s="19"/>
      <c r="M46" s="20"/>
      <c r="N46" s="21"/>
    </row>
    <row r="47" spans="1:14" ht="19.5" hidden="1" customHeight="1">
      <c r="A47" s="32"/>
      <c r="B47" s="114" t="s">
        <v>36</v>
      </c>
      <c r="C47" s="115" t="s">
        <v>87</v>
      </c>
      <c r="D47" s="114" t="s">
        <v>42</v>
      </c>
      <c r="E47" s="116">
        <v>4675</v>
      </c>
      <c r="F47" s="117">
        <f>SUM(E47*2/1000)</f>
        <v>9.35</v>
      </c>
      <c r="G47" s="125">
        <v>827.65</v>
      </c>
      <c r="H47" s="75">
        <f t="shared" si="6"/>
        <v>7.7385274999999991</v>
      </c>
      <c r="I47" s="13">
        <v>0</v>
      </c>
      <c r="J47" s="26"/>
      <c r="L47" s="19"/>
      <c r="M47" s="20"/>
      <c r="N47" s="21"/>
    </row>
    <row r="48" spans="1:14" ht="16.5" hidden="1" customHeight="1">
      <c r="A48" s="32">
        <v>17</v>
      </c>
      <c r="B48" s="114" t="s">
        <v>55</v>
      </c>
      <c r="C48" s="115" t="s">
        <v>87</v>
      </c>
      <c r="D48" s="114" t="s">
        <v>171</v>
      </c>
      <c r="E48" s="116">
        <v>3988</v>
      </c>
      <c r="F48" s="117">
        <f>SUM(E48*5/1000)</f>
        <v>19.940000000000001</v>
      </c>
      <c r="G48" s="125">
        <v>1655.27</v>
      </c>
      <c r="H48" s="75">
        <f t="shared" si="6"/>
        <v>33.006083799999999</v>
      </c>
      <c r="I48" s="13">
        <f>F48/5*G48</f>
        <v>6601.2167600000002</v>
      </c>
      <c r="J48" s="26"/>
      <c r="L48" s="19"/>
      <c r="M48" s="20"/>
      <c r="N48" s="21"/>
    </row>
    <row r="49" spans="1:22" ht="29.25" hidden="1" customHeight="1">
      <c r="A49" s="32">
        <v>10</v>
      </c>
      <c r="B49" s="111" t="s">
        <v>89</v>
      </c>
      <c r="C49" s="112" t="s">
        <v>87</v>
      </c>
      <c r="D49" s="111" t="s">
        <v>42</v>
      </c>
      <c r="E49" s="146">
        <v>3988</v>
      </c>
      <c r="F49" s="147">
        <f>SUM(E49*2/1000)</f>
        <v>7.976</v>
      </c>
      <c r="G49" s="36">
        <v>1655.27</v>
      </c>
      <c r="H49" s="75">
        <f t="shared" si="6"/>
        <v>13.202433520000001</v>
      </c>
      <c r="I49" s="13">
        <f>G49*F49/2</f>
        <v>6601.2167600000002</v>
      </c>
      <c r="J49" s="26"/>
      <c r="L49" s="19"/>
      <c r="M49" s="20"/>
      <c r="N49" s="21"/>
    </row>
    <row r="50" spans="1:22" ht="30" hidden="1" customHeight="1">
      <c r="A50" s="32">
        <v>11</v>
      </c>
      <c r="B50" s="111" t="s">
        <v>90</v>
      </c>
      <c r="C50" s="112" t="s">
        <v>37</v>
      </c>
      <c r="D50" s="111" t="s">
        <v>42</v>
      </c>
      <c r="E50" s="146">
        <v>30</v>
      </c>
      <c r="F50" s="147">
        <f>SUM(E50*2/100)</f>
        <v>0.6</v>
      </c>
      <c r="G50" s="36">
        <v>3724.37</v>
      </c>
      <c r="H50" s="75">
        <f>SUM(F50*G50/1000)</f>
        <v>2.2346219999999999</v>
      </c>
      <c r="I50" s="13">
        <f>G50*F50/2</f>
        <v>1117.3109999999999</v>
      </c>
      <c r="J50" s="26"/>
      <c r="L50" s="19"/>
      <c r="M50" s="20"/>
      <c r="N50" s="21"/>
    </row>
    <row r="51" spans="1:22" ht="17.25" hidden="1" customHeight="1">
      <c r="A51" s="32">
        <v>12</v>
      </c>
      <c r="B51" s="111" t="s">
        <v>38</v>
      </c>
      <c r="C51" s="112" t="s">
        <v>39</v>
      </c>
      <c r="D51" s="111" t="s">
        <v>42</v>
      </c>
      <c r="E51" s="146">
        <v>1</v>
      </c>
      <c r="F51" s="147">
        <v>0.02</v>
      </c>
      <c r="G51" s="36">
        <v>7709.44</v>
      </c>
      <c r="H51" s="75">
        <f t="shared" si="6"/>
        <v>0.15418879999999999</v>
      </c>
      <c r="I51" s="13">
        <f>G51*F51/2</f>
        <v>77.094399999999993</v>
      </c>
      <c r="J51" s="26"/>
      <c r="L51" s="19"/>
      <c r="M51" s="20"/>
      <c r="N51" s="21"/>
    </row>
    <row r="52" spans="1:22" ht="17.25" hidden="1" customHeight="1">
      <c r="A52" s="32">
        <v>18</v>
      </c>
      <c r="B52" s="111" t="s">
        <v>41</v>
      </c>
      <c r="C52" s="112" t="s">
        <v>106</v>
      </c>
      <c r="D52" s="111" t="s">
        <v>53</v>
      </c>
      <c r="E52" s="146">
        <v>240</v>
      </c>
      <c r="F52" s="147">
        <f>SUM(E52)*1</f>
        <v>240</v>
      </c>
      <c r="G52" s="37">
        <v>89.59</v>
      </c>
      <c r="H52" s="75">
        <f t="shared" si="6"/>
        <v>21.501600000000003</v>
      </c>
      <c r="I52" s="13">
        <f>E52*G52</f>
        <v>21501.600000000002</v>
      </c>
      <c r="J52" s="26"/>
      <c r="L52" s="19"/>
      <c r="M52" s="20"/>
      <c r="N52" s="21"/>
    </row>
    <row r="53" spans="1:22" ht="17.25" customHeight="1">
      <c r="A53" s="119">
        <v>8</v>
      </c>
      <c r="B53" s="111" t="s">
        <v>172</v>
      </c>
      <c r="C53" s="112" t="s">
        <v>106</v>
      </c>
      <c r="D53" s="111" t="s">
        <v>204</v>
      </c>
      <c r="E53" s="146">
        <v>5</v>
      </c>
      <c r="F53" s="147">
        <v>60</v>
      </c>
      <c r="G53" s="152">
        <v>903.71</v>
      </c>
      <c r="H53" s="13"/>
      <c r="I53" s="13">
        <f>G53*F53/12</f>
        <v>4518.55</v>
      </c>
      <c r="J53" s="26"/>
      <c r="L53" s="19"/>
      <c r="M53" s="20"/>
      <c r="N53" s="21"/>
    </row>
    <row r="54" spans="1:22" ht="15.75" customHeight="1">
      <c r="A54" s="215" t="s">
        <v>138</v>
      </c>
      <c r="B54" s="216"/>
      <c r="C54" s="216"/>
      <c r="D54" s="216"/>
      <c r="E54" s="216"/>
      <c r="F54" s="216"/>
      <c r="G54" s="216"/>
      <c r="H54" s="216"/>
      <c r="I54" s="217"/>
      <c r="J54" s="26"/>
      <c r="L54" s="19"/>
      <c r="M54" s="20"/>
      <c r="N54" s="21"/>
    </row>
    <row r="55" spans="1:22" ht="27.75" hidden="1" customHeight="1">
      <c r="A55" s="32"/>
      <c r="B55" s="92" t="s">
        <v>43</v>
      </c>
      <c r="C55" s="72"/>
      <c r="D55" s="71"/>
      <c r="E55" s="73"/>
      <c r="F55" s="74"/>
      <c r="G55" s="74"/>
      <c r="H55" s="75"/>
      <c r="I55" s="13"/>
      <c r="J55" s="26"/>
      <c r="L55" s="19"/>
      <c r="M55" s="20"/>
      <c r="N55" s="21"/>
    </row>
    <row r="56" spans="1:22" ht="24.75" hidden="1" customHeight="1">
      <c r="A56" s="32">
        <v>20</v>
      </c>
      <c r="B56" s="127" t="s">
        <v>128</v>
      </c>
      <c r="C56" s="128" t="s">
        <v>129</v>
      </c>
      <c r="D56" s="127" t="s">
        <v>42</v>
      </c>
      <c r="E56" s="129">
        <v>6</v>
      </c>
      <c r="F56" s="130">
        <v>12</v>
      </c>
      <c r="G56" s="125">
        <v>246.58</v>
      </c>
      <c r="H56" s="84">
        <f>G56*F56/1000</f>
        <v>2.9589600000000003</v>
      </c>
      <c r="I56" s="13">
        <f>F56/2*G56</f>
        <v>1479.48</v>
      </c>
    </row>
    <row r="57" spans="1:22" ht="21.75" hidden="1" customHeight="1">
      <c r="A57" s="32">
        <v>21</v>
      </c>
      <c r="B57" s="127" t="s">
        <v>130</v>
      </c>
      <c r="C57" s="128" t="s">
        <v>52</v>
      </c>
      <c r="D57" s="127" t="s">
        <v>173</v>
      </c>
      <c r="E57" s="129">
        <v>6</v>
      </c>
      <c r="F57" s="130">
        <f>E57*6/100</f>
        <v>0.36</v>
      </c>
      <c r="G57" s="125">
        <v>2110.4699999999998</v>
      </c>
      <c r="H57" s="84">
        <f>G57*F57/1000</f>
        <v>0.75976919999999992</v>
      </c>
      <c r="I57" s="13">
        <f>F57/4*G57</f>
        <v>189.94229999999999</v>
      </c>
    </row>
    <row r="58" spans="1:22" ht="21.75" hidden="1" customHeight="1">
      <c r="A58" s="32"/>
      <c r="B58" s="127" t="s">
        <v>174</v>
      </c>
      <c r="C58" s="128" t="s">
        <v>175</v>
      </c>
      <c r="D58" s="127" t="s">
        <v>167</v>
      </c>
      <c r="E58" s="129"/>
      <c r="F58" s="130">
        <v>5</v>
      </c>
      <c r="G58" s="125">
        <v>1645</v>
      </c>
      <c r="H58" s="84"/>
      <c r="I58" s="13"/>
    </row>
    <row r="59" spans="1:22" ht="15.75" customHeight="1">
      <c r="A59" s="32"/>
      <c r="B59" s="93" t="s">
        <v>44</v>
      </c>
      <c r="C59" s="81"/>
      <c r="D59" s="80"/>
      <c r="E59" s="82"/>
      <c r="F59" s="83"/>
      <c r="G59" s="13"/>
      <c r="H59" s="84"/>
      <c r="I59" s="13"/>
    </row>
    <row r="60" spans="1:22" ht="15.75" hidden="1" customHeight="1">
      <c r="A60" s="32">
        <v>22</v>
      </c>
      <c r="B60" s="80" t="s">
        <v>131</v>
      </c>
      <c r="C60" s="81" t="s">
        <v>52</v>
      </c>
      <c r="D60" s="80" t="s">
        <v>53</v>
      </c>
      <c r="E60" s="82">
        <v>997</v>
      </c>
      <c r="F60" s="83">
        <v>9.9700000000000006</v>
      </c>
      <c r="G60" s="13">
        <v>793.61</v>
      </c>
      <c r="H60" s="84">
        <f>F60*G60/1000</f>
        <v>7.9122917000000008</v>
      </c>
      <c r="I60" s="13">
        <f>G60*F60</f>
        <v>7912.2917000000007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32"/>
      <c r="B61" s="127" t="s">
        <v>131</v>
      </c>
      <c r="C61" s="128" t="s">
        <v>52</v>
      </c>
      <c r="D61" s="127" t="s">
        <v>53</v>
      </c>
      <c r="E61" s="129">
        <v>200</v>
      </c>
      <c r="F61" s="130">
        <v>2</v>
      </c>
      <c r="G61" s="125">
        <v>1082.47</v>
      </c>
      <c r="H61" s="84"/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9</v>
      </c>
      <c r="B62" s="105" t="s">
        <v>132</v>
      </c>
      <c r="C62" s="106" t="s">
        <v>25</v>
      </c>
      <c r="D62" s="105" t="s">
        <v>203</v>
      </c>
      <c r="E62" s="107">
        <v>200</v>
      </c>
      <c r="F62" s="108">
        <f>E62*12</f>
        <v>2400</v>
      </c>
      <c r="G62" s="109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141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6.5" customHeight="1">
      <c r="A64" s="32">
        <v>10</v>
      </c>
      <c r="B64" s="153" t="s">
        <v>46</v>
      </c>
      <c r="C64" s="154" t="s">
        <v>106</v>
      </c>
      <c r="D64" s="39" t="s">
        <v>201</v>
      </c>
      <c r="E64" s="17">
        <v>12</v>
      </c>
      <c r="F64" s="147">
        <v>12</v>
      </c>
      <c r="G64" s="36">
        <v>303.35000000000002</v>
      </c>
      <c r="H64" s="86">
        <f t="shared" ref="H64:H82" si="7">SUM(F64*G64/1000)</f>
        <v>3.6402000000000001</v>
      </c>
      <c r="I64" s="13">
        <f>G64*7</f>
        <v>2123.4500000000003</v>
      </c>
      <c r="J64" s="5"/>
      <c r="K64" s="5"/>
      <c r="L64" s="5"/>
      <c r="M64" s="5"/>
      <c r="N64" s="5"/>
      <c r="O64" s="5"/>
      <c r="P64" s="5"/>
      <c r="Q64" s="5"/>
      <c r="R64" s="218"/>
      <c r="S64" s="218"/>
      <c r="T64" s="218"/>
      <c r="U64" s="218"/>
    </row>
    <row r="65" spans="1:21" ht="16.5" hidden="1" customHeight="1">
      <c r="A65" s="32">
        <v>25</v>
      </c>
      <c r="B65" s="132" t="s">
        <v>47</v>
      </c>
      <c r="C65" s="133" t="s">
        <v>106</v>
      </c>
      <c r="D65" s="134" t="s">
        <v>167</v>
      </c>
      <c r="E65" s="135">
        <v>7</v>
      </c>
      <c r="F65" s="117">
        <v>7</v>
      </c>
      <c r="G65" s="125">
        <v>104.01</v>
      </c>
      <c r="H65" s="86">
        <f t="shared" si="7"/>
        <v>0.72806999999999999</v>
      </c>
      <c r="I65" s="13">
        <f>G65</f>
        <v>104.01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30.75" hidden="1" customHeight="1">
      <c r="A66" s="32"/>
      <c r="B66" s="132" t="s">
        <v>48</v>
      </c>
      <c r="C66" s="136" t="s">
        <v>108</v>
      </c>
      <c r="D66" s="134" t="s">
        <v>53</v>
      </c>
      <c r="E66" s="116">
        <v>17600</v>
      </c>
      <c r="F66" s="126">
        <f>SUM(E66/100)</f>
        <v>176</v>
      </c>
      <c r="G66" s="125">
        <v>289.37</v>
      </c>
      <c r="H66" s="86">
        <f t="shared" si="7"/>
        <v>50.929120000000005</v>
      </c>
      <c r="I66" s="13">
        <f>F66*G66</f>
        <v>50929.120000000003</v>
      </c>
    </row>
    <row r="67" spans="1:21" ht="23.25" hidden="1" customHeight="1">
      <c r="A67" s="32"/>
      <c r="B67" s="132" t="s">
        <v>49</v>
      </c>
      <c r="C67" s="133" t="s">
        <v>109</v>
      </c>
      <c r="D67" s="134"/>
      <c r="E67" s="116">
        <v>17600</v>
      </c>
      <c r="F67" s="125">
        <f>SUM(E67/1000)</f>
        <v>17.600000000000001</v>
      </c>
      <c r="G67" s="125">
        <v>225.35</v>
      </c>
      <c r="H67" s="86">
        <f t="shared" si="7"/>
        <v>3.9661600000000004</v>
      </c>
      <c r="I67" s="13">
        <f t="shared" ref="I67:I71" si="8">F67*G67</f>
        <v>3966.1600000000003</v>
      </c>
    </row>
    <row r="68" spans="1:21" ht="22.5" hidden="1" customHeight="1">
      <c r="A68" s="32"/>
      <c r="B68" s="132" t="s">
        <v>50</v>
      </c>
      <c r="C68" s="133" t="s">
        <v>75</v>
      </c>
      <c r="D68" s="134" t="s">
        <v>53</v>
      </c>
      <c r="E68" s="116">
        <v>4150</v>
      </c>
      <c r="F68" s="125">
        <f>SUM(E68/100)</f>
        <v>41.5</v>
      </c>
      <c r="G68" s="125">
        <v>2829.78</v>
      </c>
      <c r="H68" s="86">
        <f t="shared" si="7"/>
        <v>117.43587000000001</v>
      </c>
      <c r="I68" s="13">
        <f t="shared" si="8"/>
        <v>117435.87000000001</v>
      </c>
    </row>
    <row r="69" spans="1:21" ht="24" hidden="1" customHeight="1">
      <c r="A69" s="32"/>
      <c r="B69" s="137" t="s">
        <v>110</v>
      </c>
      <c r="C69" s="133" t="s">
        <v>33</v>
      </c>
      <c r="D69" s="134"/>
      <c r="E69" s="116">
        <v>13</v>
      </c>
      <c r="F69" s="125">
        <f>SUM(E69)</f>
        <v>13</v>
      </c>
      <c r="G69" s="125">
        <v>44.31</v>
      </c>
      <c r="H69" s="86">
        <f t="shared" si="7"/>
        <v>0.57602999999999993</v>
      </c>
      <c r="I69" s="13">
        <f t="shared" si="8"/>
        <v>576.03</v>
      </c>
    </row>
    <row r="70" spans="1:21" ht="22.5" hidden="1" customHeight="1">
      <c r="A70" s="32"/>
      <c r="B70" s="137" t="s">
        <v>111</v>
      </c>
      <c r="C70" s="133" t="s">
        <v>33</v>
      </c>
      <c r="D70" s="134"/>
      <c r="E70" s="116">
        <v>13</v>
      </c>
      <c r="F70" s="125">
        <f>SUM(E70)</f>
        <v>13</v>
      </c>
      <c r="G70" s="125">
        <v>47.79</v>
      </c>
      <c r="H70" s="86">
        <f t="shared" si="7"/>
        <v>0.62126999999999999</v>
      </c>
      <c r="I70" s="13">
        <f t="shared" si="8"/>
        <v>621.27</v>
      </c>
    </row>
    <row r="71" spans="1:21" ht="24" hidden="1" customHeight="1">
      <c r="A71" s="32"/>
      <c r="B71" s="134" t="s">
        <v>56</v>
      </c>
      <c r="C71" s="133" t="s">
        <v>57</v>
      </c>
      <c r="D71" s="134" t="s">
        <v>53</v>
      </c>
      <c r="E71" s="135">
        <v>3</v>
      </c>
      <c r="F71" s="117">
        <v>3</v>
      </c>
      <c r="G71" s="125">
        <v>68.040000000000006</v>
      </c>
      <c r="H71" s="86">
        <f t="shared" si="7"/>
        <v>0.20412</v>
      </c>
      <c r="I71" s="13">
        <f t="shared" si="8"/>
        <v>204.12</v>
      </c>
    </row>
    <row r="72" spans="1:21" ht="21" customHeight="1">
      <c r="A72" s="32"/>
      <c r="B72" s="155" t="s">
        <v>176</v>
      </c>
      <c r="C72" s="154"/>
      <c r="D72" s="39"/>
      <c r="E72" s="17"/>
      <c r="F72" s="109"/>
      <c r="G72" s="36"/>
      <c r="H72" s="86"/>
      <c r="I72" s="13"/>
    </row>
    <row r="73" spans="1:21" ht="28.5" customHeight="1">
      <c r="A73" s="32">
        <v>11</v>
      </c>
      <c r="B73" s="39" t="s">
        <v>177</v>
      </c>
      <c r="C73" s="156" t="s">
        <v>178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5.75" customHeight="1">
      <c r="A74" s="32"/>
      <c r="B74" s="59" t="s">
        <v>70</v>
      </c>
      <c r="C74" s="16"/>
      <c r="D74" s="14"/>
      <c r="E74" s="18"/>
      <c r="F74" s="13"/>
      <c r="G74" s="13"/>
      <c r="H74" s="86" t="s">
        <v>141</v>
      </c>
      <c r="I74" s="13"/>
    </row>
    <row r="75" spans="1:21" ht="15.75" hidden="1" customHeight="1">
      <c r="A75" s="32">
        <v>13</v>
      </c>
      <c r="B75" s="39" t="s">
        <v>179</v>
      </c>
      <c r="C75" s="154" t="s">
        <v>180</v>
      </c>
      <c r="D75" s="39" t="s">
        <v>212</v>
      </c>
      <c r="E75" s="17">
        <v>1</v>
      </c>
      <c r="F75" s="36">
        <v>1</v>
      </c>
      <c r="G75" s="36">
        <v>2112.2800000000002</v>
      </c>
      <c r="H75" s="86"/>
      <c r="I75" s="13">
        <f>G75*1</f>
        <v>2112.2800000000002</v>
      </c>
    </row>
    <row r="76" spans="1:21" ht="15.75" hidden="1" customHeight="1">
      <c r="A76" s="32"/>
      <c r="B76" s="134" t="s">
        <v>181</v>
      </c>
      <c r="C76" s="133" t="s">
        <v>180</v>
      </c>
      <c r="D76" s="134" t="s">
        <v>167</v>
      </c>
      <c r="E76" s="135">
        <v>4</v>
      </c>
      <c r="F76" s="125">
        <v>4</v>
      </c>
      <c r="G76" s="125">
        <v>136.19999999999999</v>
      </c>
      <c r="H76" s="86"/>
      <c r="I76" s="13"/>
    </row>
    <row r="77" spans="1:21" ht="15.75" hidden="1" customHeight="1">
      <c r="A77" s="32"/>
      <c r="B77" s="134" t="s">
        <v>71</v>
      </c>
      <c r="C77" s="133" t="s">
        <v>73</v>
      </c>
      <c r="D77" s="134" t="s">
        <v>167</v>
      </c>
      <c r="E77" s="135">
        <v>7</v>
      </c>
      <c r="F77" s="125">
        <f>E77/10</f>
        <v>0.7</v>
      </c>
      <c r="G77" s="125">
        <v>684.19</v>
      </c>
      <c r="H77" s="86"/>
      <c r="I77" s="13"/>
    </row>
    <row r="78" spans="1:21" ht="15.75" hidden="1" customHeight="1">
      <c r="A78" s="32">
        <v>16</v>
      </c>
      <c r="B78" s="134" t="s">
        <v>72</v>
      </c>
      <c r="C78" s="133" t="s">
        <v>31</v>
      </c>
      <c r="D78" s="134" t="s">
        <v>167</v>
      </c>
      <c r="E78" s="138">
        <v>1</v>
      </c>
      <c r="F78" s="131">
        <v>1</v>
      </c>
      <c r="G78" s="125">
        <v>1163.47</v>
      </c>
      <c r="H78" s="86">
        <f t="shared" si="7"/>
        <v>1.16347</v>
      </c>
      <c r="I78" s="13">
        <f>G78*2</f>
        <v>2326.94</v>
      </c>
    </row>
    <row r="79" spans="1:21" ht="21.75" hidden="1" customHeight="1">
      <c r="A79" s="32"/>
      <c r="B79" s="134" t="s">
        <v>182</v>
      </c>
      <c r="C79" s="133" t="s">
        <v>106</v>
      </c>
      <c r="D79" s="134" t="s">
        <v>167</v>
      </c>
      <c r="E79" s="135">
        <v>1</v>
      </c>
      <c r="F79" s="125">
        <v>1</v>
      </c>
      <c r="G79" s="125">
        <v>1670.07</v>
      </c>
      <c r="H79" s="86">
        <f>F79*G79/1000</f>
        <v>1.6700699999999999</v>
      </c>
      <c r="I79" s="13">
        <v>0</v>
      </c>
    </row>
    <row r="80" spans="1:21" ht="29.25" customHeight="1">
      <c r="A80" s="32">
        <v>12</v>
      </c>
      <c r="B80" s="39" t="s">
        <v>183</v>
      </c>
      <c r="C80" s="154" t="s">
        <v>106</v>
      </c>
      <c r="D80" s="39" t="s">
        <v>204</v>
      </c>
      <c r="E80" s="17">
        <v>2</v>
      </c>
      <c r="F80" s="36">
        <v>24</v>
      </c>
      <c r="G80" s="36">
        <v>55.55</v>
      </c>
      <c r="H80" s="86">
        <f>G80*F80/1000</f>
        <v>1.3331999999999997</v>
      </c>
      <c r="I80" s="13">
        <f>G80*F80/12</f>
        <v>111.09999999999998</v>
      </c>
    </row>
    <row r="81" spans="1:9" ht="21.75" hidden="1" customHeight="1">
      <c r="A81" s="32"/>
      <c r="B81" s="89" t="s">
        <v>74</v>
      </c>
      <c r="C81" s="16"/>
      <c r="D81" s="14"/>
      <c r="E81" s="18"/>
      <c r="F81" s="13"/>
      <c r="G81" s="13" t="s">
        <v>141</v>
      </c>
      <c r="H81" s="86" t="s">
        <v>141</v>
      </c>
      <c r="I81" s="13"/>
    </row>
    <row r="82" spans="1:9" ht="20.25" hidden="1" customHeight="1">
      <c r="A82" s="32"/>
      <c r="B82" s="139" t="s">
        <v>184</v>
      </c>
      <c r="C82" s="136" t="s">
        <v>75</v>
      </c>
      <c r="D82" s="132"/>
      <c r="E82" s="140"/>
      <c r="F82" s="126">
        <v>0.4</v>
      </c>
      <c r="G82" s="126">
        <v>4144.28</v>
      </c>
      <c r="H82" s="86">
        <f t="shared" si="7"/>
        <v>1.6577120000000001</v>
      </c>
      <c r="I82" s="13">
        <v>0</v>
      </c>
    </row>
    <row r="83" spans="1:9" ht="19.5" hidden="1" customHeight="1">
      <c r="A83" s="32"/>
      <c r="B83" s="65" t="s">
        <v>91</v>
      </c>
      <c r="C83" s="65"/>
      <c r="D83" s="65"/>
      <c r="E83" s="65"/>
      <c r="F83" s="65"/>
      <c r="G83" s="77"/>
      <c r="H83" s="90">
        <f>SUM(H56:H82)</f>
        <v>198.91631290000001</v>
      </c>
      <c r="I83" s="77"/>
    </row>
    <row r="84" spans="1:9" ht="18" hidden="1" customHeight="1">
      <c r="A84" s="32"/>
      <c r="B84" s="114" t="s">
        <v>112</v>
      </c>
      <c r="C84" s="141"/>
      <c r="D84" s="142"/>
      <c r="E84" s="143"/>
      <c r="F84" s="144">
        <v>1</v>
      </c>
      <c r="G84" s="145">
        <v>26471.200000000001</v>
      </c>
      <c r="H84" s="86">
        <f>G84*F84/1000</f>
        <v>26.4712</v>
      </c>
      <c r="I84" s="13">
        <v>0</v>
      </c>
    </row>
    <row r="85" spans="1:9" ht="15.75" customHeight="1">
      <c r="A85" s="219" t="s">
        <v>139</v>
      </c>
      <c r="B85" s="220"/>
      <c r="C85" s="220"/>
      <c r="D85" s="220"/>
      <c r="E85" s="220"/>
      <c r="F85" s="220"/>
      <c r="G85" s="220"/>
      <c r="H85" s="220"/>
      <c r="I85" s="221"/>
    </row>
    <row r="86" spans="1:9" ht="15.75" customHeight="1">
      <c r="A86" s="32">
        <v>13</v>
      </c>
      <c r="B86" s="111" t="s">
        <v>114</v>
      </c>
      <c r="C86" s="154" t="s">
        <v>54</v>
      </c>
      <c r="D86" s="50"/>
      <c r="E86" s="36">
        <v>6980.3</v>
      </c>
      <c r="F86" s="36">
        <f>SUM(E86*12)</f>
        <v>83763.600000000006</v>
      </c>
      <c r="G86" s="36">
        <v>3.22</v>
      </c>
      <c r="H86" s="86">
        <f>SUM(F86*G86/1000)</f>
        <v>269.71879200000001</v>
      </c>
      <c r="I86" s="13">
        <f>F86/12*G86</f>
        <v>22476.566000000003</v>
      </c>
    </row>
    <row r="87" spans="1:9" ht="31.5" customHeight="1">
      <c r="A87" s="32">
        <v>14</v>
      </c>
      <c r="B87" s="39" t="s">
        <v>76</v>
      </c>
      <c r="C87" s="154"/>
      <c r="D87" s="103"/>
      <c r="E87" s="146">
        <f>E86</f>
        <v>6980.3</v>
      </c>
      <c r="F87" s="36">
        <f>E87*12</f>
        <v>83763.600000000006</v>
      </c>
      <c r="G87" s="36">
        <v>3.64</v>
      </c>
      <c r="H87" s="86">
        <f>F87*G87/1000</f>
        <v>304.89950400000004</v>
      </c>
      <c r="I87" s="13">
        <f>F87/12*G87</f>
        <v>25408.292000000001</v>
      </c>
    </row>
    <row r="88" spans="1:9" ht="15.75" customHeight="1">
      <c r="A88" s="32"/>
      <c r="B88" s="40" t="s">
        <v>78</v>
      </c>
      <c r="C88" s="89"/>
      <c r="D88" s="88"/>
      <c r="E88" s="77"/>
      <c r="F88" s="77"/>
      <c r="G88" s="77"/>
      <c r="H88" s="90">
        <f>H87</f>
        <v>304.89950400000004</v>
      </c>
      <c r="I88" s="77">
        <f>I87+I86+I80+I73+I64+I62+I53+I32+I30+I29+I26+I18+I17+I16</f>
        <v>116633.62033453335</v>
      </c>
    </row>
    <row r="89" spans="1:9" ht="15.75" customHeight="1">
      <c r="A89" s="230" t="s">
        <v>59</v>
      </c>
      <c r="B89" s="231"/>
      <c r="C89" s="231"/>
      <c r="D89" s="231"/>
      <c r="E89" s="231"/>
      <c r="F89" s="231"/>
      <c r="G89" s="231"/>
      <c r="H89" s="231"/>
      <c r="I89" s="232"/>
    </row>
    <row r="90" spans="1:9" ht="30.75" customHeight="1">
      <c r="A90" s="32">
        <v>15</v>
      </c>
      <c r="B90" s="51" t="s">
        <v>215</v>
      </c>
      <c r="C90" s="52" t="s">
        <v>163</v>
      </c>
      <c r="D90" s="199" t="s">
        <v>302</v>
      </c>
      <c r="E90" s="198"/>
      <c r="F90" s="198">
        <v>25</v>
      </c>
      <c r="G90" s="198">
        <v>1523.6</v>
      </c>
      <c r="H90" s="102">
        <f>G90*F90/1000</f>
        <v>38.090000000000003</v>
      </c>
      <c r="I90" s="32">
        <f>G90*2</f>
        <v>3047.2</v>
      </c>
    </row>
    <row r="91" spans="1:9" ht="17.25" customHeight="1">
      <c r="A91" s="32">
        <v>16</v>
      </c>
      <c r="B91" s="51" t="s">
        <v>222</v>
      </c>
      <c r="C91" s="52" t="s">
        <v>82</v>
      </c>
      <c r="D91" s="197" t="s">
        <v>301</v>
      </c>
      <c r="E91" s="198"/>
      <c r="F91" s="198">
        <v>19</v>
      </c>
      <c r="G91" s="198">
        <v>222.63</v>
      </c>
      <c r="H91" s="102"/>
      <c r="I91" s="32">
        <f>G91*3</f>
        <v>667.89</v>
      </c>
    </row>
    <row r="92" spans="1:9" ht="17.25" customHeight="1">
      <c r="A92" s="32">
        <v>17</v>
      </c>
      <c r="B92" s="51" t="s">
        <v>232</v>
      </c>
      <c r="C92" s="52" t="s">
        <v>163</v>
      </c>
      <c r="D92" s="197" t="s">
        <v>364</v>
      </c>
      <c r="E92" s="198"/>
      <c r="F92" s="198">
        <v>112</v>
      </c>
      <c r="G92" s="198">
        <v>284</v>
      </c>
      <c r="H92" s="102"/>
      <c r="I92" s="203">
        <v>0</v>
      </c>
    </row>
    <row r="93" spans="1:9" ht="18.75" customHeight="1">
      <c r="A93" s="32">
        <v>18</v>
      </c>
      <c r="B93" s="51" t="s">
        <v>279</v>
      </c>
      <c r="C93" s="52" t="s">
        <v>106</v>
      </c>
      <c r="D93" s="197" t="s">
        <v>303</v>
      </c>
      <c r="E93" s="198"/>
      <c r="F93" s="198">
        <v>2</v>
      </c>
      <c r="G93" s="198">
        <v>90</v>
      </c>
      <c r="H93" s="102"/>
      <c r="I93" s="203">
        <v>0</v>
      </c>
    </row>
    <row r="94" spans="1:9" ht="18" customHeight="1">
      <c r="A94" s="32">
        <v>19</v>
      </c>
      <c r="B94" s="51" t="s">
        <v>192</v>
      </c>
      <c r="C94" s="52" t="s">
        <v>39</v>
      </c>
      <c r="D94" s="197" t="s">
        <v>196</v>
      </c>
      <c r="E94" s="198"/>
      <c r="F94" s="198">
        <v>0.1</v>
      </c>
      <c r="G94" s="198">
        <v>27139.18</v>
      </c>
      <c r="H94" s="102"/>
      <c r="I94" s="203">
        <v>0</v>
      </c>
    </row>
    <row r="95" spans="1:9" ht="30" customHeight="1">
      <c r="A95" s="32">
        <v>20</v>
      </c>
      <c r="B95" s="51" t="s">
        <v>247</v>
      </c>
      <c r="C95" s="52" t="s">
        <v>37</v>
      </c>
      <c r="D95" s="197" t="s">
        <v>203</v>
      </c>
      <c r="E95" s="198"/>
      <c r="F95" s="198">
        <v>0.05</v>
      </c>
      <c r="G95" s="198">
        <v>4070.89</v>
      </c>
      <c r="H95" s="102"/>
      <c r="I95" s="203">
        <v>0</v>
      </c>
    </row>
    <row r="96" spans="1:9" ht="18" customHeight="1">
      <c r="A96" s="32">
        <v>21</v>
      </c>
      <c r="B96" s="51" t="s">
        <v>305</v>
      </c>
      <c r="C96" s="52" t="s">
        <v>106</v>
      </c>
      <c r="D96" s="197"/>
      <c r="E96" s="198"/>
      <c r="F96" s="198">
        <v>1</v>
      </c>
      <c r="G96" s="198">
        <v>1332.01</v>
      </c>
      <c r="H96" s="102"/>
      <c r="I96" s="203">
        <f>G96*1</f>
        <v>1332.01</v>
      </c>
    </row>
    <row r="97" spans="1:9" ht="15.75" customHeight="1">
      <c r="A97" s="32"/>
      <c r="B97" s="45" t="s">
        <v>51</v>
      </c>
      <c r="C97" s="41"/>
      <c r="D97" s="48"/>
      <c r="E97" s="41">
        <v>1</v>
      </c>
      <c r="F97" s="41"/>
      <c r="G97" s="41"/>
      <c r="H97" s="41"/>
      <c r="I97" s="34">
        <f>SUM(I90:I96)</f>
        <v>5047.0999999999995</v>
      </c>
    </row>
    <row r="98" spans="1:9">
      <c r="A98" s="32"/>
      <c r="B98" s="47" t="s">
        <v>77</v>
      </c>
      <c r="C98" s="15"/>
      <c r="D98" s="15"/>
      <c r="E98" s="42"/>
      <c r="F98" s="42"/>
      <c r="G98" s="43"/>
      <c r="H98" s="43"/>
      <c r="I98" s="17"/>
    </row>
    <row r="99" spans="1:9">
      <c r="A99" s="49"/>
      <c r="B99" s="46" t="s">
        <v>157</v>
      </c>
      <c r="C99" s="35"/>
      <c r="D99" s="35"/>
      <c r="E99" s="35"/>
      <c r="F99" s="35"/>
      <c r="G99" s="35"/>
      <c r="H99" s="35"/>
      <c r="I99" s="44">
        <f>I88+I97</f>
        <v>121680.72033453335</v>
      </c>
    </row>
    <row r="100" spans="1:9" ht="15.75">
      <c r="A100" s="222" t="s">
        <v>365</v>
      </c>
      <c r="B100" s="222"/>
      <c r="C100" s="222"/>
      <c r="D100" s="222"/>
      <c r="E100" s="222"/>
      <c r="F100" s="222"/>
      <c r="G100" s="222"/>
      <c r="H100" s="222"/>
      <c r="I100" s="222"/>
    </row>
    <row r="101" spans="1:9" ht="15.75" customHeight="1">
      <c r="A101" s="58"/>
      <c r="B101" s="223" t="s">
        <v>366</v>
      </c>
      <c r="C101" s="223"/>
      <c r="D101" s="223"/>
      <c r="E101" s="223"/>
      <c r="F101" s="223"/>
      <c r="G101" s="223"/>
      <c r="H101" s="70"/>
      <c r="I101" s="3"/>
    </row>
    <row r="102" spans="1:9">
      <c r="A102" s="64"/>
      <c r="B102" s="224" t="s">
        <v>6</v>
      </c>
      <c r="C102" s="224"/>
      <c r="D102" s="224"/>
      <c r="E102" s="224"/>
      <c r="F102" s="224"/>
      <c r="G102" s="224"/>
      <c r="H102" s="27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25" t="s">
        <v>7</v>
      </c>
      <c r="B104" s="225"/>
      <c r="C104" s="225"/>
      <c r="D104" s="225"/>
      <c r="E104" s="225"/>
      <c r="F104" s="225"/>
      <c r="G104" s="225"/>
      <c r="H104" s="225"/>
      <c r="I104" s="225"/>
    </row>
    <row r="105" spans="1:9" ht="15.75">
      <c r="A105" s="225" t="s">
        <v>8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15.75">
      <c r="A106" s="226" t="s">
        <v>60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11"/>
    </row>
    <row r="108" spans="1:9" ht="15.75">
      <c r="A108" s="227" t="s">
        <v>9</v>
      </c>
      <c r="B108" s="227"/>
      <c r="C108" s="227"/>
      <c r="D108" s="227"/>
      <c r="E108" s="227"/>
      <c r="F108" s="227"/>
      <c r="G108" s="227"/>
      <c r="H108" s="227"/>
      <c r="I108" s="227"/>
    </row>
    <row r="109" spans="1:9" ht="15.75" customHeight="1">
      <c r="A109" s="4"/>
    </row>
    <row r="110" spans="1:9" ht="15.75" customHeight="1">
      <c r="B110" s="61" t="s">
        <v>10</v>
      </c>
      <c r="C110" s="228" t="s">
        <v>304</v>
      </c>
      <c r="D110" s="228"/>
      <c r="E110" s="228"/>
      <c r="F110" s="68"/>
      <c r="I110" s="63"/>
    </row>
    <row r="111" spans="1:9" ht="15.75" customHeight="1">
      <c r="A111" s="64"/>
      <c r="C111" s="224" t="s">
        <v>11</v>
      </c>
      <c r="D111" s="224"/>
      <c r="E111" s="224"/>
      <c r="F111" s="27"/>
      <c r="I111" s="62" t="s">
        <v>12</v>
      </c>
    </row>
    <row r="112" spans="1:9" ht="15.75" customHeight="1">
      <c r="A112" s="28"/>
      <c r="C112" s="12"/>
      <c r="D112" s="12"/>
      <c r="G112" s="12"/>
      <c r="H112" s="12"/>
    </row>
    <row r="113" spans="1:9" ht="15.75">
      <c r="B113" s="61" t="s">
        <v>13</v>
      </c>
      <c r="C113" s="229"/>
      <c r="D113" s="229"/>
      <c r="E113" s="229"/>
      <c r="F113" s="69"/>
      <c r="I113" s="63"/>
    </row>
    <row r="114" spans="1:9">
      <c r="A114" s="64"/>
      <c r="C114" s="218" t="s">
        <v>11</v>
      </c>
      <c r="D114" s="218"/>
      <c r="E114" s="218"/>
      <c r="F114" s="64"/>
      <c r="I114" s="62" t="s">
        <v>12</v>
      </c>
    </row>
    <row r="115" spans="1:9" ht="15.75">
      <c r="A115" s="4" t="s">
        <v>14</v>
      </c>
    </row>
    <row r="116" spans="1:9">
      <c r="A116" s="233" t="s">
        <v>15</v>
      </c>
      <c r="B116" s="233"/>
      <c r="C116" s="233"/>
      <c r="D116" s="233"/>
      <c r="E116" s="233"/>
      <c r="F116" s="233"/>
      <c r="G116" s="233"/>
      <c r="H116" s="233"/>
      <c r="I116" s="233"/>
    </row>
    <row r="117" spans="1:9" ht="45" customHeight="1">
      <c r="A117" s="234" t="s">
        <v>16</v>
      </c>
      <c r="B117" s="234"/>
      <c r="C117" s="234"/>
      <c r="D117" s="234"/>
      <c r="E117" s="234"/>
      <c r="F117" s="234"/>
      <c r="G117" s="234"/>
      <c r="H117" s="234"/>
      <c r="I117" s="234"/>
    </row>
    <row r="118" spans="1:9" ht="30" customHeight="1">
      <c r="A118" s="234" t="s">
        <v>17</v>
      </c>
      <c r="B118" s="234"/>
      <c r="C118" s="234"/>
      <c r="D118" s="234"/>
      <c r="E118" s="234"/>
      <c r="F118" s="234"/>
      <c r="G118" s="234"/>
      <c r="H118" s="234"/>
      <c r="I118" s="234"/>
    </row>
    <row r="119" spans="1:9" ht="30" customHeight="1">
      <c r="A119" s="234" t="s">
        <v>21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15" customHeight="1">
      <c r="A120" s="234" t="s">
        <v>20</v>
      </c>
      <c r="B120" s="234"/>
      <c r="C120" s="234"/>
      <c r="D120" s="234"/>
      <c r="E120" s="234"/>
      <c r="F120" s="234"/>
      <c r="G120" s="234"/>
      <c r="H120" s="234"/>
      <c r="I120" s="234"/>
    </row>
  </sheetData>
  <autoFilter ref="I12:I57"/>
  <mergeCells count="29">
    <mergeCell ref="R64:U64"/>
    <mergeCell ref="A85:I85"/>
    <mergeCell ref="A3:I3"/>
    <mergeCell ref="A4:I4"/>
    <mergeCell ref="A5:I5"/>
    <mergeCell ref="A8:I8"/>
    <mergeCell ref="A10:I10"/>
    <mergeCell ref="A14:I14"/>
    <mergeCell ref="A106:I106"/>
    <mergeCell ref="A15:I15"/>
    <mergeCell ref="A27:I27"/>
    <mergeCell ref="A43:I43"/>
    <mergeCell ref="A54:I54"/>
    <mergeCell ref="A100:I100"/>
    <mergeCell ref="B101:G101"/>
    <mergeCell ref="B102:G102"/>
    <mergeCell ref="A104:I104"/>
    <mergeCell ref="A105:I105"/>
    <mergeCell ref="A89:I89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8"/>
  <sheetViews>
    <sheetView topLeftCell="A95" workbookViewId="0">
      <selection activeCell="A114" sqref="A114:I11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1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161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306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97"/>
      <c r="C6" s="97"/>
      <c r="D6" s="97"/>
      <c r="E6" s="97"/>
      <c r="F6" s="97"/>
      <c r="G6" s="97"/>
      <c r="H6" s="97"/>
      <c r="I6" s="33">
        <v>44165</v>
      </c>
      <c r="J6" s="2"/>
      <c r="K6" s="2"/>
      <c r="L6" s="2"/>
      <c r="M6" s="2"/>
    </row>
    <row r="7" spans="1:13" ht="15.75">
      <c r="B7" s="100"/>
      <c r="C7" s="100"/>
      <c r="D7" s="10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307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196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.75" hidden="1" customHeight="1">
      <c r="A27" s="32">
        <v>9</v>
      </c>
      <c r="B27" s="150" t="s">
        <v>23</v>
      </c>
      <c r="C27" s="112" t="s">
        <v>24</v>
      </c>
      <c r="D27" s="150" t="s">
        <v>141</v>
      </c>
      <c r="E27" s="146">
        <v>6980.3</v>
      </c>
      <c r="F27" s="147">
        <f>SUM(E27*12)</f>
        <v>83763.600000000006</v>
      </c>
      <c r="G27" s="147">
        <v>4.3099999999999996</v>
      </c>
      <c r="H27" s="75">
        <f>SUM(F27*G27/1000)</f>
        <v>361.02111600000001</v>
      </c>
      <c r="I27" s="13">
        <f>F27/12*G27</f>
        <v>30085.092999999997</v>
      </c>
      <c r="J27" s="26"/>
    </row>
    <row r="28" spans="1:13" ht="15" customHeight="1">
      <c r="A28" s="214" t="s">
        <v>83</v>
      </c>
      <c r="B28" s="214"/>
      <c r="C28" s="214"/>
      <c r="D28" s="214"/>
      <c r="E28" s="214"/>
      <c r="F28" s="214"/>
      <c r="G28" s="214"/>
      <c r="H28" s="214"/>
      <c r="I28" s="214"/>
      <c r="J28" s="25"/>
      <c r="K28" s="8"/>
      <c r="L28" s="8"/>
      <c r="M28" s="8"/>
    </row>
    <row r="29" spans="1:13" ht="15.75" hidden="1" customHeight="1">
      <c r="A29" s="32"/>
      <c r="B29" s="92" t="s">
        <v>28</v>
      </c>
      <c r="C29" s="72"/>
      <c r="D29" s="71"/>
      <c r="E29" s="73"/>
      <c r="F29" s="74"/>
      <c r="G29" s="74"/>
      <c r="H29" s="75"/>
      <c r="I29" s="13"/>
      <c r="J29" s="25"/>
      <c r="K29" s="8"/>
      <c r="L29" s="8"/>
      <c r="M29" s="8"/>
    </row>
    <row r="30" spans="1:13" ht="15.75" hidden="1" customHeight="1">
      <c r="A30" s="32">
        <v>10</v>
      </c>
      <c r="B30" s="71" t="s">
        <v>104</v>
      </c>
      <c r="C30" s="72" t="s">
        <v>87</v>
      </c>
      <c r="D30" s="71" t="s">
        <v>159</v>
      </c>
      <c r="E30" s="74">
        <v>1168.05</v>
      </c>
      <c r="F30" s="74">
        <f>SUM(E30*52/1000)</f>
        <v>60.738599999999998</v>
      </c>
      <c r="G30" s="74">
        <v>155.88999999999999</v>
      </c>
      <c r="H30" s="75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1" t="s">
        <v>120</v>
      </c>
      <c r="C31" s="72" t="s">
        <v>87</v>
      </c>
      <c r="D31" s="71" t="s">
        <v>160</v>
      </c>
      <c r="E31" s="74">
        <v>1039.2</v>
      </c>
      <c r="F31" s="74">
        <f>SUM(E31*78/1000)</f>
        <v>81.057600000000008</v>
      </c>
      <c r="G31" s="74">
        <v>258.63</v>
      </c>
      <c r="H31" s="75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1" t="s">
        <v>27</v>
      </c>
      <c r="C32" s="72" t="s">
        <v>87</v>
      </c>
      <c r="D32" s="71" t="s">
        <v>53</v>
      </c>
      <c r="E32" s="74">
        <v>584.03</v>
      </c>
      <c r="F32" s="74">
        <f>SUM(E32/1000)</f>
        <v>0.58402999999999994</v>
      </c>
      <c r="G32" s="74">
        <v>3020.33</v>
      </c>
      <c r="H32" s="75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1" t="s">
        <v>119</v>
      </c>
      <c r="C33" s="72" t="s">
        <v>39</v>
      </c>
      <c r="D33" s="71" t="s">
        <v>62</v>
      </c>
      <c r="E33" s="74">
        <v>6</v>
      </c>
      <c r="F33" s="74">
        <f>E33*155/100</f>
        <v>9.3000000000000007</v>
      </c>
      <c r="G33" s="74">
        <v>1302.02</v>
      </c>
      <c r="H33" s="75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1" t="s">
        <v>103</v>
      </c>
      <c r="C34" s="72" t="s">
        <v>31</v>
      </c>
      <c r="D34" s="71" t="s">
        <v>62</v>
      </c>
      <c r="E34" s="78">
        <v>0.33333333333333331</v>
      </c>
      <c r="F34" s="74">
        <f>155/3</f>
        <v>51.666666666666664</v>
      </c>
      <c r="G34" s="74">
        <v>56.69</v>
      </c>
      <c r="H34" s="75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1" t="s">
        <v>63</v>
      </c>
      <c r="C35" s="72" t="s">
        <v>33</v>
      </c>
      <c r="D35" s="71" t="s">
        <v>65</v>
      </c>
      <c r="E35" s="73"/>
      <c r="F35" s="74">
        <v>4</v>
      </c>
      <c r="G35" s="74">
        <v>180.15</v>
      </c>
      <c r="H35" s="75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1" t="s">
        <v>64</v>
      </c>
      <c r="C36" s="72" t="s">
        <v>32</v>
      </c>
      <c r="D36" s="71" t="s">
        <v>65</v>
      </c>
      <c r="E36" s="73"/>
      <c r="F36" s="74">
        <v>3</v>
      </c>
      <c r="G36" s="74">
        <v>1136.33</v>
      </c>
      <c r="H36" s="75">
        <f t="shared" si="1"/>
        <v>3.4089899999999997</v>
      </c>
      <c r="I36" s="13">
        <v>0</v>
      </c>
      <c r="J36" s="26"/>
    </row>
    <row r="37" spans="1:14" ht="15.75" customHeight="1">
      <c r="A37" s="32"/>
      <c r="B37" s="92" t="s">
        <v>5</v>
      </c>
      <c r="C37" s="72"/>
      <c r="D37" s="71"/>
      <c r="E37" s="73"/>
      <c r="F37" s="74"/>
      <c r="G37" s="74"/>
      <c r="H37" s="75" t="s">
        <v>141</v>
      </c>
      <c r="I37" s="13"/>
      <c r="J37" s="26"/>
    </row>
    <row r="38" spans="1:14" ht="15.75" hidden="1" customHeight="1">
      <c r="A38" s="32">
        <v>5</v>
      </c>
      <c r="B38" s="158" t="s">
        <v>26</v>
      </c>
      <c r="C38" s="112" t="s">
        <v>32</v>
      </c>
      <c r="D38" s="111"/>
      <c r="E38" s="146"/>
      <c r="F38" s="147">
        <v>5</v>
      </c>
      <c r="G38" s="147">
        <v>2083</v>
      </c>
      <c r="H38" s="75">
        <f t="shared" ref="H38:H44" si="3">SUM(F38*G38/1000)</f>
        <v>10.414999999999999</v>
      </c>
      <c r="I38" s="13">
        <f>G38*1.8</f>
        <v>3749.4</v>
      </c>
      <c r="J38" s="26"/>
    </row>
    <row r="39" spans="1:14" ht="15.75" customHeight="1">
      <c r="A39" s="32">
        <v>5</v>
      </c>
      <c r="B39" s="158" t="s">
        <v>105</v>
      </c>
      <c r="C39" s="159" t="s">
        <v>29</v>
      </c>
      <c r="D39" s="111" t="s">
        <v>198</v>
      </c>
      <c r="E39" s="146">
        <v>153</v>
      </c>
      <c r="F39" s="160">
        <f>E39*30/1000</f>
        <v>4.59</v>
      </c>
      <c r="G39" s="147">
        <v>2868.09</v>
      </c>
      <c r="H39" s="75">
        <f>G39*F39/1000</f>
        <v>13.1645331</v>
      </c>
      <c r="I39" s="13">
        <f>F39/6*G39</f>
        <v>2194.0888500000001</v>
      </c>
      <c r="J39" s="26"/>
      <c r="L39" s="19"/>
      <c r="M39" s="20"/>
      <c r="N39" s="21"/>
    </row>
    <row r="40" spans="1:14" ht="15.75" customHeight="1">
      <c r="A40" s="32">
        <v>6</v>
      </c>
      <c r="B40" s="111" t="s">
        <v>66</v>
      </c>
      <c r="C40" s="112" t="s">
        <v>29</v>
      </c>
      <c r="D40" s="111" t="s">
        <v>199</v>
      </c>
      <c r="E40" s="147">
        <v>153</v>
      </c>
      <c r="F40" s="160">
        <f>SUM(E40*155/1000)</f>
        <v>23.715</v>
      </c>
      <c r="G40" s="147">
        <v>478.42</v>
      </c>
      <c r="H40" s="75">
        <f>G40*F40/1000</f>
        <v>11.345730300000001</v>
      </c>
      <c r="I40" s="13">
        <f>F40/6*G40</f>
        <v>1890.95505</v>
      </c>
      <c r="J40" s="26"/>
      <c r="L40" s="19"/>
      <c r="M40" s="20"/>
      <c r="N40" s="21"/>
    </row>
    <row r="41" spans="1:14" ht="15.75" hidden="1" customHeight="1">
      <c r="A41" s="32"/>
      <c r="B41" s="111" t="s">
        <v>81</v>
      </c>
      <c r="C41" s="112" t="s">
        <v>87</v>
      </c>
      <c r="D41" s="111" t="s">
        <v>169</v>
      </c>
      <c r="E41" s="147">
        <v>25</v>
      </c>
      <c r="F41" s="160">
        <f>SUM(E41*35/1000)</f>
        <v>0.875</v>
      </c>
      <c r="G41" s="147">
        <v>7915.6</v>
      </c>
      <c r="H41" s="75">
        <f>G41*F41/1000</f>
        <v>6.9261500000000007</v>
      </c>
      <c r="I41" s="13">
        <v>0</v>
      </c>
      <c r="J41" s="26"/>
      <c r="L41" s="19"/>
      <c r="M41" s="20"/>
      <c r="N41" s="21"/>
    </row>
    <row r="42" spans="1:14" ht="15.75" customHeight="1">
      <c r="A42" s="32">
        <v>7</v>
      </c>
      <c r="B42" s="111" t="s">
        <v>81</v>
      </c>
      <c r="C42" s="112" t="s">
        <v>87</v>
      </c>
      <c r="D42" s="111" t="s">
        <v>200</v>
      </c>
      <c r="E42" s="147">
        <v>25</v>
      </c>
      <c r="F42" s="160">
        <f>SUM(E42*35/1000)</f>
        <v>0.875</v>
      </c>
      <c r="G42" s="147">
        <v>7915.6</v>
      </c>
      <c r="H42" s="75">
        <f t="shared" si="3"/>
        <v>6.9261500000000007</v>
      </c>
      <c r="I42" s="13">
        <f>F42/6*G42</f>
        <v>1154.3583333333333</v>
      </c>
      <c r="J42" s="26"/>
      <c r="L42" s="19"/>
      <c r="M42" s="20"/>
      <c r="N42" s="21"/>
    </row>
    <row r="43" spans="1:14" ht="15.75" customHeight="1">
      <c r="A43" s="32">
        <v>8</v>
      </c>
      <c r="B43" s="111" t="s">
        <v>88</v>
      </c>
      <c r="C43" s="112" t="s">
        <v>87</v>
      </c>
      <c r="D43" s="111" t="s">
        <v>203</v>
      </c>
      <c r="E43" s="147">
        <v>153</v>
      </c>
      <c r="F43" s="160">
        <f>SUM(E43*45/1000)</f>
        <v>6.8849999999999998</v>
      </c>
      <c r="G43" s="147">
        <v>584.74</v>
      </c>
      <c r="H43" s="75">
        <f t="shared" si="3"/>
        <v>4.0259348999999993</v>
      </c>
      <c r="I43" s="13">
        <f>G43*F43/45*1</f>
        <v>89.465219999999988</v>
      </c>
      <c r="J43" s="26"/>
      <c r="L43" s="19"/>
      <c r="M43" s="20"/>
      <c r="N43" s="21"/>
    </row>
    <row r="44" spans="1:14" ht="15.75" customHeight="1">
      <c r="A44" s="121">
        <v>9</v>
      </c>
      <c r="B44" s="161" t="s">
        <v>68</v>
      </c>
      <c r="C44" s="162" t="s">
        <v>33</v>
      </c>
      <c r="D44" s="161"/>
      <c r="E44" s="163"/>
      <c r="F44" s="164">
        <v>0.9</v>
      </c>
      <c r="G44" s="164">
        <v>800</v>
      </c>
      <c r="H44" s="83">
        <f t="shared" si="3"/>
        <v>0.72</v>
      </c>
      <c r="I44" s="91">
        <f>G44*F44/45</f>
        <v>16</v>
      </c>
      <c r="J44" s="26"/>
      <c r="L44" s="19"/>
      <c r="M44" s="20"/>
      <c r="N44" s="21"/>
    </row>
    <row r="45" spans="1:14" ht="31.5" customHeight="1">
      <c r="A45" s="32">
        <v>10</v>
      </c>
      <c r="B45" s="153" t="s">
        <v>170</v>
      </c>
      <c r="C45" s="165" t="s">
        <v>29</v>
      </c>
      <c r="D45" s="153" t="s">
        <v>196</v>
      </c>
      <c r="E45" s="166">
        <v>4.2</v>
      </c>
      <c r="F45" s="37">
        <f>E45*12/1000</f>
        <v>5.0400000000000007E-2</v>
      </c>
      <c r="G45" s="37">
        <v>270.61</v>
      </c>
      <c r="H45" s="13"/>
      <c r="I45" s="13">
        <f>G45*F45/6</f>
        <v>2.2731240000000006</v>
      </c>
      <c r="J45" s="26"/>
      <c r="L45" s="19"/>
      <c r="M45" s="20"/>
      <c r="N45" s="21"/>
    </row>
    <row r="46" spans="1:14" ht="16.5" customHeight="1">
      <c r="A46" s="238" t="s">
        <v>137</v>
      </c>
      <c r="B46" s="239"/>
      <c r="C46" s="239"/>
      <c r="D46" s="239"/>
      <c r="E46" s="239"/>
      <c r="F46" s="239"/>
      <c r="G46" s="239"/>
      <c r="H46" s="239"/>
      <c r="I46" s="240"/>
      <c r="J46" s="26"/>
      <c r="L46" s="19"/>
      <c r="M46" s="20"/>
      <c r="N46" s="21"/>
    </row>
    <row r="47" spans="1:14" ht="30.75" hidden="1" customHeight="1">
      <c r="A47" s="32"/>
      <c r="B47" s="71" t="s">
        <v>126</v>
      </c>
      <c r="C47" s="72" t="s">
        <v>87</v>
      </c>
      <c r="D47" s="71" t="s">
        <v>42</v>
      </c>
      <c r="E47" s="73">
        <v>1895</v>
      </c>
      <c r="F47" s="74">
        <f>SUM(E47*2/1000)</f>
        <v>3.79</v>
      </c>
      <c r="G47" s="13">
        <v>849.49</v>
      </c>
      <c r="H47" s="75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33" hidden="1" customHeight="1">
      <c r="A48" s="32"/>
      <c r="B48" s="71" t="s">
        <v>34</v>
      </c>
      <c r="C48" s="72" t="s">
        <v>87</v>
      </c>
      <c r="D48" s="71" t="s">
        <v>42</v>
      </c>
      <c r="E48" s="73">
        <v>118.2</v>
      </c>
      <c r="F48" s="74">
        <f>E48*2/1000</f>
        <v>0.2364</v>
      </c>
      <c r="G48" s="13">
        <v>579.48</v>
      </c>
      <c r="H48" s="75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32.25" hidden="1" customHeight="1">
      <c r="A49" s="32"/>
      <c r="B49" s="71" t="s">
        <v>35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579.48</v>
      </c>
      <c r="H49" s="75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31.5" hidden="1" customHeight="1">
      <c r="A50" s="32"/>
      <c r="B50" s="71" t="s">
        <v>36</v>
      </c>
      <c r="C50" s="72" t="s">
        <v>87</v>
      </c>
      <c r="D50" s="71" t="s">
        <v>42</v>
      </c>
      <c r="E50" s="73">
        <v>4675</v>
      </c>
      <c r="F50" s="74">
        <f>SUM(E50*2/1000)</f>
        <v>9.35</v>
      </c>
      <c r="G50" s="13">
        <v>606.77</v>
      </c>
      <c r="H50" s="75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38.25" hidden="1" customHeight="1">
      <c r="A51" s="32">
        <v>17</v>
      </c>
      <c r="B51" s="71" t="s">
        <v>55</v>
      </c>
      <c r="C51" s="72" t="s">
        <v>87</v>
      </c>
      <c r="D51" s="71" t="s">
        <v>145</v>
      </c>
      <c r="E51" s="73">
        <v>3988</v>
      </c>
      <c r="F51" s="74">
        <f>SUM(E51*5/1000)</f>
        <v>19.940000000000001</v>
      </c>
      <c r="G51" s="13">
        <v>1142.7</v>
      </c>
      <c r="H51" s="75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6" hidden="1" customHeight="1">
      <c r="A52" s="32"/>
      <c r="B52" s="71" t="s">
        <v>89</v>
      </c>
      <c r="C52" s="72" t="s">
        <v>87</v>
      </c>
      <c r="D52" s="71" t="s">
        <v>42</v>
      </c>
      <c r="E52" s="73">
        <v>3988</v>
      </c>
      <c r="F52" s="74">
        <f>SUM(E52*2/1000)</f>
        <v>7.976</v>
      </c>
      <c r="G52" s="13">
        <v>1213.55</v>
      </c>
      <c r="H52" s="75">
        <f t="shared" si="4"/>
        <v>9.6792748</v>
      </c>
      <c r="I52" s="13">
        <v>0</v>
      </c>
      <c r="J52" s="26"/>
      <c r="L52" s="19"/>
      <c r="M52" s="20"/>
      <c r="N52" s="21"/>
    </row>
    <row r="53" spans="1:22" ht="30" hidden="1" customHeight="1">
      <c r="A53" s="32"/>
      <c r="B53" s="71" t="s">
        <v>90</v>
      </c>
      <c r="C53" s="72" t="s">
        <v>37</v>
      </c>
      <c r="D53" s="71" t="s">
        <v>42</v>
      </c>
      <c r="E53" s="73">
        <v>30</v>
      </c>
      <c r="F53" s="74">
        <f>SUM(E53*2/100)</f>
        <v>0.6</v>
      </c>
      <c r="G53" s="13">
        <v>2730.49</v>
      </c>
      <c r="H53" s="75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27" hidden="1" customHeight="1">
      <c r="A54" s="32"/>
      <c r="B54" s="71" t="s">
        <v>38</v>
      </c>
      <c r="C54" s="72" t="s">
        <v>39</v>
      </c>
      <c r="D54" s="71" t="s">
        <v>42</v>
      </c>
      <c r="E54" s="73">
        <v>1</v>
      </c>
      <c r="F54" s="74">
        <v>0.02</v>
      </c>
      <c r="G54" s="13">
        <v>5652.13</v>
      </c>
      <c r="H54" s="75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24" hidden="1" customHeight="1">
      <c r="A55" s="121">
        <v>18</v>
      </c>
      <c r="B55" s="80" t="s">
        <v>41</v>
      </c>
      <c r="C55" s="81" t="s">
        <v>106</v>
      </c>
      <c r="D55" s="80" t="s">
        <v>69</v>
      </c>
      <c r="E55" s="82">
        <v>236</v>
      </c>
      <c r="F55" s="85">
        <f>SUM(E55)*3</f>
        <v>708</v>
      </c>
      <c r="G55" s="91">
        <v>65.67</v>
      </c>
      <c r="H55" s="83">
        <f t="shared" si="4"/>
        <v>46.49436</v>
      </c>
      <c r="I55" s="91">
        <f>E55*G55</f>
        <v>15498.12</v>
      </c>
      <c r="J55" s="26"/>
      <c r="L55" s="19"/>
      <c r="M55" s="20"/>
      <c r="N55" s="21"/>
    </row>
    <row r="56" spans="1:22" ht="15.75" customHeight="1">
      <c r="A56" s="170">
        <v>11</v>
      </c>
      <c r="B56" s="39" t="s">
        <v>172</v>
      </c>
      <c r="C56" s="167" t="s">
        <v>106</v>
      </c>
      <c r="D56" s="111" t="s">
        <v>204</v>
      </c>
      <c r="E56" s="146">
        <v>5</v>
      </c>
      <c r="F56" s="168">
        <v>60</v>
      </c>
      <c r="G56" s="37">
        <v>903.71</v>
      </c>
      <c r="H56" s="169">
        <v>270.61</v>
      </c>
      <c r="I56" s="13">
        <f>G56*F56/12</f>
        <v>4518.55</v>
      </c>
      <c r="J56" s="66"/>
      <c r="L56" s="19"/>
      <c r="M56" s="20"/>
      <c r="N56" s="21"/>
    </row>
    <row r="57" spans="1:22" ht="15.75" customHeight="1">
      <c r="A57" s="215" t="s">
        <v>138</v>
      </c>
      <c r="B57" s="216"/>
      <c r="C57" s="216"/>
      <c r="D57" s="216"/>
      <c r="E57" s="216"/>
      <c r="F57" s="216"/>
      <c r="G57" s="216"/>
      <c r="H57" s="216"/>
      <c r="I57" s="217"/>
      <c r="J57" s="26"/>
      <c r="L57" s="19"/>
      <c r="M57" s="20"/>
      <c r="N57" s="21"/>
    </row>
    <row r="58" spans="1:22" ht="15.75" hidden="1" customHeight="1">
      <c r="A58" s="32"/>
      <c r="B58" s="92" t="s">
        <v>43</v>
      </c>
      <c r="C58" s="72"/>
      <c r="D58" s="71"/>
      <c r="E58" s="73"/>
      <c r="F58" s="74"/>
      <c r="G58" s="74"/>
      <c r="H58" s="75"/>
      <c r="I58" s="13"/>
      <c r="J58" s="26"/>
      <c r="L58" s="19"/>
      <c r="M58" s="20"/>
      <c r="N58" s="21"/>
    </row>
    <row r="59" spans="1:22" ht="31.5" hidden="1" customHeight="1">
      <c r="A59" s="32">
        <v>17</v>
      </c>
      <c r="B59" s="71" t="s">
        <v>127</v>
      </c>
      <c r="C59" s="72" t="s">
        <v>85</v>
      </c>
      <c r="D59" s="71" t="s">
        <v>107</v>
      </c>
      <c r="E59" s="73">
        <v>30</v>
      </c>
      <c r="F59" s="74">
        <f>SUM(E59*6/100)</f>
        <v>1.8</v>
      </c>
      <c r="G59" s="13">
        <v>1547.28</v>
      </c>
      <c r="H59" s="75">
        <f>SUM(F59*G59/1000)</f>
        <v>2.785104</v>
      </c>
      <c r="I59" s="13">
        <f>F59/6*G59</f>
        <v>464.18399999999997</v>
      </c>
      <c r="J59" s="26"/>
      <c r="L59" s="19"/>
    </row>
    <row r="60" spans="1:22" ht="15.75" hidden="1" customHeight="1">
      <c r="A60" s="32">
        <v>20</v>
      </c>
      <c r="B60" s="80" t="s">
        <v>128</v>
      </c>
      <c r="C60" s="81" t="s">
        <v>129</v>
      </c>
      <c r="D60" s="80" t="s">
        <v>42</v>
      </c>
      <c r="E60" s="82">
        <v>6</v>
      </c>
      <c r="F60" s="83">
        <v>12</v>
      </c>
      <c r="G60" s="13">
        <v>180.78</v>
      </c>
      <c r="H60" s="84">
        <f>G60*F60/1000</f>
        <v>2.1693600000000002</v>
      </c>
      <c r="I60" s="13">
        <f>F60/2*G60</f>
        <v>1084.68</v>
      </c>
    </row>
    <row r="61" spans="1:22" ht="15.75" hidden="1" customHeight="1">
      <c r="A61" s="32">
        <v>21</v>
      </c>
      <c r="B61" s="80" t="s">
        <v>130</v>
      </c>
      <c r="C61" s="81" t="s">
        <v>52</v>
      </c>
      <c r="D61" s="80" t="s">
        <v>40</v>
      </c>
      <c r="E61" s="82">
        <v>6</v>
      </c>
      <c r="F61" s="83">
        <f>E61*4/100</f>
        <v>0.24</v>
      </c>
      <c r="G61" s="13">
        <v>1547.28</v>
      </c>
      <c r="H61" s="84">
        <f>G61*F61/1000</f>
        <v>0.37134719999999999</v>
      </c>
      <c r="I61" s="13">
        <f>F61/4*G61</f>
        <v>92.836799999999997</v>
      </c>
    </row>
    <row r="62" spans="1:22" ht="15.75" customHeight="1">
      <c r="A62" s="32"/>
      <c r="B62" s="93" t="s">
        <v>44</v>
      </c>
      <c r="C62" s="81"/>
      <c r="D62" s="80"/>
      <c r="E62" s="82"/>
      <c r="F62" s="83"/>
      <c r="G62" s="13"/>
      <c r="H62" s="84"/>
      <c r="I62" s="13"/>
    </row>
    <row r="63" spans="1:22" ht="15.75" hidden="1" customHeight="1">
      <c r="A63" s="32">
        <v>22</v>
      </c>
      <c r="B63" s="80" t="s">
        <v>131</v>
      </c>
      <c r="C63" s="81" t="s">
        <v>52</v>
      </c>
      <c r="D63" s="80" t="s">
        <v>53</v>
      </c>
      <c r="E63" s="82">
        <v>997</v>
      </c>
      <c r="F63" s="83">
        <v>9.9700000000000006</v>
      </c>
      <c r="G63" s="13">
        <v>793.61</v>
      </c>
      <c r="H63" s="84">
        <f>F63*G63/1000</f>
        <v>7.9122917000000008</v>
      </c>
      <c r="I63" s="13">
        <f>G63*F63</f>
        <v>7912.2917000000007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2">
        <v>12</v>
      </c>
      <c r="B64" s="105" t="s">
        <v>132</v>
      </c>
      <c r="C64" s="106" t="s">
        <v>25</v>
      </c>
      <c r="D64" s="105" t="s">
        <v>204</v>
      </c>
      <c r="E64" s="107">
        <v>200</v>
      </c>
      <c r="F64" s="108">
        <f>E64*12</f>
        <v>2400</v>
      </c>
      <c r="G64" s="109">
        <v>1.4</v>
      </c>
      <c r="H64" s="83">
        <f>F64*G64/1000</f>
        <v>3.36</v>
      </c>
      <c r="I64" s="13">
        <f>F64/12*G64</f>
        <v>280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7.25" customHeight="1">
      <c r="A65" s="32"/>
      <c r="B65" s="93" t="s">
        <v>45</v>
      </c>
      <c r="C65" s="81"/>
      <c r="D65" s="80"/>
      <c r="E65" s="82"/>
      <c r="F65" s="85"/>
      <c r="G65" s="85"/>
      <c r="H65" s="83" t="s">
        <v>141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6.5" customHeight="1">
      <c r="A66" s="32">
        <v>13</v>
      </c>
      <c r="B66" s="14" t="s">
        <v>46</v>
      </c>
      <c r="C66" s="16" t="s">
        <v>106</v>
      </c>
      <c r="D66" s="71" t="s">
        <v>286</v>
      </c>
      <c r="E66" s="18">
        <v>15</v>
      </c>
      <c r="F66" s="74">
        <v>15</v>
      </c>
      <c r="G66" s="125">
        <v>303.35000000000002</v>
      </c>
      <c r="H66" s="86">
        <f t="shared" ref="H66:H83" si="5">SUM(F66*G66/1000)</f>
        <v>4.5502500000000001</v>
      </c>
      <c r="I66" s="13">
        <f>G66*3</f>
        <v>910.05000000000007</v>
      </c>
      <c r="J66" s="5"/>
      <c r="K66" s="5"/>
      <c r="L66" s="5"/>
      <c r="M66" s="5"/>
      <c r="N66" s="5"/>
      <c r="O66" s="5"/>
      <c r="P66" s="5"/>
      <c r="Q66" s="5"/>
      <c r="R66" s="218"/>
      <c r="S66" s="218"/>
      <c r="T66" s="218"/>
      <c r="U66" s="218"/>
    </row>
    <row r="67" spans="1:21" ht="15.75" hidden="1" customHeight="1">
      <c r="A67" s="32">
        <v>25</v>
      </c>
      <c r="B67" s="14" t="s">
        <v>47</v>
      </c>
      <c r="C67" s="16" t="s">
        <v>106</v>
      </c>
      <c r="D67" s="71" t="s">
        <v>65</v>
      </c>
      <c r="E67" s="18">
        <v>10</v>
      </c>
      <c r="F67" s="74">
        <v>10</v>
      </c>
      <c r="G67" s="13">
        <v>76.25</v>
      </c>
      <c r="H67" s="86">
        <f t="shared" si="5"/>
        <v>0.76249999999999996</v>
      </c>
      <c r="I67" s="13">
        <f>G67</f>
        <v>76.25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14" t="s">
        <v>48</v>
      </c>
      <c r="C68" s="16" t="s">
        <v>108</v>
      </c>
      <c r="D68" s="14" t="s">
        <v>53</v>
      </c>
      <c r="E68" s="73">
        <v>28608</v>
      </c>
      <c r="F68" s="13">
        <f>SUM(E68/100)</f>
        <v>286.08</v>
      </c>
      <c r="G68" s="13">
        <v>199.77</v>
      </c>
      <c r="H68" s="86">
        <f t="shared" si="5"/>
        <v>57.150201600000003</v>
      </c>
      <c r="I68" s="13">
        <f>F68*G68</f>
        <v>57150.2016</v>
      </c>
    </row>
    <row r="69" spans="1:21" ht="15" hidden="1" customHeight="1">
      <c r="A69" s="32"/>
      <c r="B69" s="14" t="s">
        <v>49</v>
      </c>
      <c r="C69" s="16" t="s">
        <v>109</v>
      </c>
      <c r="D69" s="14"/>
      <c r="E69" s="73">
        <v>28608</v>
      </c>
      <c r="F69" s="13">
        <f>SUM(E69/1000)</f>
        <v>28.608000000000001</v>
      </c>
      <c r="G69" s="13">
        <v>155.57</v>
      </c>
      <c r="H69" s="86">
        <f t="shared" si="5"/>
        <v>4.4505465599999994</v>
      </c>
      <c r="I69" s="13">
        <f t="shared" ref="I69:I73" si="6">F69*G69</f>
        <v>4450.5465599999998</v>
      </c>
    </row>
    <row r="70" spans="1:21" ht="13.5" hidden="1" customHeight="1">
      <c r="A70" s="32"/>
      <c r="B70" s="14" t="s">
        <v>50</v>
      </c>
      <c r="C70" s="16" t="s">
        <v>75</v>
      </c>
      <c r="D70" s="14" t="s">
        <v>53</v>
      </c>
      <c r="E70" s="73">
        <v>4550</v>
      </c>
      <c r="F70" s="13">
        <f>SUM(E70/100)</f>
        <v>45.5</v>
      </c>
      <c r="G70" s="13">
        <v>2074.63</v>
      </c>
      <c r="H70" s="86">
        <f t="shared" si="5"/>
        <v>94.395665000000008</v>
      </c>
      <c r="I70" s="13">
        <f t="shared" si="6"/>
        <v>94395.665000000008</v>
      </c>
    </row>
    <row r="71" spans="1:21" ht="16.5" hidden="1" customHeight="1">
      <c r="A71" s="32"/>
      <c r="B71" s="87" t="s">
        <v>110</v>
      </c>
      <c r="C71" s="16" t="s">
        <v>33</v>
      </c>
      <c r="D71" s="14"/>
      <c r="E71" s="73">
        <v>58.5</v>
      </c>
      <c r="F71" s="13">
        <f>SUM(E71)</f>
        <v>58.5</v>
      </c>
      <c r="G71" s="13">
        <v>45.32</v>
      </c>
      <c r="H71" s="86">
        <f t="shared" si="5"/>
        <v>2.6512199999999999</v>
      </c>
      <c r="I71" s="13">
        <f t="shared" si="6"/>
        <v>2651.22</v>
      </c>
    </row>
    <row r="72" spans="1:21" ht="18.75" hidden="1" customHeight="1">
      <c r="A72" s="32"/>
      <c r="B72" s="87" t="s">
        <v>111</v>
      </c>
      <c r="C72" s="16" t="s">
        <v>33</v>
      </c>
      <c r="D72" s="14"/>
      <c r="E72" s="73">
        <v>58.5</v>
      </c>
      <c r="F72" s="13">
        <f>SUM(E72)</f>
        <v>58.5</v>
      </c>
      <c r="G72" s="13">
        <v>42.28</v>
      </c>
      <c r="H72" s="86">
        <f t="shared" si="5"/>
        <v>2.4733800000000001</v>
      </c>
      <c r="I72" s="13">
        <f t="shared" si="6"/>
        <v>2473.38</v>
      </c>
    </row>
    <row r="73" spans="1:21" ht="20.25" hidden="1" customHeight="1">
      <c r="A73" s="32"/>
      <c r="B73" s="14" t="s">
        <v>56</v>
      </c>
      <c r="C73" s="16" t="s">
        <v>57</v>
      </c>
      <c r="D73" s="14" t="s">
        <v>53</v>
      </c>
      <c r="E73" s="18">
        <v>5</v>
      </c>
      <c r="F73" s="74">
        <v>5</v>
      </c>
      <c r="G73" s="13">
        <v>49.88</v>
      </c>
      <c r="H73" s="86">
        <f t="shared" si="5"/>
        <v>0.24940000000000001</v>
      </c>
      <c r="I73" s="13">
        <f t="shared" si="6"/>
        <v>249.4</v>
      </c>
    </row>
    <row r="74" spans="1:21" ht="24.75" customHeight="1">
      <c r="A74" s="32"/>
      <c r="B74" s="155" t="s">
        <v>176</v>
      </c>
      <c r="C74" s="154"/>
      <c r="D74" s="39"/>
      <c r="E74" s="17"/>
      <c r="F74" s="109"/>
      <c r="G74" s="36"/>
      <c r="H74" s="86"/>
      <c r="I74" s="13"/>
    </row>
    <row r="75" spans="1:21" ht="30.75" customHeight="1">
      <c r="A75" s="32">
        <v>14</v>
      </c>
      <c r="B75" s="39" t="s">
        <v>177</v>
      </c>
      <c r="C75" s="156" t="s">
        <v>178</v>
      </c>
      <c r="D75" s="39"/>
      <c r="E75" s="17">
        <v>6980.3</v>
      </c>
      <c r="F75" s="36">
        <f>E75*12</f>
        <v>83763.600000000006</v>
      </c>
      <c r="G75" s="36">
        <v>2.37</v>
      </c>
      <c r="H75" s="86"/>
      <c r="I75" s="13">
        <f>G75*F75/12</f>
        <v>16543.311000000002</v>
      </c>
    </row>
    <row r="76" spans="1:21" ht="15" customHeight="1">
      <c r="A76" s="32"/>
      <c r="B76" s="96" t="s">
        <v>70</v>
      </c>
      <c r="C76" s="16"/>
      <c r="D76" s="14"/>
      <c r="E76" s="18"/>
      <c r="F76" s="13"/>
      <c r="G76" s="13"/>
      <c r="H76" s="86" t="s">
        <v>141</v>
      </c>
      <c r="I76" s="13"/>
    </row>
    <row r="77" spans="1:21" ht="33.75" customHeight="1">
      <c r="A77" s="32">
        <v>15</v>
      </c>
      <c r="B77" s="39" t="s">
        <v>179</v>
      </c>
      <c r="C77" s="154" t="s">
        <v>180</v>
      </c>
      <c r="D77" s="39" t="s">
        <v>320</v>
      </c>
      <c r="E77" s="17">
        <v>1</v>
      </c>
      <c r="F77" s="36">
        <v>1</v>
      </c>
      <c r="G77" s="36">
        <v>2112.2800000000002</v>
      </c>
      <c r="H77" s="86"/>
      <c r="I77" s="13">
        <f>G77*1</f>
        <v>2112.2800000000002</v>
      </c>
    </row>
    <row r="78" spans="1:21" ht="27" hidden="1" customHeight="1">
      <c r="A78" s="32">
        <v>16</v>
      </c>
      <c r="B78" s="14" t="s">
        <v>71</v>
      </c>
      <c r="C78" s="16" t="s">
        <v>73</v>
      </c>
      <c r="D78" s="14"/>
      <c r="E78" s="18">
        <v>10</v>
      </c>
      <c r="F78" s="13">
        <v>1</v>
      </c>
      <c r="G78" s="13">
        <v>501.62</v>
      </c>
      <c r="H78" s="86">
        <f t="shared" si="5"/>
        <v>0.50161999999999995</v>
      </c>
      <c r="I78" s="13">
        <f>G78*2</f>
        <v>1003.24</v>
      </c>
    </row>
    <row r="79" spans="1:21" ht="21.75" hidden="1" customHeight="1">
      <c r="A79" s="32"/>
      <c r="B79" s="14" t="s">
        <v>72</v>
      </c>
      <c r="C79" s="16" t="s">
        <v>31</v>
      </c>
      <c r="D79" s="14"/>
      <c r="E79" s="18">
        <v>3</v>
      </c>
      <c r="F79" s="66">
        <v>3</v>
      </c>
      <c r="G79" s="13">
        <v>852.99</v>
      </c>
      <c r="H79" s="86">
        <f>F79*G79/1000</f>
        <v>2.5589700000000004</v>
      </c>
      <c r="I79" s="13">
        <v>0</v>
      </c>
    </row>
    <row r="80" spans="1:21" ht="30.75" hidden="1" customHeight="1">
      <c r="A80" s="32"/>
      <c r="B80" s="14" t="s">
        <v>113</v>
      </c>
      <c r="C80" s="16" t="s">
        <v>31</v>
      </c>
      <c r="D80" s="14"/>
      <c r="E80" s="18">
        <v>1</v>
      </c>
      <c r="F80" s="13">
        <v>1</v>
      </c>
      <c r="G80" s="13">
        <v>358.51</v>
      </c>
      <c r="H80" s="86">
        <f>G80*F80/1000</f>
        <v>0.35851</v>
      </c>
      <c r="I80" s="13">
        <v>0</v>
      </c>
    </row>
    <row r="81" spans="1:9" ht="30.75" customHeight="1">
      <c r="A81" s="32">
        <v>16</v>
      </c>
      <c r="B81" s="39" t="s">
        <v>183</v>
      </c>
      <c r="C81" s="154" t="s">
        <v>106</v>
      </c>
      <c r="D81" s="39" t="s">
        <v>204</v>
      </c>
      <c r="E81" s="17">
        <v>2</v>
      </c>
      <c r="F81" s="36">
        <v>24</v>
      </c>
      <c r="G81" s="36">
        <v>55.55</v>
      </c>
      <c r="H81" s="86">
        <f>G81*F81/1000</f>
        <v>1.3331999999999997</v>
      </c>
      <c r="I81" s="13">
        <f>G81*F81/12</f>
        <v>111.09999999999998</v>
      </c>
    </row>
    <row r="82" spans="1:9" ht="23.25" hidden="1" customHeight="1">
      <c r="A82" s="32"/>
      <c r="B82" s="89" t="s">
        <v>74</v>
      </c>
      <c r="C82" s="16"/>
      <c r="D82" s="14"/>
      <c r="E82" s="18"/>
      <c r="F82" s="13"/>
      <c r="G82" s="13" t="s">
        <v>141</v>
      </c>
      <c r="H82" s="86" t="s">
        <v>141</v>
      </c>
      <c r="I82" s="13"/>
    </row>
    <row r="83" spans="1:9" ht="23.25" hidden="1" customHeight="1">
      <c r="A83" s="32"/>
      <c r="B83" s="47" t="s">
        <v>146</v>
      </c>
      <c r="C83" s="16" t="s">
        <v>75</v>
      </c>
      <c r="D83" s="14"/>
      <c r="E83" s="18"/>
      <c r="F83" s="13">
        <v>1.2</v>
      </c>
      <c r="G83" s="13">
        <v>2759.44</v>
      </c>
      <c r="H83" s="86">
        <f t="shared" si="5"/>
        <v>3.311328</v>
      </c>
      <c r="I83" s="13">
        <v>0</v>
      </c>
    </row>
    <row r="84" spans="1:9" ht="20.25" hidden="1" customHeight="1">
      <c r="A84" s="32"/>
      <c r="B84" s="65" t="s">
        <v>91</v>
      </c>
      <c r="C84" s="65"/>
      <c r="D84" s="65"/>
      <c r="E84" s="65"/>
      <c r="F84" s="65"/>
      <c r="G84" s="77"/>
      <c r="H84" s="90">
        <f>SUM(H59:H83)</f>
        <v>191.34489406</v>
      </c>
      <c r="I84" s="77"/>
    </row>
    <row r="85" spans="1:9" ht="20.25" hidden="1" customHeight="1">
      <c r="A85" s="32"/>
      <c r="B85" s="94" t="s">
        <v>112</v>
      </c>
      <c r="C85" s="23"/>
      <c r="D85" s="22"/>
      <c r="E85" s="67"/>
      <c r="F85" s="95">
        <v>1</v>
      </c>
      <c r="G85" s="13">
        <v>23072.1</v>
      </c>
      <c r="H85" s="86">
        <f>G85*F85/1000</f>
        <v>23.072099999999999</v>
      </c>
      <c r="I85" s="13">
        <v>0</v>
      </c>
    </row>
    <row r="86" spans="1:9" ht="15.75" customHeight="1">
      <c r="A86" s="219" t="s">
        <v>139</v>
      </c>
      <c r="B86" s="220"/>
      <c r="C86" s="220"/>
      <c r="D86" s="220"/>
      <c r="E86" s="220"/>
      <c r="F86" s="220"/>
      <c r="G86" s="220"/>
      <c r="H86" s="220"/>
      <c r="I86" s="221"/>
    </row>
    <row r="87" spans="1:9" ht="15.75" customHeight="1">
      <c r="A87" s="32">
        <v>17</v>
      </c>
      <c r="B87" s="111" t="s">
        <v>114</v>
      </c>
      <c r="C87" s="154" t="s">
        <v>54</v>
      </c>
      <c r="D87" s="50"/>
      <c r="E87" s="36">
        <v>6980.3</v>
      </c>
      <c r="F87" s="36">
        <f>SUM(E87*12)</f>
        <v>83763.600000000006</v>
      </c>
      <c r="G87" s="36">
        <v>3.22</v>
      </c>
      <c r="H87" s="86">
        <f>SUM(F87*G87/1000)</f>
        <v>269.71879200000001</v>
      </c>
      <c r="I87" s="13">
        <f>F87/12*G87</f>
        <v>22476.566000000003</v>
      </c>
    </row>
    <row r="88" spans="1:9" ht="31.5" customHeight="1">
      <c r="A88" s="32">
        <v>18</v>
      </c>
      <c r="B88" s="39" t="s">
        <v>76</v>
      </c>
      <c r="C88" s="154"/>
      <c r="D88" s="103"/>
      <c r="E88" s="146">
        <f>E87</f>
        <v>6980.3</v>
      </c>
      <c r="F88" s="36">
        <f>E88*12</f>
        <v>83763.600000000006</v>
      </c>
      <c r="G88" s="36">
        <v>3.64</v>
      </c>
      <c r="H88" s="86">
        <f>F88*G88/1000</f>
        <v>304.89950400000004</v>
      </c>
      <c r="I88" s="13">
        <f>F88/12*G88</f>
        <v>25408.292000000001</v>
      </c>
    </row>
    <row r="89" spans="1:9" ht="15.75" customHeight="1">
      <c r="A89" s="32"/>
      <c r="B89" s="40" t="s">
        <v>78</v>
      </c>
      <c r="C89" s="89"/>
      <c r="D89" s="88"/>
      <c r="E89" s="77"/>
      <c r="F89" s="77"/>
      <c r="G89" s="77"/>
      <c r="H89" s="90">
        <f>H88</f>
        <v>304.89950400000004</v>
      </c>
      <c r="I89" s="77">
        <f>I88+I87+I81+I77+I75+I66+I64+I56+I45+I44+I43+I42+I40+I39+I26+I18+I17+I16</f>
        <v>111189.66984733334</v>
      </c>
    </row>
    <row r="90" spans="1:9" ht="15.75" customHeight="1">
      <c r="A90" s="230" t="s">
        <v>59</v>
      </c>
      <c r="B90" s="231"/>
      <c r="C90" s="231"/>
      <c r="D90" s="231"/>
      <c r="E90" s="231"/>
      <c r="F90" s="231"/>
      <c r="G90" s="231"/>
      <c r="H90" s="231"/>
      <c r="I90" s="232"/>
    </row>
    <row r="91" spans="1:9" ht="32.25" customHeight="1">
      <c r="A91" s="32">
        <v>19</v>
      </c>
      <c r="B91" s="51" t="s">
        <v>187</v>
      </c>
      <c r="C91" s="52" t="s">
        <v>144</v>
      </c>
      <c r="D91" s="197" t="s">
        <v>317</v>
      </c>
      <c r="E91" s="198"/>
      <c r="F91" s="198">
        <v>2</v>
      </c>
      <c r="G91" s="198">
        <v>587.65</v>
      </c>
      <c r="H91" s="86"/>
      <c r="I91" s="13">
        <f>G91*2</f>
        <v>1175.3</v>
      </c>
    </row>
    <row r="92" spans="1:9" ht="18" customHeight="1">
      <c r="A92" s="32">
        <v>20</v>
      </c>
      <c r="B92" s="51" t="s">
        <v>308</v>
      </c>
      <c r="C92" s="52" t="s">
        <v>186</v>
      </c>
      <c r="D92" s="197"/>
      <c r="E92" s="198"/>
      <c r="F92" s="198">
        <v>1</v>
      </c>
      <c r="G92" s="198">
        <v>647</v>
      </c>
      <c r="H92" s="102"/>
      <c r="I92" s="13">
        <f>G92*1</f>
        <v>647</v>
      </c>
    </row>
    <row r="93" spans="1:9" ht="29.25" customHeight="1">
      <c r="A93" s="32">
        <v>21</v>
      </c>
      <c r="B93" s="51" t="s">
        <v>309</v>
      </c>
      <c r="C93" s="52" t="s">
        <v>79</v>
      </c>
      <c r="D93" s="197" t="s">
        <v>322</v>
      </c>
      <c r="E93" s="198"/>
      <c r="F93" s="198">
        <v>1</v>
      </c>
      <c r="G93" s="198">
        <v>796</v>
      </c>
      <c r="H93" s="102"/>
      <c r="I93" s="13">
        <f>G93*0.5</f>
        <v>398</v>
      </c>
    </row>
    <row r="94" spans="1:9" ht="17.25" customHeight="1">
      <c r="A94" s="32">
        <v>22</v>
      </c>
      <c r="B94" s="51" t="s">
        <v>310</v>
      </c>
      <c r="C94" s="52" t="s">
        <v>106</v>
      </c>
      <c r="D94" s="197"/>
      <c r="E94" s="198"/>
      <c r="F94" s="198">
        <v>1</v>
      </c>
      <c r="G94" s="198">
        <v>15.72</v>
      </c>
      <c r="H94" s="102"/>
      <c r="I94" s="13">
        <f>G94*1</f>
        <v>15.72</v>
      </c>
    </row>
    <row r="95" spans="1:9" ht="16.5" customHeight="1">
      <c r="A95" s="32">
        <v>23</v>
      </c>
      <c r="B95" s="51" t="s">
        <v>221</v>
      </c>
      <c r="C95" s="52" t="s">
        <v>106</v>
      </c>
      <c r="D95" s="197"/>
      <c r="E95" s="198"/>
      <c r="F95" s="198">
        <v>2</v>
      </c>
      <c r="G95" s="198">
        <v>132</v>
      </c>
      <c r="H95" s="102"/>
      <c r="I95" s="13">
        <f>G95*1</f>
        <v>132</v>
      </c>
    </row>
    <row r="96" spans="1:9" ht="18.75" customHeight="1">
      <c r="A96" s="32">
        <v>24</v>
      </c>
      <c r="B96" s="51" t="s">
        <v>222</v>
      </c>
      <c r="C96" s="52" t="s">
        <v>82</v>
      </c>
      <c r="D96" s="197" t="s">
        <v>321</v>
      </c>
      <c r="E96" s="198"/>
      <c r="F96" s="198">
        <v>20</v>
      </c>
      <c r="G96" s="198">
        <v>222.63</v>
      </c>
      <c r="H96" s="102"/>
      <c r="I96" s="13">
        <v>0</v>
      </c>
    </row>
    <row r="97" spans="1:9" ht="17.25" customHeight="1">
      <c r="A97" s="32">
        <v>25</v>
      </c>
      <c r="B97" s="51" t="s">
        <v>232</v>
      </c>
      <c r="C97" s="52" t="s">
        <v>163</v>
      </c>
      <c r="D97" s="197" t="s">
        <v>367</v>
      </c>
      <c r="E97" s="198"/>
      <c r="F97" s="198">
        <v>134</v>
      </c>
      <c r="G97" s="198">
        <v>284</v>
      </c>
      <c r="H97" s="102"/>
      <c r="I97" s="13">
        <v>0</v>
      </c>
    </row>
    <row r="98" spans="1:9" ht="21.75" customHeight="1">
      <c r="A98" s="32">
        <v>26</v>
      </c>
      <c r="B98" s="51" t="s">
        <v>185</v>
      </c>
      <c r="C98" s="52" t="s">
        <v>186</v>
      </c>
      <c r="D98" s="197"/>
      <c r="E98" s="198"/>
      <c r="F98" s="198">
        <v>5</v>
      </c>
      <c r="G98" s="198">
        <v>227</v>
      </c>
      <c r="H98" s="102"/>
      <c r="I98" s="13">
        <f>G98*1</f>
        <v>227</v>
      </c>
    </row>
    <row r="99" spans="1:9" ht="17.25" customHeight="1">
      <c r="A99" s="32">
        <v>27</v>
      </c>
      <c r="B99" s="51" t="s">
        <v>311</v>
      </c>
      <c r="C99" s="52" t="s">
        <v>312</v>
      </c>
      <c r="D99" s="197"/>
      <c r="E99" s="198"/>
      <c r="F99" s="198">
        <v>15</v>
      </c>
      <c r="G99" s="198">
        <v>46.66</v>
      </c>
      <c r="H99" s="102"/>
      <c r="I99" s="13">
        <f>G99*15</f>
        <v>699.9</v>
      </c>
    </row>
    <row r="100" spans="1:9" ht="30.75" customHeight="1">
      <c r="A100" s="32">
        <v>28</v>
      </c>
      <c r="B100" s="157" t="s">
        <v>191</v>
      </c>
      <c r="C100" s="156" t="s">
        <v>189</v>
      </c>
      <c r="D100" s="197" t="s">
        <v>323</v>
      </c>
      <c r="E100" s="198"/>
      <c r="F100" s="198">
        <v>3</v>
      </c>
      <c r="G100" s="198">
        <v>458.9</v>
      </c>
      <c r="H100" s="102"/>
      <c r="I100" s="13">
        <f>G100*1</f>
        <v>458.9</v>
      </c>
    </row>
    <row r="101" spans="1:9" ht="17.25" customHeight="1">
      <c r="A101" s="32">
        <v>29</v>
      </c>
      <c r="B101" s="51" t="s">
        <v>279</v>
      </c>
      <c r="C101" s="52" t="s">
        <v>106</v>
      </c>
      <c r="D101" s="197" t="s">
        <v>318</v>
      </c>
      <c r="E101" s="198"/>
      <c r="F101" s="198">
        <v>3</v>
      </c>
      <c r="G101" s="198">
        <v>90</v>
      </c>
      <c r="H101" s="102"/>
      <c r="I101" s="13">
        <v>0</v>
      </c>
    </row>
    <row r="102" spans="1:9" ht="17.25" customHeight="1">
      <c r="A102" s="32">
        <v>30</v>
      </c>
      <c r="B102" s="157" t="s">
        <v>313</v>
      </c>
      <c r="C102" s="156" t="s">
        <v>93</v>
      </c>
      <c r="D102" s="197" t="s">
        <v>319</v>
      </c>
      <c r="E102" s="198"/>
      <c r="F102" s="198">
        <v>0.16</v>
      </c>
      <c r="G102" s="198">
        <v>3730.99</v>
      </c>
      <c r="H102" s="102"/>
      <c r="I102" s="13">
        <f>G102*0.16</f>
        <v>596.95839999999998</v>
      </c>
    </row>
    <row r="103" spans="1:9" ht="17.25" customHeight="1">
      <c r="A103" s="32">
        <v>31</v>
      </c>
      <c r="B103" s="51" t="s">
        <v>80</v>
      </c>
      <c r="C103" s="52" t="s">
        <v>106</v>
      </c>
      <c r="D103" s="197"/>
      <c r="E103" s="198"/>
      <c r="F103" s="198">
        <v>5</v>
      </c>
      <c r="G103" s="198">
        <v>215.85</v>
      </c>
      <c r="H103" s="102"/>
      <c r="I103" s="13">
        <f>G103*1</f>
        <v>215.85</v>
      </c>
    </row>
    <row r="104" spans="1:9" ht="32.25" customHeight="1">
      <c r="A104" s="32">
        <v>32</v>
      </c>
      <c r="B104" s="51" t="s">
        <v>314</v>
      </c>
      <c r="C104" s="52" t="s">
        <v>315</v>
      </c>
      <c r="D104" s="199" t="s">
        <v>316</v>
      </c>
      <c r="E104" s="198"/>
      <c r="F104" s="198">
        <v>0.5</v>
      </c>
      <c r="G104" s="198">
        <v>1996</v>
      </c>
      <c r="H104" s="102"/>
      <c r="I104" s="13">
        <f>G104*0.5</f>
        <v>998</v>
      </c>
    </row>
    <row r="105" spans="1:9" ht="15.75" customHeight="1">
      <c r="A105" s="32"/>
      <c r="B105" s="45" t="s">
        <v>51</v>
      </c>
      <c r="C105" s="41"/>
      <c r="D105" s="48"/>
      <c r="E105" s="41">
        <v>1</v>
      </c>
      <c r="F105" s="41"/>
      <c r="G105" s="41"/>
      <c r="H105" s="41"/>
      <c r="I105" s="34">
        <f>SUM(I91:I104)</f>
        <v>5564.6284000000005</v>
      </c>
    </row>
    <row r="106" spans="1:9">
      <c r="A106" s="32"/>
      <c r="B106" s="47" t="s">
        <v>77</v>
      </c>
      <c r="C106" s="15"/>
      <c r="D106" s="15"/>
      <c r="E106" s="42"/>
      <c r="F106" s="42"/>
      <c r="G106" s="43"/>
      <c r="H106" s="43"/>
      <c r="I106" s="17">
        <v>0</v>
      </c>
    </row>
    <row r="107" spans="1:9">
      <c r="A107" s="49"/>
      <c r="B107" s="46" t="s">
        <v>157</v>
      </c>
      <c r="C107" s="35"/>
      <c r="D107" s="35"/>
      <c r="E107" s="35"/>
      <c r="F107" s="35"/>
      <c r="G107" s="35"/>
      <c r="H107" s="35"/>
      <c r="I107" s="44">
        <f>I89+I105</f>
        <v>116754.29824733334</v>
      </c>
    </row>
    <row r="108" spans="1:9" ht="15.75">
      <c r="A108" s="222" t="s">
        <v>368</v>
      </c>
      <c r="B108" s="222"/>
      <c r="C108" s="222"/>
      <c r="D108" s="222"/>
      <c r="E108" s="222"/>
      <c r="F108" s="222"/>
      <c r="G108" s="222"/>
      <c r="H108" s="222"/>
      <c r="I108" s="222"/>
    </row>
    <row r="109" spans="1:9" ht="15.75" customHeight="1">
      <c r="A109" s="58"/>
      <c r="B109" s="223" t="s">
        <v>369</v>
      </c>
      <c r="C109" s="223"/>
      <c r="D109" s="223"/>
      <c r="E109" s="223"/>
      <c r="F109" s="223"/>
      <c r="G109" s="223"/>
      <c r="H109" s="70"/>
      <c r="I109" s="3"/>
    </row>
    <row r="110" spans="1:9">
      <c r="A110" s="98"/>
      <c r="B110" s="224" t="s">
        <v>6</v>
      </c>
      <c r="C110" s="224"/>
      <c r="D110" s="224"/>
      <c r="E110" s="224"/>
      <c r="F110" s="224"/>
      <c r="G110" s="224"/>
      <c r="H110" s="27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225" t="s">
        <v>7</v>
      </c>
      <c r="B112" s="225"/>
      <c r="C112" s="225"/>
      <c r="D112" s="225"/>
      <c r="E112" s="225"/>
      <c r="F112" s="225"/>
      <c r="G112" s="225"/>
      <c r="H112" s="225"/>
      <c r="I112" s="225"/>
    </row>
    <row r="113" spans="1:9" ht="15.75">
      <c r="A113" s="225" t="s">
        <v>8</v>
      </c>
      <c r="B113" s="225"/>
      <c r="C113" s="225"/>
      <c r="D113" s="225"/>
      <c r="E113" s="225"/>
      <c r="F113" s="225"/>
      <c r="G113" s="225"/>
      <c r="H113" s="225"/>
      <c r="I113" s="225"/>
    </row>
    <row r="114" spans="1:9" ht="15.75">
      <c r="A114" s="226" t="s">
        <v>60</v>
      </c>
      <c r="B114" s="226"/>
      <c r="C114" s="226"/>
      <c r="D114" s="226"/>
      <c r="E114" s="226"/>
      <c r="F114" s="226"/>
      <c r="G114" s="226"/>
      <c r="H114" s="226"/>
      <c r="I114" s="226"/>
    </row>
    <row r="115" spans="1:9" ht="15.75">
      <c r="A115" s="11"/>
    </row>
    <row r="116" spans="1:9" ht="15.75">
      <c r="A116" s="227" t="s">
        <v>9</v>
      </c>
      <c r="B116" s="227"/>
      <c r="C116" s="227"/>
      <c r="D116" s="227"/>
      <c r="E116" s="227"/>
      <c r="F116" s="227"/>
      <c r="G116" s="227"/>
      <c r="H116" s="227"/>
      <c r="I116" s="227"/>
    </row>
    <row r="117" spans="1:9" ht="15.75" customHeight="1">
      <c r="A117" s="4"/>
    </row>
    <row r="118" spans="1:9" ht="15.75" customHeight="1">
      <c r="B118" s="100" t="s">
        <v>10</v>
      </c>
      <c r="C118" s="228" t="s">
        <v>304</v>
      </c>
      <c r="D118" s="228"/>
      <c r="E118" s="228"/>
      <c r="F118" s="68"/>
      <c r="I118" s="101"/>
    </row>
    <row r="119" spans="1:9" ht="15.75" customHeight="1">
      <c r="A119" s="98"/>
      <c r="C119" s="224" t="s">
        <v>11</v>
      </c>
      <c r="D119" s="224"/>
      <c r="E119" s="224"/>
      <c r="F119" s="27"/>
      <c r="I119" s="99" t="s">
        <v>12</v>
      </c>
    </row>
    <row r="120" spans="1:9" ht="15.75" customHeight="1">
      <c r="A120" s="28"/>
      <c r="C120" s="12"/>
      <c r="D120" s="12"/>
      <c r="G120" s="12"/>
      <c r="H120" s="12"/>
    </row>
    <row r="121" spans="1:9" ht="15.75">
      <c r="B121" s="100" t="s">
        <v>13</v>
      </c>
      <c r="C121" s="229"/>
      <c r="D121" s="229"/>
      <c r="E121" s="229"/>
      <c r="F121" s="69"/>
      <c r="I121" s="101"/>
    </row>
    <row r="122" spans="1:9">
      <c r="A122" s="98"/>
      <c r="C122" s="218" t="s">
        <v>11</v>
      </c>
      <c r="D122" s="218"/>
      <c r="E122" s="218"/>
      <c r="F122" s="98"/>
      <c r="I122" s="99" t="s">
        <v>12</v>
      </c>
    </row>
    <row r="123" spans="1:9" ht="15.75">
      <c r="A123" s="4" t="s">
        <v>14</v>
      </c>
    </row>
    <row r="124" spans="1:9">
      <c r="A124" s="233" t="s">
        <v>15</v>
      </c>
      <c r="B124" s="233"/>
      <c r="C124" s="233"/>
      <c r="D124" s="233"/>
      <c r="E124" s="233"/>
      <c r="F124" s="233"/>
      <c r="G124" s="233"/>
      <c r="H124" s="233"/>
      <c r="I124" s="233"/>
    </row>
    <row r="125" spans="1:9" ht="45" customHeight="1">
      <c r="A125" s="234" t="s">
        <v>16</v>
      </c>
      <c r="B125" s="234"/>
      <c r="C125" s="234"/>
      <c r="D125" s="234"/>
      <c r="E125" s="234"/>
      <c r="F125" s="234"/>
      <c r="G125" s="234"/>
      <c r="H125" s="234"/>
      <c r="I125" s="234"/>
    </row>
    <row r="126" spans="1:9" ht="30" customHeight="1">
      <c r="A126" s="234" t="s">
        <v>17</v>
      </c>
      <c r="B126" s="234"/>
      <c r="C126" s="234"/>
      <c r="D126" s="234"/>
      <c r="E126" s="234"/>
      <c r="F126" s="234"/>
      <c r="G126" s="234"/>
      <c r="H126" s="234"/>
      <c r="I126" s="234"/>
    </row>
    <row r="127" spans="1:9" ht="30" customHeight="1">
      <c r="A127" s="234" t="s">
        <v>21</v>
      </c>
      <c r="B127" s="234"/>
      <c r="C127" s="234"/>
      <c r="D127" s="234"/>
      <c r="E127" s="234"/>
      <c r="F127" s="234"/>
      <c r="G127" s="234"/>
      <c r="H127" s="234"/>
      <c r="I127" s="234"/>
    </row>
    <row r="128" spans="1:9" ht="15" customHeight="1">
      <c r="A128" s="234" t="s">
        <v>20</v>
      </c>
      <c r="B128" s="234"/>
      <c r="C128" s="234"/>
      <c r="D128" s="234"/>
      <c r="E128" s="234"/>
      <c r="F128" s="234"/>
      <c r="G128" s="234"/>
      <c r="H128" s="234"/>
      <c r="I128" s="234"/>
    </row>
  </sheetData>
  <autoFilter ref="I12:I61"/>
  <mergeCells count="29">
    <mergeCell ref="A14:I14"/>
    <mergeCell ref="A15:I15"/>
    <mergeCell ref="A28:I28"/>
    <mergeCell ref="A46:I46"/>
    <mergeCell ref="A57:I57"/>
    <mergeCell ref="A3:I3"/>
    <mergeCell ref="A4:I4"/>
    <mergeCell ref="A5:I5"/>
    <mergeCell ref="A8:I8"/>
    <mergeCell ref="A10:I10"/>
    <mergeCell ref="R66:U66"/>
    <mergeCell ref="C122:E122"/>
    <mergeCell ref="A90:I90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86:I86"/>
    <mergeCell ref="A124:I124"/>
    <mergeCell ref="A125:I125"/>
    <mergeCell ref="A126:I126"/>
    <mergeCell ref="A127:I127"/>
    <mergeCell ref="A128:I12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2"/>
  <sheetViews>
    <sheetView tabSelected="1" topLeftCell="A94" workbookViewId="0">
      <selection activeCell="J104" sqref="J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2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162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324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97"/>
      <c r="C6" s="97"/>
      <c r="D6" s="97"/>
      <c r="E6" s="97"/>
      <c r="F6" s="97"/>
      <c r="G6" s="97"/>
      <c r="H6" s="97"/>
      <c r="I6" s="33">
        <v>44196</v>
      </c>
      <c r="J6" s="2"/>
      <c r="K6" s="2"/>
      <c r="L6" s="2"/>
      <c r="M6" s="2"/>
    </row>
    <row r="7" spans="1:13" ht="15.75">
      <c r="B7" s="100"/>
      <c r="C7" s="100"/>
      <c r="D7" s="10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300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201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G16*F16/156*7</f>
        <v>3484.0915200000004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196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G17*F17/104*2</f>
        <v>3981.8188799999998</v>
      </c>
      <c r="J17" s="25"/>
      <c r="K17" s="8"/>
      <c r="L17" s="8"/>
      <c r="M17" s="8"/>
    </row>
    <row r="18" spans="1:13" ht="15.75" hidden="1" customHeight="1">
      <c r="A18" s="32">
        <v>3</v>
      </c>
      <c r="B18" s="111" t="s">
        <v>116</v>
      </c>
      <c r="C18" s="112" t="s">
        <v>85</v>
      </c>
      <c r="D18" s="111"/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3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G26*F26/258*15</f>
        <v>1812.5355000000004</v>
      </c>
      <c r="J26" s="26"/>
    </row>
    <row r="27" spans="1:13" ht="15.75" hidden="1" customHeight="1">
      <c r="A27" s="32">
        <v>9</v>
      </c>
      <c r="B27" s="79" t="s">
        <v>23</v>
      </c>
      <c r="C27" s="72" t="s">
        <v>24</v>
      </c>
      <c r="D27" s="71"/>
      <c r="E27" s="73">
        <v>6980.3</v>
      </c>
      <c r="F27" s="74">
        <f>SUM(E27*12)</f>
        <v>83763.600000000006</v>
      </c>
      <c r="G27" s="74">
        <v>4.4000000000000004</v>
      </c>
      <c r="H27" s="75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214" t="s">
        <v>83</v>
      </c>
      <c r="B28" s="214"/>
      <c r="C28" s="214"/>
      <c r="D28" s="214"/>
      <c r="E28" s="214"/>
      <c r="F28" s="214"/>
      <c r="G28" s="214"/>
      <c r="H28" s="214"/>
      <c r="I28" s="214"/>
      <c r="J28" s="25"/>
      <c r="K28" s="8"/>
      <c r="L28" s="8"/>
      <c r="M28" s="8"/>
    </row>
    <row r="29" spans="1:13" ht="15.75" hidden="1" customHeight="1">
      <c r="A29" s="32"/>
      <c r="B29" s="92" t="s">
        <v>28</v>
      </c>
      <c r="C29" s="72"/>
      <c r="D29" s="71"/>
      <c r="E29" s="73"/>
      <c r="F29" s="74"/>
      <c r="G29" s="74"/>
      <c r="H29" s="75"/>
      <c r="I29" s="13"/>
      <c r="J29" s="25"/>
      <c r="K29" s="8"/>
      <c r="L29" s="8"/>
      <c r="M29" s="8"/>
    </row>
    <row r="30" spans="1:13" ht="15.75" hidden="1" customHeight="1">
      <c r="A30" s="32">
        <v>10</v>
      </c>
      <c r="B30" s="71" t="s">
        <v>104</v>
      </c>
      <c r="C30" s="72" t="s">
        <v>87</v>
      </c>
      <c r="D30" s="71" t="s">
        <v>159</v>
      </c>
      <c r="E30" s="74">
        <v>1168.05</v>
      </c>
      <c r="F30" s="74">
        <f>SUM(E30*52/1000)</f>
        <v>60.738599999999998</v>
      </c>
      <c r="G30" s="74">
        <v>155.88999999999999</v>
      </c>
      <c r="H30" s="75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1" t="s">
        <v>120</v>
      </c>
      <c r="C31" s="72" t="s">
        <v>87</v>
      </c>
      <c r="D31" s="71" t="s">
        <v>160</v>
      </c>
      <c r="E31" s="74">
        <v>1039.2</v>
      </c>
      <c r="F31" s="74">
        <f>SUM(E31*78/1000)</f>
        <v>81.057600000000008</v>
      </c>
      <c r="G31" s="74">
        <v>258.63</v>
      </c>
      <c r="H31" s="75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1" t="s">
        <v>27</v>
      </c>
      <c r="C32" s="72" t="s">
        <v>87</v>
      </c>
      <c r="D32" s="71" t="s">
        <v>53</v>
      </c>
      <c r="E32" s="74">
        <v>584.03</v>
      </c>
      <c r="F32" s="74">
        <f>SUM(E32/1000)</f>
        <v>0.58402999999999994</v>
      </c>
      <c r="G32" s="74">
        <v>3020.33</v>
      </c>
      <c r="H32" s="75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1" t="s">
        <v>119</v>
      </c>
      <c r="C33" s="72" t="s">
        <v>39</v>
      </c>
      <c r="D33" s="71" t="s">
        <v>62</v>
      </c>
      <c r="E33" s="74">
        <v>6</v>
      </c>
      <c r="F33" s="74">
        <f>E33*155/100</f>
        <v>9.3000000000000007</v>
      </c>
      <c r="G33" s="74">
        <v>1302.02</v>
      </c>
      <c r="H33" s="75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1" t="s">
        <v>103</v>
      </c>
      <c r="C34" s="72" t="s">
        <v>31</v>
      </c>
      <c r="D34" s="71" t="s">
        <v>62</v>
      </c>
      <c r="E34" s="78">
        <v>0.33333333333333331</v>
      </c>
      <c r="F34" s="74">
        <f>155/3</f>
        <v>51.666666666666664</v>
      </c>
      <c r="G34" s="74">
        <v>56.69</v>
      </c>
      <c r="H34" s="75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1" t="s">
        <v>63</v>
      </c>
      <c r="C35" s="72" t="s">
        <v>33</v>
      </c>
      <c r="D35" s="71" t="s">
        <v>65</v>
      </c>
      <c r="E35" s="73"/>
      <c r="F35" s="74">
        <v>4</v>
      </c>
      <c r="G35" s="74">
        <v>180.15</v>
      </c>
      <c r="H35" s="75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1" t="s">
        <v>64</v>
      </c>
      <c r="C36" s="72" t="s">
        <v>32</v>
      </c>
      <c r="D36" s="71" t="s">
        <v>65</v>
      </c>
      <c r="E36" s="73"/>
      <c r="F36" s="74">
        <v>3</v>
      </c>
      <c r="G36" s="74">
        <v>1136.33</v>
      </c>
      <c r="H36" s="75">
        <f t="shared" si="1"/>
        <v>3.4089899999999997</v>
      </c>
      <c r="I36" s="13">
        <v>0</v>
      </c>
      <c r="J36" s="26"/>
    </row>
    <row r="37" spans="1:14" ht="15.75" customHeight="1">
      <c r="A37" s="32"/>
      <c r="B37" s="92" t="s">
        <v>5</v>
      </c>
      <c r="C37" s="72"/>
      <c r="D37" s="71"/>
      <c r="E37" s="73"/>
      <c r="F37" s="74"/>
      <c r="G37" s="74"/>
      <c r="H37" s="75" t="s">
        <v>141</v>
      </c>
      <c r="I37" s="13"/>
      <c r="J37" s="26"/>
    </row>
    <row r="38" spans="1:14" ht="16.5" customHeight="1">
      <c r="A38" s="32">
        <v>4</v>
      </c>
      <c r="B38" s="158" t="s">
        <v>26</v>
      </c>
      <c r="C38" s="112" t="s">
        <v>32</v>
      </c>
      <c r="D38" s="111" t="s">
        <v>325</v>
      </c>
      <c r="E38" s="146"/>
      <c r="F38" s="147">
        <v>5</v>
      </c>
      <c r="G38" s="147">
        <v>2083</v>
      </c>
      <c r="H38" s="75">
        <f t="shared" ref="H38:H43" si="3">SUM(F38*G38/1000)</f>
        <v>10.414999999999999</v>
      </c>
      <c r="I38" s="13">
        <f>G38*0.8</f>
        <v>1666.4</v>
      </c>
      <c r="J38" s="26"/>
    </row>
    <row r="39" spans="1:14" ht="15.75" hidden="1" customHeight="1">
      <c r="A39" s="32">
        <v>6</v>
      </c>
      <c r="B39" s="158" t="s">
        <v>105</v>
      </c>
      <c r="C39" s="159" t="s">
        <v>29</v>
      </c>
      <c r="D39" s="111" t="s">
        <v>198</v>
      </c>
      <c r="E39" s="146">
        <v>153</v>
      </c>
      <c r="F39" s="160">
        <f>E39*30/1000</f>
        <v>4.59</v>
      </c>
      <c r="G39" s="147">
        <v>2868.09</v>
      </c>
      <c r="H39" s="75">
        <f>G39*F39/1000</f>
        <v>13.1645331</v>
      </c>
      <c r="I39" s="13">
        <f>F39/6*G39</f>
        <v>2194.0888500000001</v>
      </c>
      <c r="J39" s="26"/>
      <c r="L39" s="19"/>
      <c r="M39" s="20"/>
      <c r="N39" s="21"/>
    </row>
    <row r="40" spans="1:14" ht="15.75" customHeight="1">
      <c r="A40" s="32">
        <v>5</v>
      </c>
      <c r="B40" s="111" t="s">
        <v>66</v>
      </c>
      <c r="C40" s="112" t="s">
        <v>29</v>
      </c>
      <c r="D40" s="111" t="s">
        <v>326</v>
      </c>
      <c r="E40" s="147">
        <v>153</v>
      </c>
      <c r="F40" s="160">
        <f>SUM(E40*155/1000)</f>
        <v>23.715</v>
      </c>
      <c r="G40" s="147">
        <v>478.42</v>
      </c>
      <c r="H40" s="75">
        <f>G40*F40/1000</f>
        <v>11.345730300000001</v>
      </c>
      <c r="I40" s="13">
        <f>G40*F40/155*19</f>
        <v>1390.76694</v>
      </c>
      <c r="J40" s="26"/>
      <c r="L40" s="19"/>
      <c r="M40" s="20"/>
      <c r="N40" s="21"/>
    </row>
    <row r="41" spans="1:14" ht="48.75" hidden="1" customHeight="1">
      <c r="A41" s="32">
        <v>8</v>
      </c>
      <c r="B41" s="111" t="s">
        <v>81</v>
      </c>
      <c r="C41" s="112" t="s">
        <v>87</v>
      </c>
      <c r="D41" s="111" t="s">
        <v>200</v>
      </c>
      <c r="E41" s="147">
        <v>25</v>
      </c>
      <c r="F41" s="160">
        <f>SUM(E41*35/1000)</f>
        <v>0.875</v>
      </c>
      <c r="G41" s="147">
        <v>7915.6</v>
      </c>
      <c r="H41" s="75">
        <f>G41*F41/1000</f>
        <v>6.9261500000000007</v>
      </c>
      <c r="I41" s="13">
        <f>G41*F41/6</f>
        <v>1154.3583333333333</v>
      </c>
      <c r="J41" s="26"/>
      <c r="L41" s="19"/>
      <c r="M41" s="20"/>
      <c r="N41" s="21"/>
    </row>
    <row r="42" spans="1:14" ht="15.75" hidden="1" customHeight="1">
      <c r="A42" s="32">
        <v>9</v>
      </c>
      <c r="B42" s="111" t="s">
        <v>88</v>
      </c>
      <c r="C42" s="112" t="s">
        <v>87</v>
      </c>
      <c r="D42" s="111" t="s">
        <v>201</v>
      </c>
      <c r="E42" s="147">
        <v>153</v>
      </c>
      <c r="F42" s="160">
        <f>SUM(E42*45/1000)</f>
        <v>6.8849999999999998</v>
      </c>
      <c r="G42" s="147">
        <v>584.74</v>
      </c>
      <c r="H42" s="75">
        <f t="shared" si="3"/>
        <v>4.0259348999999993</v>
      </c>
      <c r="I42" s="13">
        <f>F42/7.5*G42</f>
        <v>536.79131999999993</v>
      </c>
      <c r="J42" s="26"/>
      <c r="L42" s="19"/>
      <c r="M42" s="20"/>
      <c r="N42" s="21"/>
    </row>
    <row r="43" spans="1:14" ht="15.75" hidden="1" customHeight="1">
      <c r="A43" s="121">
        <v>10</v>
      </c>
      <c r="B43" s="158" t="s">
        <v>68</v>
      </c>
      <c r="C43" s="159" t="s">
        <v>33</v>
      </c>
      <c r="D43" s="111"/>
      <c r="E43" s="149"/>
      <c r="F43" s="160">
        <v>0.9</v>
      </c>
      <c r="G43" s="160">
        <v>800</v>
      </c>
      <c r="H43" s="83">
        <f t="shared" si="3"/>
        <v>0.72</v>
      </c>
      <c r="I43" s="91">
        <f>F43/7.5*G43</f>
        <v>96.000000000000014</v>
      </c>
      <c r="J43" s="26"/>
      <c r="L43" s="19"/>
      <c r="M43" s="20"/>
      <c r="N43" s="21"/>
    </row>
    <row r="44" spans="1:14" ht="30.75" customHeight="1">
      <c r="A44" s="32">
        <v>6</v>
      </c>
      <c r="B44" s="158" t="s">
        <v>170</v>
      </c>
      <c r="C44" s="159" t="s">
        <v>29</v>
      </c>
      <c r="D44" s="158" t="s">
        <v>202</v>
      </c>
      <c r="E44" s="149">
        <v>4.2</v>
      </c>
      <c r="F44" s="160">
        <f>E44*12/1000</f>
        <v>5.0400000000000007E-2</v>
      </c>
      <c r="G44" s="160">
        <v>270.61</v>
      </c>
      <c r="H44" s="13"/>
      <c r="I44" s="13">
        <f>G44*F44/6</f>
        <v>2.2731240000000006</v>
      </c>
      <c r="J44" s="26"/>
      <c r="L44" s="19"/>
      <c r="M44" s="20"/>
      <c r="N44" s="21"/>
    </row>
    <row r="45" spans="1:14" ht="15" customHeight="1">
      <c r="A45" s="215" t="s">
        <v>137</v>
      </c>
      <c r="B45" s="216"/>
      <c r="C45" s="216"/>
      <c r="D45" s="216"/>
      <c r="E45" s="216"/>
      <c r="F45" s="216"/>
      <c r="G45" s="216"/>
      <c r="H45" s="216"/>
      <c r="I45" s="217"/>
      <c r="J45" s="26"/>
      <c r="L45" s="19"/>
      <c r="M45" s="20"/>
      <c r="N45" s="21"/>
    </row>
    <row r="46" spans="1:14" ht="15.75" hidden="1" customHeight="1">
      <c r="A46" s="32"/>
      <c r="B46" s="71" t="s">
        <v>126</v>
      </c>
      <c r="C46" s="72" t="s">
        <v>87</v>
      </c>
      <c r="D46" s="71" t="s">
        <v>42</v>
      </c>
      <c r="E46" s="73">
        <v>1895</v>
      </c>
      <c r="F46" s="74">
        <f>SUM(E46*2/1000)</f>
        <v>3.79</v>
      </c>
      <c r="G46" s="13">
        <v>849.49</v>
      </c>
      <c r="H46" s="75">
        <f t="shared" ref="H46:H54" si="4">SUM(F46*G46/1000)</f>
        <v>3.2195671000000003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34</v>
      </c>
      <c r="C47" s="72" t="s">
        <v>87</v>
      </c>
      <c r="D47" s="71" t="s">
        <v>42</v>
      </c>
      <c r="E47" s="73">
        <v>118.2</v>
      </c>
      <c r="F47" s="74">
        <f>E47*2/1000</f>
        <v>0.2364</v>
      </c>
      <c r="G47" s="13">
        <v>579.48</v>
      </c>
      <c r="H47" s="75">
        <f t="shared" si="4"/>
        <v>0.13698907199999999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35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579.48</v>
      </c>
      <c r="H48" s="75">
        <f t="shared" si="4"/>
        <v>5.4181379999999999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1" t="s">
        <v>36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606.77</v>
      </c>
      <c r="H49" s="75">
        <f t="shared" si="4"/>
        <v>5.6732994999999988</v>
      </c>
      <c r="I49" s="13">
        <v>0</v>
      </c>
      <c r="J49" s="26"/>
      <c r="L49" s="19"/>
      <c r="M49" s="20"/>
      <c r="N49" s="21"/>
    </row>
    <row r="50" spans="1:22" ht="15.75" customHeight="1">
      <c r="A50" s="32">
        <v>7</v>
      </c>
      <c r="B50" s="111" t="s">
        <v>55</v>
      </c>
      <c r="C50" s="112" t="s">
        <v>87</v>
      </c>
      <c r="D50" s="111" t="s">
        <v>204</v>
      </c>
      <c r="E50" s="146">
        <v>3988</v>
      </c>
      <c r="F50" s="147">
        <f>SUM(E50*5/1000)</f>
        <v>19.940000000000001</v>
      </c>
      <c r="G50" s="36">
        <v>1655.27</v>
      </c>
      <c r="H50" s="75">
        <f t="shared" si="4"/>
        <v>33.006083799999999</v>
      </c>
      <c r="I50" s="13">
        <f>F50/5*G50</f>
        <v>6601.2167600000002</v>
      </c>
      <c r="J50" s="26"/>
      <c r="L50" s="19"/>
      <c r="M50" s="20"/>
      <c r="N50" s="21"/>
    </row>
    <row r="51" spans="1:22" ht="31.5" hidden="1" customHeight="1">
      <c r="A51" s="32"/>
      <c r="B51" s="71" t="s">
        <v>89</v>
      </c>
      <c r="C51" s="72" t="s">
        <v>87</v>
      </c>
      <c r="D51" s="71" t="s">
        <v>42</v>
      </c>
      <c r="E51" s="73">
        <v>3988</v>
      </c>
      <c r="F51" s="74">
        <f>SUM(E51*2/1000)</f>
        <v>7.976</v>
      </c>
      <c r="G51" s="13">
        <v>1213.55</v>
      </c>
      <c r="H51" s="75">
        <f t="shared" si="4"/>
        <v>9.6792748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71" t="s">
        <v>90</v>
      </c>
      <c r="C52" s="72" t="s">
        <v>37</v>
      </c>
      <c r="D52" s="71" t="s">
        <v>42</v>
      </c>
      <c r="E52" s="73">
        <v>30</v>
      </c>
      <c r="F52" s="74">
        <f>SUM(E52*2/100)</f>
        <v>0.6</v>
      </c>
      <c r="G52" s="13">
        <v>2730.49</v>
      </c>
      <c r="H52" s="75">
        <f>SUM(F52*G52/1000)</f>
        <v>1.6382939999999999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71" t="s">
        <v>38</v>
      </c>
      <c r="C53" s="72" t="s">
        <v>39</v>
      </c>
      <c r="D53" s="71" t="s">
        <v>42</v>
      </c>
      <c r="E53" s="73">
        <v>1</v>
      </c>
      <c r="F53" s="74">
        <v>0.02</v>
      </c>
      <c r="G53" s="13">
        <v>5652.13</v>
      </c>
      <c r="H53" s="75">
        <f t="shared" si="4"/>
        <v>0.11304260000000001</v>
      </c>
      <c r="I53" s="13">
        <v>0</v>
      </c>
      <c r="J53" s="26"/>
      <c r="L53" s="19"/>
      <c r="M53" s="20"/>
      <c r="N53" s="21"/>
    </row>
    <row r="54" spans="1:22" ht="15.75" customHeight="1">
      <c r="A54" s="121">
        <v>8</v>
      </c>
      <c r="B54" s="111" t="s">
        <v>41</v>
      </c>
      <c r="C54" s="112" t="s">
        <v>106</v>
      </c>
      <c r="D54" s="188">
        <v>44186</v>
      </c>
      <c r="E54" s="146">
        <v>240</v>
      </c>
      <c r="F54" s="147">
        <f>SUM(E54)*1</f>
        <v>240</v>
      </c>
      <c r="G54" s="37">
        <v>89.59</v>
      </c>
      <c r="H54" s="83">
        <f t="shared" si="4"/>
        <v>21.501600000000003</v>
      </c>
      <c r="I54" s="91">
        <f>E54*G54/3</f>
        <v>7167.2000000000007</v>
      </c>
      <c r="J54" s="26"/>
      <c r="L54" s="19"/>
      <c r="M54" s="20"/>
      <c r="N54" s="21"/>
    </row>
    <row r="55" spans="1:22" ht="15.75" customHeight="1">
      <c r="A55" s="32">
        <v>9</v>
      </c>
      <c r="B55" s="111" t="s">
        <v>172</v>
      </c>
      <c r="C55" s="112" t="s">
        <v>106</v>
      </c>
      <c r="D55" s="111" t="s">
        <v>204</v>
      </c>
      <c r="E55" s="146">
        <v>5</v>
      </c>
      <c r="F55" s="147">
        <v>60</v>
      </c>
      <c r="G55" s="152">
        <v>903.71</v>
      </c>
      <c r="H55" s="13"/>
      <c r="I55" s="13">
        <f>G55*F55/12</f>
        <v>4518.55</v>
      </c>
      <c r="J55" s="26"/>
      <c r="L55" s="19"/>
      <c r="M55" s="20"/>
      <c r="N55" s="21"/>
    </row>
    <row r="56" spans="1:22" ht="15.75" customHeight="1">
      <c r="A56" s="215" t="s">
        <v>138</v>
      </c>
      <c r="B56" s="216"/>
      <c r="C56" s="216"/>
      <c r="D56" s="216"/>
      <c r="E56" s="216"/>
      <c r="F56" s="216"/>
      <c r="G56" s="216"/>
      <c r="H56" s="216"/>
      <c r="I56" s="217"/>
      <c r="J56" s="26"/>
      <c r="L56" s="19"/>
      <c r="M56" s="20"/>
      <c r="N56" s="21"/>
    </row>
    <row r="57" spans="1:22" ht="15.75" hidden="1" customHeight="1">
      <c r="A57" s="32"/>
      <c r="B57" s="92" t="s">
        <v>43</v>
      </c>
      <c r="C57" s="72"/>
      <c r="D57" s="71"/>
      <c r="E57" s="73"/>
      <c r="F57" s="74"/>
      <c r="G57" s="74"/>
      <c r="H57" s="75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1" t="s">
        <v>127</v>
      </c>
      <c r="C58" s="72" t="s">
        <v>85</v>
      </c>
      <c r="D58" s="71" t="s">
        <v>107</v>
      </c>
      <c r="E58" s="73">
        <v>30</v>
      </c>
      <c r="F58" s="74">
        <f>SUM(E58*6/100)</f>
        <v>1.8</v>
      </c>
      <c r="G58" s="13">
        <v>1547.28</v>
      </c>
      <c r="H58" s="75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0" t="s">
        <v>128</v>
      </c>
      <c r="C59" s="81" t="s">
        <v>129</v>
      </c>
      <c r="D59" s="80" t="s">
        <v>42</v>
      </c>
      <c r="E59" s="82">
        <v>6</v>
      </c>
      <c r="F59" s="83">
        <v>12</v>
      </c>
      <c r="G59" s="13">
        <v>180.78</v>
      </c>
      <c r="H59" s="84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0" t="s">
        <v>130</v>
      </c>
      <c r="C60" s="81" t="s">
        <v>52</v>
      </c>
      <c r="D60" s="80" t="s">
        <v>40</v>
      </c>
      <c r="E60" s="82">
        <v>6</v>
      </c>
      <c r="F60" s="83">
        <f>E60*4/100</f>
        <v>0.24</v>
      </c>
      <c r="G60" s="13">
        <v>1547.28</v>
      </c>
      <c r="H60" s="84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10</v>
      </c>
      <c r="B63" s="80" t="s">
        <v>132</v>
      </c>
      <c r="C63" s="81" t="s">
        <v>25</v>
      </c>
      <c r="D63" s="80" t="s">
        <v>204</v>
      </c>
      <c r="E63" s="204">
        <v>394</v>
      </c>
      <c r="F63" s="13">
        <v>2400</v>
      </c>
      <c r="G63" s="66">
        <v>1.4</v>
      </c>
      <c r="H63" s="83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/>
      <c r="B64" s="93" t="s">
        <v>45</v>
      </c>
      <c r="C64" s="81"/>
      <c r="D64" s="80"/>
      <c r="E64" s="82"/>
      <c r="F64" s="205"/>
      <c r="G64" s="85"/>
      <c r="H64" s="83" t="s">
        <v>141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>
        <v>21</v>
      </c>
      <c r="B65" s="14" t="s">
        <v>46</v>
      </c>
      <c r="C65" s="16" t="s">
        <v>106</v>
      </c>
      <c r="D65" s="71" t="s">
        <v>65</v>
      </c>
      <c r="E65" s="18">
        <v>15</v>
      </c>
      <c r="F65" s="74">
        <v>15</v>
      </c>
      <c r="G65" s="13">
        <v>222.4</v>
      </c>
      <c r="H65" s="86">
        <f t="shared" ref="H65:H81" si="5">SUM(F65*G65/1000)</f>
        <v>3.3359999999999999</v>
      </c>
      <c r="I65" s="13">
        <f>G65</f>
        <v>222.4</v>
      </c>
      <c r="J65" s="5"/>
      <c r="K65" s="5"/>
      <c r="L65" s="5"/>
      <c r="M65" s="5"/>
      <c r="N65" s="5"/>
      <c r="O65" s="5"/>
      <c r="P65" s="5"/>
      <c r="Q65" s="5"/>
      <c r="R65" s="218"/>
      <c r="S65" s="218"/>
      <c r="T65" s="218"/>
      <c r="U65" s="218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5"/>
        <v>2.4733800000000001</v>
      </c>
      <c r="I71" s="13">
        <f t="shared" si="6"/>
        <v>2473.38</v>
      </c>
    </row>
    <row r="72" spans="1:21" ht="19.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5"/>
        <v>0.24940000000000001</v>
      </c>
      <c r="I72" s="13">
        <f t="shared" si="6"/>
        <v>249.4</v>
      </c>
    </row>
    <row r="73" spans="1:21" ht="19.5" customHeight="1">
      <c r="A73" s="32"/>
      <c r="B73" s="155" t="s">
        <v>176</v>
      </c>
      <c r="C73" s="154"/>
      <c r="D73" s="39"/>
      <c r="E73" s="17"/>
      <c r="F73" s="109"/>
      <c r="G73" s="36"/>
      <c r="H73" s="86"/>
      <c r="I73" s="13"/>
    </row>
    <row r="74" spans="1:21" ht="30" customHeight="1">
      <c r="A74" s="32">
        <v>11</v>
      </c>
      <c r="B74" s="39" t="s">
        <v>177</v>
      </c>
      <c r="C74" s="156" t="s">
        <v>178</v>
      </c>
      <c r="D74" s="39"/>
      <c r="E74" s="17">
        <v>6980.3</v>
      </c>
      <c r="F74" s="36">
        <f>E74*12</f>
        <v>83763.600000000006</v>
      </c>
      <c r="G74" s="36">
        <v>2.37</v>
      </c>
      <c r="H74" s="86"/>
      <c r="I74" s="13">
        <f>G74*F74/12</f>
        <v>16543.311000000002</v>
      </c>
    </row>
    <row r="75" spans="1:21" ht="15.75" customHeight="1">
      <c r="A75" s="32"/>
      <c r="B75" s="171" t="s">
        <v>70</v>
      </c>
      <c r="C75" s="16"/>
      <c r="D75" s="14"/>
      <c r="E75" s="18"/>
      <c r="F75" s="13"/>
      <c r="G75" s="13"/>
      <c r="H75" s="86" t="s">
        <v>141</v>
      </c>
      <c r="I75" s="13"/>
    </row>
    <row r="76" spans="1:21" ht="15.75" hidden="1" customHeight="1">
      <c r="A76" s="32">
        <v>22</v>
      </c>
      <c r="B76" s="14" t="s">
        <v>71</v>
      </c>
      <c r="C76" s="16" t="s">
        <v>73</v>
      </c>
      <c r="D76" s="14"/>
      <c r="E76" s="18">
        <v>10</v>
      </c>
      <c r="F76" s="13">
        <v>1</v>
      </c>
      <c r="G76" s="13">
        <v>501.62</v>
      </c>
      <c r="H76" s="86">
        <f t="shared" si="5"/>
        <v>0.50161999999999995</v>
      </c>
      <c r="I76" s="13">
        <f>G76*1.2</f>
        <v>601.94399999999996</v>
      </c>
    </row>
    <row r="77" spans="1:21" ht="15.75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27.7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27.75" customHeight="1">
      <c r="A79" s="32">
        <v>12</v>
      </c>
      <c r="B79" s="39" t="s">
        <v>183</v>
      </c>
      <c r="C79" s="154" t="s">
        <v>106</v>
      </c>
      <c r="D79" s="39" t="s">
        <v>204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28.5" hidden="1" customHeight="1">
      <c r="A80" s="32"/>
      <c r="B80" s="89" t="s">
        <v>74</v>
      </c>
      <c r="C80" s="16"/>
      <c r="D80" s="14"/>
      <c r="E80" s="18"/>
      <c r="F80" s="13"/>
      <c r="G80" s="13" t="s">
        <v>141</v>
      </c>
      <c r="H80" s="86" t="s">
        <v>141</v>
      </c>
      <c r="I80" s="13"/>
    </row>
    <row r="81" spans="1:9" ht="30.75" hidden="1" customHeight="1">
      <c r="A81" s="32"/>
      <c r="B81" s="47" t="s">
        <v>146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5"/>
        <v>3.311328</v>
      </c>
      <c r="I81" s="13">
        <v>0</v>
      </c>
    </row>
    <row r="82" spans="1:9" ht="21.75" customHeight="1">
      <c r="A82" s="32"/>
      <c r="B82" s="65" t="s">
        <v>91</v>
      </c>
      <c r="C82" s="65"/>
      <c r="D82" s="65"/>
      <c r="E82" s="65"/>
      <c r="F82" s="65"/>
      <c r="G82" s="77"/>
      <c r="H82" s="90">
        <f>SUM(H58:H81)</f>
        <v>188.79744406</v>
      </c>
      <c r="I82" s="77"/>
    </row>
    <row r="83" spans="1:9" ht="19.5" customHeight="1">
      <c r="A83" s="32">
        <v>13</v>
      </c>
      <c r="B83" s="94" t="s">
        <v>112</v>
      </c>
      <c r="C83" s="23"/>
      <c r="D83" s="22"/>
      <c r="E83" s="67"/>
      <c r="F83" s="95">
        <v>1</v>
      </c>
      <c r="G83" s="13">
        <v>11546.7</v>
      </c>
      <c r="H83" s="86">
        <f>G83*F83/1000</f>
        <v>11.546700000000001</v>
      </c>
      <c r="I83" s="13">
        <f>G83*1</f>
        <v>11546.7</v>
      </c>
    </row>
    <row r="84" spans="1:9" ht="15.75" customHeight="1">
      <c r="A84" s="219" t="s">
        <v>139</v>
      </c>
      <c r="B84" s="220"/>
      <c r="C84" s="220"/>
      <c r="D84" s="220"/>
      <c r="E84" s="220"/>
      <c r="F84" s="220"/>
      <c r="G84" s="220"/>
      <c r="H84" s="220"/>
      <c r="I84" s="221"/>
    </row>
    <row r="85" spans="1:9" ht="15.75" customHeight="1">
      <c r="A85" s="32">
        <v>14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15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I86+I85+I83+I79+I74+I63+I55+I54+I50+I44+I40+I38+I26+I17+I16</f>
        <v>106990.82172400001</v>
      </c>
    </row>
    <row r="88" spans="1:9" ht="15.75" customHeight="1">
      <c r="A88" s="230" t="s">
        <v>59</v>
      </c>
      <c r="B88" s="231"/>
      <c r="C88" s="231"/>
      <c r="D88" s="231"/>
      <c r="E88" s="231"/>
      <c r="F88" s="231"/>
      <c r="G88" s="231"/>
      <c r="H88" s="231"/>
      <c r="I88" s="232"/>
    </row>
    <row r="89" spans="1:9" ht="19.5" customHeight="1">
      <c r="A89" s="32">
        <v>16</v>
      </c>
      <c r="B89" s="206" t="s">
        <v>327</v>
      </c>
      <c r="C89" s="32" t="s">
        <v>315</v>
      </c>
      <c r="D89" s="197"/>
      <c r="E89" s="198"/>
      <c r="F89" s="198">
        <v>1</v>
      </c>
      <c r="G89" s="198">
        <v>4233.03</v>
      </c>
      <c r="H89" s="102"/>
      <c r="I89" s="13">
        <f>G89*1</f>
        <v>4233.03</v>
      </c>
    </row>
    <row r="90" spans="1:9" ht="15.75" customHeight="1">
      <c r="A90" s="32">
        <v>17</v>
      </c>
      <c r="B90" s="51" t="s">
        <v>328</v>
      </c>
      <c r="C90" s="207" t="s">
        <v>329</v>
      </c>
      <c r="D90" s="197" t="s">
        <v>334</v>
      </c>
      <c r="E90" s="198"/>
      <c r="F90" s="198">
        <v>0.5</v>
      </c>
      <c r="G90" s="198">
        <v>5045.6899999999996</v>
      </c>
      <c r="H90" s="86"/>
      <c r="I90" s="13">
        <f>G90*0.5</f>
        <v>2522.8449999999998</v>
      </c>
    </row>
    <row r="91" spans="1:9" ht="15.75" customHeight="1">
      <c r="A91" s="32">
        <v>18</v>
      </c>
      <c r="B91" s="51" t="s">
        <v>330</v>
      </c>
      <c r="C91" s="52" t="s">
        <v>144</v>
      </c>
      <c r="D91" s="197" t="s">
        <v>336</v>
      </c>
      <c r="E91" s="198"/>
      <c r="F91" s="198">
        <v>1</v>
      </c>
      <c r="G91" s="198">
        <v>6910.13</v>
      </c>
      <c r="H91" s="102"/>
      <c r="I91" s="13">
        <f>G91*1</f>
        <v>6910.13</v>
      </c>
    </row>
    <row r="92" spans="1:9" ht="27.75" customHeight="1">
      <c r="A92" s="32">
        <v>19</v>
      </c>
      <c r="B92" s="51" t="s">
        <v>331</v>
      </c>
      <c r="C92" s="52" t="s">
        <v>186</v>
      </c>
      <c r="D92" s="197"/>
      <c r="E92" s="198"/>
      <c r="F92" s="198">
        <v>2</v>
      </c>
      <c r="G92" s="198">
        <v>647</v>
      </c>
      <c r="H92" s="102"/>
      <c r="I92" s="13">
        <f>G92*1</f>
        <v>647</v>
      </c>
    </row>
    <row r="93" spans="1:9" ht="31.5" customHeight="1">
      <c r="A93" s="32">
        <v>20</v>
      </c>
      <c r="B93" s="51" t="s">
        <v>215</v>
      </c>
      <c r="C93" s="52" t="s">
        <v>163</v>
      </c>
      <c r="D93" s="199" t="s">
        <v>337</v>
      </c>
      <c r="E93" s="198"/>
      <c r="F93" s="198">
        <v>31</v>
      </c>
      <c r="G93" s="198">
        <v>1523.6</v>
      </c>
      <c r="H93" s="36"/>
      <c r="I93" s="13">
        <f>G93*6</f>
        <v>9141.5999999999985</v>
      </c>
    </row>
    <row r="94" spans="1:9" ht="34.5" customHeight="1">
      <c r="A94" s="32">
        <v>21</v>
      </c>
      <c r="B94" s="51" t="s">
        <v>247</v>
      </c>
      <c r="C94" s="52" t="s">
        <v>37</v>
      </c>
      <c r="D94" s="197" t="s">
        <v>196</v>
      </c>
      <c r="E94" s="198"/>
      <c r="F94" s="198">
        <v>7.0000000000000007E-2</v>
      </c>
      <c r="G94" s="198">
        <v>4070.89</v>
      </c>
      <c r="H94" s="102"/>
      <c r="I94" s="13">
        <v>0</v>
      </c>
    </row>
    <row r="95" spans="1:9" ht="13.5" customHeight="1">
      <c r="A95" s="32">
        <v>22</v>
      </c>
      <c r="B95" s="51" t="s">
        <v>80</v>
      </c>
      <c r="C95" s="52" t="s">
        <v>106</v>
      </c>
      <c r="D95" s="197"/>
      <c r="E95" s="198"/>
      <c r="F95" s="198">
        <v>9</v>
      </c>
      <c r="G95" s="198">
        <v>215.85</v>
      </c>
      <c r="H95" s="102"/>
      <c r="I95" s="13">
        <f>G95*4</f>
        <v>863.4</v>
      </c>
    </row>
    <row r="96" spans="1:9" ht="13.5" customHeight="1">
      <c r="A96" s="32">
        <v>23</v>
      </c>
      <c r="B96" s="51" t="s">
        <v>332</v>
      </c>
      <c r="C96" s="52" t="s">
        <v>106</v>
      </c>
      <c r="D96" s="197"/>
      <c r="E96" s="198"/>
      <c r="F96" s="198">
        <v>1</v>
      </c>
      <c r="G96" s="198">
        <v>697.23</v>
      </c>
      <c r="H96" s="102"/>
      <c r="I96" s="13">
        <f>G96*1</f>
        <v>697.23</v>
      </c>
    </row>
    <row r="97" spans="1:9" ht="13.5" customHeight="1">
      <c r="A97" s="32">
        <v>24</v>
      </c>
      <c r="B97" s="51" t="s">
        <v>333</v>
      </c>
      <c r="C97" s="52" t="s">
        <v>163</v>
      </c>
      <c r="D97" s="197"/>
      <c r="E97" s="198"/>
      <c r="F97" s="198">
        <v>6</v>
      </c>
      <c r="G97" s="198">
        <v>100.2</v>
      </c>
      <c r="H97" s="102"/>
      <c r="I97" s="13">
        <f>G97*6</f>
        <v>601.20000000000005</v>
      </c>
    </row>
    <row r="98" spans="1:9" ht="13.5" customHeight="1">
      <c r="A98" s="32">
        <v>25</v>
      </c>
      <c r="B98" s="157" t="s">
        <v>313</v>
      </c>
      <c r="C98" s="156" t="s">
        <v>93</v>
      </c>
      <c r="D98" s="197" t="s">
        <v>335</v>
      </c>
      <c r="E98" s="198"/>
      <c r="F98" s="198">
        <v>0.28000000000000003</v>
      </c>
      <c r="G98" s="198">
        <v>3730.99</v>
      </c>
      <c r="H98" s="102"/>
      <c r="I98" s="13">
        <f>G98*0.12</f>
        <v>447.71879999999993</v>
      </c>
    </row>
    <row r="99" spans="1:9" ht="15.75" customHeight="1">
      <c r="A99" s="32"/>
      <c r="B99" s="45" t="s">
        <v>51</v>
      </c>
      <c r="C99" s="41"/>
      <c r="D99" s="48"/>
      <c r="E99" s="41">
        <v>1</v>
      </c>
      <c r="F99" s="41"/>
      <c r="G99" s="41"/>
      <c r="H99" s="41"/>
      <c r="I99" s="34">
        <f>SUM(I89:I98)</f>
        <v>26064.1538</v>
      </c>
    </row>
    <row r="100" spans="1:9">
      <c r="A100" s="32"/>
      <c r="B100" s="47" t="s">
        <v>77</v>
      </c>
      <c r="C100" s="15"/>
      <c r="D100" s="15"/>
      <c r="E100" s="42"/>
      <c r="F100" s="42"/>
      <c r="G100" s="43"/>
      <c r="H100" s="43"/>
      <c r="I100" s="17">
        <v>0</v>
      </c>
    </row>
    <row r="101" spans="1:9">
      <c r="A101" s="49"/>
      <c r="B101" s="46" t="s">
        <v>157</v>
      </c>
      <c r="C101" s="35"/>
      <c r="D101" s="35"/>
      <c r="E101" s="35"/>
      <c r="F101" s="35"/>
      <c r="G101" s="35"/>
      <c r="H101" s="35"/>
      <c r="I101" s="44">
        <f>I87+I99</f>
        <v>133054.97552400001</v>
      </c>
    </row>
    <row r="102" spans="1:9" ht="15.75">
      <c r="A102" s="222" t="s">
        <v>370</v>
      </c>
      <c r="B102" s="222"/>
      <c r="C102" s="222"/>
      <c r="D102" s="222"/>
      <c r="E102" s="222"/>
      <c r="F102" s="222"/>
      <c r="G102" s="222"/>
      <c r="H102" s="222"/>
      <c r="I102" s="222"/>
    </row>
    <row r="103" spans="1:9" ht="15.75" customHeight="1">
      <c r="A103" s="58"/>
      <c r="B103" s="223" t="s">
        <v>371</v>
      </c>
      <c r="C103" s="223"/>
      <c r="D103" s="223"/>
      <c r="E103" s="223"/>
      <c r="F103" s="223"/>
      <c r="G103" s="223"/>
      <c r="H103" s="70"/>
      <c r="I103" s="3"/>
    </row>
    <row r="104" spans="1:9">
      <c r="A104" s="98"/>
      <c r="B104" s="224" t="s">
        <v>6</v>
      </c>
      <c r="C104" s="224"/>
      <c r="D104" s="224"/>
      <c r="E104" s="224"/>
      <c r="F104" s="224"/>
      <c r="G104" s="224"/>
      <c r="H104" s="27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225" t="s">
        <v>7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>
      <c r="A107" s="225" t="s">
        <v>8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226" t="s">
        <v>60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11"/>
    </row>
    <row r="110" spans="1:9" ht="15.75">
      <c r="A110" s="227" t="s">
        <v>9</v>
      </c>
      <c r="B110" s="227"/>
      <c r="C110" s="227"/>
      <c r="D110" s="227"/>
      <c r="E110" s="227"/>
      <c r="F110" s="227"/>
      <c r="G110" s="227"/>
      <c r="H110" s="227"/>
      <c r="I110" s="227"/>
    </row>
    <row r="111" spans="1:9" ht="15.75" customHeight="1">
      <c r="A111" s="4"/>
    </row>
    <row r="112" spans="1:9" ht="15.75" customHeight="1">
      <c r="B112" s="100" t="s">
        <v>10</v>
      </c>
      <c r="C112" s="228" t="s">
        <v>304</v>
      </c>
      <c r="D112" s="228"/>
      <c r="E112" s="228"/>
      <c r="F112" s="68"/>
      <c r="I112" s="101"/>
    </row>
    <row r="113" spans="1:9" ht="15.75" customHeight="1">
      <c r="A113" s="98"/>
      <c r="C113" s="224" t="s">
        <v>11</v>
      </c>
      <c r="D113" s="224"/>
      <c r="E113" s="224"/>
      <c r="F113" s="27"/>
      <c r="I113" s="99" t="s">
        <v>12</v>
      </c>
    </row>
    <row r="114" spans="1:9" ht="15.75" customHeight="1">
      <c r="A114" s="28"/>
      <c r="C114" s="12"/>
      <c r="D114" s="12"/>
      <c r="G114" s="12"/>
      <c r="H114" s="12"/>
    </row>
    <row r="115" spans="1:9" ht="15.75">
      <c r="B115" s="100" t="s">
        <v>13</v>
      </c>
      <c r="C115" s="229"/>
      <c r="D115" s="229"/>
      <c r="E115" s="229"/>
      <c r="F115" s="69"/>
      <c r="I115" s="101"/>
    </row>
    <row r="116" spans="1:9">
      <c r="A116" s="98"/>
      <c r="C116" s="218" t="s">
        <v>11</v>
      </c>
      <c r="D116" s="218"/>
      <c r="E116" s="218"/>
      <c r="F116" s="98"/>
      <c r="I116" s="99" t="s">
        <v>12</v>
      </c>
    </row>
    <row r="117" spans="1:9" ht="15.75">
      <c r="A117" s="4" t="s">
        <v>14</v>
      </c>
    </row>
    <row r="118" spans="1:9">
      <c r="A118" s="233" t="s">
        <v>15</v>
      </c>
      <c r="B118" s="233"/>
      <c r="C118" s="233"/>
      <c r="D118" s="233"/>
      <c r="E118" s="233"/>
      <c r="F118" s="233"/>
      <c r="G118" s="233"/>
      <c r="H118" s="233"/>
      <c r="I118" s="233"/>
    </row>
    <row r="119" spans="1:9" ht="45" customHeight="1">
      <c r="A119" s="234" t="s">
        <v>16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30" customHeight="1">
      <c r="A120" s="234" t="s">
        <v>17</v>
      </c>
      <c r="B120" s="234"/>
      <c r="C120" s="234"/>
      <c r="D120" s="234"/>
      <c r="E120" s="234"/>
      <c r="F120" s="234"/>
      <c r="G120" s="234"/>
      <c r="H120" s="234"/>
      <c r="I120" s="234"/>
    </row>
    <row r="121" spans="1:9" ht="30" customHeight="1">
      <c r="A121" s="234" t="s">
        <v>21</v>
      </c>
      <c r="B121" s="234"/>
      <c r="C121" s="234"/>
      <c r="D121" s="234"/>
      <c r="E121" s="234"/>
      <c r="F121" s="234"/>
      <c r="G121" s="234"/>
      <c r="H121" s="234"/>
      <c r="I121" s="234"/>
    </row>
    <row r="122" spans="1:9" ht="15" customHeight="1">
      <c r="A122" s="234" t="s">
        <v>20</v>
      </c>
      <c r="B122" s="234"/>
      <c r="C122" s="234"/>
      <c r="D122" s="234"/>
      <c r="E122" s="234"/>
      <c r="F122" s="234"/>
      <c r="G122" s="234"/>
      <c r="H122" s="234"/>
      <c r="I122" s="234"/>
    </row>
  </sheetData>
  <autoFilter ref="I12:I60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5:U65"/>
    <mergeCell ref="C116:E116"/>
    <mergeCell ref="A88:I88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4:I84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W120"/>
  <sheetViews>
    <sheetView topLeftCell="A89" workbookViewId="0">
      <selection activeCell="A104" sqref="A104: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147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229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3">
        <v>43889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203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hidden="1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31.5" hidden="1" customHeight="1">
      <c r="A29" s="32">
        <v>10</v>
      </c>
      <c r="B29" s="71" t="s">
        <v>104</v>
      </c>
      <c r="C29" s="72" t="s">
        <v>87</v>
      </c>
      <c r="D29" s="71" t="s">
        <v>101</v>
      </c>
      <c r="E29" s="74">
        <v>1168.05</v>
      </c>
      <c r="F29" s="74">
        <f>SUM(E29*52/1000)</f>
        <v>60.738599999999998</v>
      </c>
      <c r="G29" s="74">
        <v>155.88999999999999</v>
      </c>
      <c r="H29" s="75">
        <f t="shared" ref="H29:H35" si="1">SUM(F29*G29/1000)</f>
        <v>9.4685403539999982</v>
      </c>
      <c r="I29" s="13">
        <f>F29/6*G29</f>
        <v>1578.0900589999997</v>
      </c>
      <c r="J29" s="25"/>
      <c r="K29" s="8"/>
      <c r="L29" s="8"/>
      <c r="M29" s="8"/>
    </row>
    <row r="30" spans="1:13" ht="31.5" hidden="1" customHeight="1">
      <c r="A30" s="32">
        <v>11</v>
      </c>
      <c r="B30" s="71" t="s">
        <v>120</v>
      </c>
      <c r="C30" s="72" t="s">
        <v>87</v>
      </c>
      <c r="D30" s="71" t="s">
        <v>102</v>
      </c>
      <c r="E30" s="74">
        <v>1039.2</v>
      </c>
      <c r="F30" s="74">
        <f>SUM(E30*78/1000)</f>
        <v>81.057600000000008</v>
      </c>
      <c r="G30" s="74">
        <v>258.63</v>
      </c>
      <c r="H30" s="75">
        <f t="shared" si="1"/>
        <v>20.963927088000002</v>
      </c>
      <c r="I30" s="13">
        <f t="shared" ref="I30:I33" si="2">F30/6*G30</f>
        <v>3493.9878480000002</v>
      </c>
      <c r="J30" s="25"/>
      <c r="K30" s="8"/>
      <c r="L30" s="8"/>
      <c r="M30" s="8"/>
    </row>
    <row r="31" spans="1:13" ht="15.75" hidden="1" customHeight="1">
      <c r="A31" s="32">
        <v>16</v>
      </c>
      <c r="B31" s="71" t="s">
        <v>27</v>
      </c>
      <c r="C31" s="72" t="s">
        <v>87</v>
      </c>
      <c r="D31" s="71" t="s">
        <v>53</v>
      </c>
      <c r="E31" s="74">
        <v>584.03</v>
      </c>
      <c r="F31" s="74">
        <f>SUM(E31/1000)</f>
        <v>0.58402999999999994</v>
      </c>
      <c r="G31" s="74">
        <v>3020.33</v>
      </c>
      <c r="H31" s="75">
        <f t="shared" si="1"/>
        <v>1.7639633298999997</v>
      </c>
      <c r="I31" s="13">
        <f>F31*G31</f>
        <v>1763.9633298999997</v>
      </c>
      <c r="J31" s="25"/>
      <c r="K31" s="8"/>
      <c r="L31" s="8"/>
      <c r="M31" s="8"/>
    </row>
    <row r="32" spans="1:13" ht="15.75" hidden="1" customHeight="1">
      <c r="A32" s="32">
        <v>12</v>
      </c>
      <c r="B32" s="71" t="s">
        <v>119</v>
      </c>
      <c r="C32" s="72" t="s">
        <v>39</v>
      </c>
      <c r="D32" s="71" t="s">
        <v>62</v>
      </c>
      <c r="E32" s="74">
        <v>6</v>
      </c>
      <c r="F32" s="74">
        <f>E32*155/100</f>
        <v>9.3000000000000007</v>
      </c>
      <c r="G32" s="74">
        <v>1302.02</v>
      </c>
      <c r="H32" s="75">
        <f>G32*F32/1000</f>
        <v>12.108786</v>
      </c>
      <c r="I32" s="13">
        <f t="shared" si="2"/>
        <v>2018.1310000000001</v>
      </c>
      <c r="J32" s="25"/>
      <c r="K32" s="8"/>
      <c r="L32" s="8"/>
      <c r="M32" s="8"/>
    </row>
    <row r="33" spans="1:14" ht="15.75" hidden="1" customHeight="1">
      <c r="A33" s="32">
        <v>13</v>
      </c>
      <c r="B33" s="71" t="s">
        <v>103</v>
      </c>
      <c r="C33" s="72" t="s">
        <v>31</v>
      </c>
      <c r="D33" s="71" t="s">
        <v>62</v>
      </c>
      <c r="E33" s="78">
        <v>0.33333333333333331</v>
      </c>
      <c r="F33" s="74">
        <f>155/3</f>
        <v>51.666666666666664</v>
      </c>
      <c r="G33" s="74">
        <v>56.69</v>
      </c>
      <c r="H33" s="75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71" t="s">
        <v>63</v>
      </c>
      <c r="C34" s="72" t="s">
        <v>33</v>
      </c>
      <c r="D34" s="71" t="s">
        <v>65</v>
      </c>
      <c r="E34" s="73"/>
      <c r="F34" s="74">
        <v>4</v>
      </c>
      <c r="G34" s="74">
        <v>180.15</v>
      </c>
      <c r="H34" s="75">
        <f t="shared" si="1"/>
        <v>0.72060000000000002</v>
      </c>
      <c r="I34" s="13">
        <v>0</v>
      </c>
      <c r="J34" s="26"/>
    </row>
    <row r="35" spans="1:14" ht="15.75" hidden="1" customHeight="1">
      <c r="A35" s="32"/>
      <c r="B35" s="71" t="s">
        <v>64</v>
      </c>
      <c r="C35" s="72" t="s">
        <v>32</v>
      </c>
      <c r="D35" s="71" t="s">
        <v>65</v>
      </c>
      <c r="E35" s="73"/>
      <c r="F35" s="74">
        <v>3</v>
      </c>
      <c r="G35" s="74">
        <v>1136.33</v>
      </c>
      <c r="H35" s="75">
        <f t="shared" si="1"/>
        <v>3.4089899999999997</v>
      </c>
      <c r="I35" s="13">
        <v>0</v>
      </c>
      <c r="J35" s="26"/>
    </row>
    <row r="36" spans="1:14" ht="15.75" customHeight="1">
      <c r="A36" s="32"/>
      <c r="B36" s="92" t="s">
        <v>5</v>
      </c>
      <c r="C36" s="72"/>
      <c r="D36" s="71"/>
      <c r="E36" s="73"/>
      <c r="F36" s="74"/>
      <c r="G36" s="74"/>
      <c r="H36" s="75" t="s">
        <v>141</v>
      </c>
      <c r="I36" s="13"/>
      <c r="J36" s="26"/>
    </row>
    <row r="37" spans="1:14" ht="15.75" customHeight="1">
      <c r="A37" s="32">
        <v>5</v>
      </c>
      <c r="B37" s="158" t="s">
        <v>26</v>
      </c>
      <c r="C37" s="112" t="s">
        <v>32</v>
      </c>
      <c r="D37" s="111" t="s">
        <v>238</v>
      </c>
      <c r="E37" s="146"/>
      <c r="F37" s="147">
        <v>5</v>
      </c>
      <c r="G37" s="147">
        <v>2083</v>
      </c>
      <c r="H37" s="75">
        <f t="shared" ref="H37:H42" si="3">SUM(F37*G37/1000)</f>
        <v>10.414999999999999</v>
      </c>
      <c r="I37" s="13">
        <f>G37*2.2</f>
        <v>4582.6000000000004</v>
      </c>
      <c r="J37" s="26"/>
    </row>
    <row r="38" spans="1:14" ht="15.75" customHeight="1">
      <c r="A38" s="32">
        <v>6</v>
      </c>
      <c r="B38" s="158" t="s">
        <v>105</v>
      </c>
      <c r="C38" s="159" t="s">
        <v>29</v>
      </c>
      <c r="D38" s="111" t="s">
        <v>198</v>
      </c>
      <c r="E38" s="146">
        <v>153</v>
      </c>
      <c r="F38" s="160">
        <f>E38*30/1000</f>
        <v>4.59</v>
      </c>
      <c r="G38" s="147">
        <v>2868.09</v>
      </c>
      <c r="H38" s="75">
        <f>G38*F38/1000</f>
        <v>13.1645331</v>
      </c>
      <c r="I38" s="13">
        <f>F38/6*G38</f>
        <v>2194.0888500000001</v>
      </c>
      <c r="J38" s="26"/>
      <c r="L38" s="19"/>
      <c r="M38" s="20"/>
      <c r="N38" s="21"/>
    </row>
    <row r="39" spans="1:14" ht="15.75" customHeight="1">
      <c r="A39" s="32">
        <v>7</v>
      </c>
      <c r="B39" s="111" t="s">
        <v>66</v>
      </c>
      <c r="C39" s="112" t="s">
        <v>29</v>
      </c>
      <c r="D39" s="111" t="s">
        <v>199</v>
      </c>
      <c r="E39" s="147">
        <v>153</v>
      </c>
      <c r="F39" s="160">
        <f>SUM(E39*155/1000)</f>
        <v>23.715</v>
      </c>
      <c r="G39" s="147">
        <v>478.42</v>
      </c>
      <c r="H39" s="75">
        <f t="shared" si="3"/>
        <v>11.345730300000001</v>
      </c>
      <c r="I39" s="13">
        <f>F39/6*G39</f>
        <v>1890.95505</v>
      </c>
      <c r="J39" s="26"/>
      <c r="L39" s="19"/>
      <c r="M39" s="20"/>
      <c r="N39" s="21"/>
    </row>
    <row r="40" spans="1:14" ht="47.25" customHeight="1">
      <c r="A40" s="32">
        <v>8</v>
      </c>
      <c r="B40" s="111" t="s">
        <v>81</v>
      </c>
      <c r="C40" s="112" t="s">
        <v>87</v>
      </c>
      <c r="D40" s="71" t="s">
        <v>200</v>
      </c>
      <c r="E40" s="147">
        <v>25</v>
      </c>
      <c r="F40" s="160">
        <f>SUM(E40*35/1000)</f>
        <v>0.875</v>
      </c>
      <c r="G40" s="147">
        <v>7915.6</v>
      </c>
      <c r="H40" s="75">
        <f t="shared" si="3"/>
        <v>6.9261500000000007</v>
      </c>
      <c r="I40" s="13">
        <f>F40/6*G40</f>
        <v>1154.3583333333333</v>
      </c>
      <c r="J40" s="26"/>
      <c r="L40" s="19"/>
      <c r="M40" s="20"/>
      <c r="N40" s="21"/>
    </row>
    <row r="41" spans="1:14" ht="15.75" customHeight="1">
      <c r="A41" s="32">
        <v>9</v>
      </c>
      <c r="B41" s="111" t="s">
        <v>88</v>
      </c>
      <c r="C41" s="112" t="s">
        <v>87</v>
      </c>
      <c r="D41" s="111" t="s">
        <v>230</v>
      </c>
      <c r="E41" s="147">
        <v>153</v>
      </c>
      <c r="F41" s="160">
        <f>SUM(E41*45/1000)</f>
        <v>6.8849999999999998</v>
      </c>
      <c r="G41" s="147">
        <v>584.74</v>
      </c>
      <c r="H41" s="75">
        <f t="shared" si="3"/>
        <v>4.0259348999999993</v>
      </c>
      <c r="I41" s="13">
        <f>G41*F41/45</f>
        <v>89.465219999999988</v>
      </c>
      <c r="J41" s="26"/>
      <c r="L41" s="19"/>
      <c r="M41" s="20"/>
      <c r="N41" s="21"/>
    </row>
    <row r="42" spans="1:14" ht="15.75" customHeight="1">
      <c r="A42" s="121">
        <v>10</v>
      </c>
      <c r="B42" s="158" t="s">
        <v>68</v>
      </c>
      <c r="C42" s="159" t="s">
        <v>33</v>
      </c>
      <c r="D42" s="111"/>
      <c r="E42" s="149"/>
      <c r="F42" s="160">
        <v>0.9</v>
      </c>
      <c r="G42" s="160">
        <v>800</v>
      </c>
      <c r="H42" s="83">
        <f t="shared" si="3"/>
        <v>0.72</v>
      </c>
      <c r="I42" s="91">
        <f>G42*F42/45</f>
        <v>16</v>
      </c>
      <c r="J42" s="26"/>
      <c r="L42" s="19"/>
      <c r="M42" s="20"/>
      <c r="N42" s="21"/>
    </row>
    <row r="43" spans="1:14" ht="32.25" customHeight="1">
      <c r="A43" s="32">
        <v>11</v>
      </c>
      <c r="B43" s="158" t="s">
        <v>170</v>
      </c>
      <c r="C43" s="159" t="s">
        <v>29</v>
      </c>
      <c r="D43" s="158" t="s">
        <v>202</v>
      </c>
      <c r="E43" s="149">
        <v>4.2</v>
      </c>
      <c r="F43" s="160">
        <f>E43*12/1000</f>
        <v>5.0400000000000007E-2</v>
      </c>
      <c r="G43" s="160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" customHeight="1">
      <c r="A44" s="215" t="s">
        <v>137</v>
      </c>
      <c r="B44" s="216"/>
      <c r="C44" s="216"/>
      <c r="D44" s="216"/>
      <c r="E44" s="216"/>
      <c r="F44" s="216"/>
      <c r="G44" s="216"/>
      <c r="H44" s="216"/>
      <c r="I44" s="217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4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4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4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4"/>
        <v>5.6732994999999988</v>
      </c>
      <c r="I48" s="13">
        <v>0</v>
      </c>
      <c r="J48" s="26"/>
      <c r="L48" s="19"/>
      <c r="M48" s="20"/>
      <c r="N48" s="21"/>
    </row>
    <row r="49" spans="1:101" ht="15.75" customHeight="1">
      <c r="A49" s="32">
        <v>12</v>
      </c>
      <c r="B49" s="111" t="s">
        <v>55</v>
      </c>
      <c r="C49" s="112" t="s">
        <v>87</v>
      </c>
      <c r="D49" s="111" t="s">
        <v>203</v>
      </c>
      <c r="E49" s="146">
        <v>3988</v>
      </c>
      <c r="F49" s="147">
        <f>SUM(E49*5/1000)</f>
        <v>19.940000000000001</v>
      </c>
      <c r="G49" s="36">
        <v>1655.27</v>
      </c>
      <c r="H49" s="75">
        <f t="shared" si="4"/>
        <v>33.006083799999999</v>
      </c>
      <c r="I49" s="13">
        <f>F49/5*G49</f>
        <v>6601.2167600000002</v>
      </c>
      <c r="J49" s="26"/>
      <c r="L49" s="19"/>
      <c r="M49" s="20"/>
      <c r="N49" s="21"/>
    </row>
    <row r="50" spans="1:101" ht="31.5" hidden="1" customHeight="1">
      <c r="A50" s="32"/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4"/>
        <v>9.6792748</v>
      </c>
      <c r="I50" s="13">
        <f t="shared" ref="I50:I51" si="5">F50/5*G50</f>
        <v>1935.8549599999999</v>
      </c>
      <c r="J50" s="26"/>
      <c r="L50" s="19"/>
      <c r="M50" s="20"/>
      <c r="N50" s="21"/>
    </row>
    <row r="51" spans="1:101" ht="31.5" hidden="1" customHeight="1">
      <c r="A51" s="32"/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f t="shared" si="5"/>
        <v>327.65879999999999</v>
      </c>
      <c r="J51" s="26"/>
      <c r="L51" s="19"/>
      <c r="M51" s="20"/>
      <c r="N51" s="21"/>
    </row>
    <row r="52" spans="1:101" ht="15.75" hidden="1" customHeight="1">
      <c r="A52" s="121">
        <v>18</v>
      </c>
      <c r="B52" s="80" t="s">
        <v>38</v>
      </c>
      <c r="C52" s="81" t="s">
        <v>39</v>
      </c>
      <c r="D52" s="80" t="s">
        <v>42</v>
      </c>
      <c r="E52" s="82">
        <v>1</v>
      </c>
      <c r="F52" s="85">
        <v>0.02</v>
      </c>
      <c r="G52" s="91">
        <v>5652.13</v>
      </c>
      <c r="H52" s="83">
        <f t="shared" si="4"/>
        <v>0.11304260000000001</v>
      </c>
      <c r="I52" s="91">
        <f>F52/2*G52</f>
        <v>56.521300000000004</v>
      </c>
      <c r="J52" s="26"/>
      <c r="L52" s="19"/>
      <c r="M52" s="20"/>
      <c r="N52" s="21"/>
    </row>
    <row r="53" spans="1:101" s="175" customFormat="1" ht="17.25" hidden="1" customHeight="1">
      <c r="A53" s="32">
        <v>13</v>
      </c>
      <c r="B53" s="111" t="s">
        <v>41</v>
      </c>
      <c r="C53" s="112" t="s">
        <v>106</v>
      </c>
      <c r="D53" s="188">
        <v>43507</v>
      </c>
      <c r="E53" s="146">
        <v>240</v>
      </c>
      <c r="F53" s="147">
        <f>SUM(E53)*1</f>
        <v>240</v>
      </c>
      <c r="G53" s="37">
        <v>89.59</v>
      </c>
      <c r="H53" s="13">
        <f t="shared" si="4"/>
        <v>21.501600000000003</v>
      </c>
      <c r="I53" s="86">
        <f>E53*G53/3</f>
        <v>7167.2000000000007</v>
      </c>
      <c r="J53" s="177"/>
      <c r="K53" s="9"/>
      <c r="L53" s="19"/>
      <c r="M53" s="20"/>
      <c r="N53" s="21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200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</row>
    <row r="54" spans="1:101" s="175" customFormat="1" ht="15" customHeight="1">
      <c r="A54" s="32">
        <v>13</v>
      </c>
      <c r="B54" s="111" t="s">
        <v>172</v>
      </c>
      <c r="C54" s="112" t="s">
        <v>106</v>
      </c>
      <c r="D54" s="188" t="s">
        <v>203</v>
      </c>
      <c r="E54" s="146">
        <v>5</v>
      </c>
      <c r="F54" s="168">
        <v>60</v>
      </c>
      <c r="G54" s="37">
        <v>903.71</v>
      </c>
      <c r="H54" s="13"/>
      <c r="I54" s="13">
        <f>G54*F54/12</f>
        <v>4518.55</v>
      </c>
      <c r="J54" s="177"/>
      <c r="K54" s="9"/>
      <c r="L54" s="19"/>
      <c r="M54" s="20"/>
      <c r="N54" s="21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</row>
    <row r="55" spans="1:101" ht="15.75" customHeight="1">
      <c r="A55" s="235" t="s">
        <v>138</v>
      </c>
      <c r="B55" s="236"/>
      <c r="C55" s="236"/>
      <c r="D55" s="236"/>
      <c r="E55" s="236"/>
      <c r="F55" s="236"/>
      <c r="G55" s="236"/>
      <c r="H55" s="236"/>
      <c r="I55" s="237"/>
      <c r="J55" s="26"/>
      <c r="L55" s="19"/>
      <c r="M55" s="20"/>
      <c r="N55" s="21"/>
    </row>
    <row r="56" spans="1:101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101" ht="31.5" hidden="1" customHeight="1">
      <c r="A57" s="32">
        <v>18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G57*0.315</f>
        <v>487.39319999999998</v>
      </c>
      <c r="J57" s="26"/>
      <c r="L57" s="19"/>
    </row>
    <row r="58" spans="1:101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101" ht="15.75" hidden="1" customHeight="1">
      <c r="A59" s="32">
        <v>15</v>
      </c>
      <c r="B59" s="105" t="s">
        <v>130</v>
      </c>
      <c r="C59" s="106" t="s">
        <v>52</v>
      </c>
      <c r="D59" s="105" t="s">
        <v>203</v>
      </c>
      <c r="E59" s="107">
        <v>6</v>
      </c>
      <c r="F59" s="110">
        <f>E59*6/100</f>
        <v>0.36</v>
      </c>
      <c r="G59" s="36">
        <v>2110.4699999999998</v>
      </c>
      <c r="H59" s="84">
        <f>G59*F59/1000</f>
        <v>0.75976919999999992</v>
      </c>
      <c r="I59" s="13">
        <f>F59/4*G59</f>
        <v>189.94229999999999</v>
      </c>
    </row>
    <row r="60" spans="1:101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101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101" ht="15.75" customHeight="1">
      <c r="A62" s="32">
        <v>14</v>
      </c>
      <c r="B62" s="105" t="s">
        <v>132</v>
      </c>
      <c r="C62" s="106" t="s">
        <v>25</v>
      </c>
      <c r="D62" s="105" t="s">
        <v>204</v>
      </c>
      <c r="E62" s="107">
        <v>200</v>
      </c>
      <c r="F62" s="108">
        <f>E62*12</f>
        <v>2400</v>
      </c>
      <c r="G62" s="109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101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141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101" ht="15.75" customHeight="1">
      <c r="A64" s="32">
        <v>15</v>
      </c>
      <c r="B64" s="14" t="s">
        <v>46</v>
      </c>
      <c r="C64" s="16" t="s">
        <v>106</v>
      </c>
      <c r="D64" s="71" t="s">
        <v>231</v>
      </c>
      <c r="E64" s="18">
        <v>15</v>
      </c>
      <c r="F64" s="74">
        <v>15</v>
      </c>
      <c r="G64" s="125">
        <v>303.35000000000002</v>
      </c>
      <c r="H64" s="86">
        <f t="shared" ref="H64:H80" si="6">SUM(F64*G64/1000)</f>
        <v>4.5502500000000001</v>
      </c>
      <c r="I64" s="13">
        <f>G64*4</f>
        <v>1213.4000000000001</v>
      </c>
      <c r="J64" s="5"/>
      <c r="K64" s="5"/>
      <c r="L64" s="5"/>
      <c r="M64" s="5"/>
      <c r="N64" s="5"/>
      <c r="O64" s="5"/>
      <c r="P64" s="5"/>
      <c r="Q64" s="5"/>
      <c r="R64" s="218"/>
      <c r="S64" s="218"/>
      <c r="T64" s="218"/>
      <c r="U64" s="218"/>
    </row>
    <row r="65" spans="1:21" ht="15.75" hidden="1" customHeight="1">
      <c r="A65" s="32">
        <v>25</v>
      </c>
      <c r="B65" s="14" t="s">
        <v>47</v>
      </c>
      <c r="C65" s="16" t="s">
        <v>106</v>
      </c>
      <c r="D65" s="71" t="s">
        <v>65</v>
      </c>
      <c r="E65" s="18">
        <v>10</v>
      </c>
      <c r="F65" s="74">
        <v>10</v>
      </c>
      <c r="G65" s="13">
        <v>76.25</v>
      </c>
      <c r="H65" s="86">
        <f t="shared" si="6"/>
        <v>0.76249999999999996</v>
      </c>
      <c r="I65" s="13">
        <f>G65</f>
        <v>76.25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2"/>
      <c r="B66" s="14" t="s">
        <v>48</v>
      </c>
      <c r="C66" s="16" t="s">
        <v>108</v>
      </c>
      <c r="D66" s="14" t="s">
        <v>53</v>
      </c>
      <c r="E66" s="73">
        <v>28608</v>
      </c>
      <c r="F66" s="13">
        <f>SUM(E66/100)</f>
        <v>286.08</v>
      </c>
      <c r="G66" s="13">
        <v>199.77</v>
      </c>
      <c r="H66" s="86">
        <f t="shared" si="6"/>
        <v>57.150201600000003</v>
      </c>
      <c r="I66" s="13">
        <f>F66*G66</f>
        <v>57150.2016</v>
      </c>
    </row>
    <row r="67" spans="1:21" ht="15.75" hidden="1" customHeight="1">
      <c r="A67" s="32"/>
      <c r="B67" s="14" t="s">
        <v>49</v>
      </c>
      <c r="C67" s="16" t="s">
        <v>109</v>
      </c>
      <c r="D67" s="14"/>
      <c r="E67" s="73">
        <v>28608</v>
      </c>
      <c r="F67" s="13">
        <f>SUM(E67/1000)</f>
        <v>28.608000000000001</v>
      </c>
      <c r="G67" s="13">
        <v>155.57</v>
      </c>
      <c r="H67" s="86">
        <f t="shared" si="6"/>
        <v>4.4505465599999994</v>
      </c>
      <c r="I67" s="13">
        <f t="shared" ref="I67:I71" si="7">F67*G67</f>
        <v>4450.5465599999998</v>
      </c>
    </row>
    <row r="68" spans="1:21" ht="15.75" hidden="1" customHeight="1">
      <c r="A68" s="32"/>
      <c r="B68" s="14" t="s">
        <v>50</v>
      </c>
      <c r="C68" s="16" t="s">
        <v>75</v>
      </c>
      <c r="D68" s="14" t="s">
        <v>53</v>
      </c>
      <c r="E68" s="73">
        <v>4550</v>
      </c>
      <c r="F68" s="13">
        <f>SUM(E68/100)</f>
        <v>45.5</v>
      </c>
      <c r="G68" s="13">
        <v>2074.63</v>
      </c>
      <c r="H68" s="86">
        <f t="shared" si="6"/>
        <v>94.395665000000008</v>
      </c>
      <c r="I68" s="13">
        <f t="shared" si="7"/>
        <v>94395.665000000008</v>
      </c>
    </row>
    <row r="69" spans="1:21" ht="15.75" hidden="1" customHeight="1">
      <c r="A69" s="32"/>
      <c r="B69" s="87" t="s">
        <v>110</v>
      </c>
      <c r="C69" s="16" t="s">
        <v>33</v>
      </c>
      <c r="D69" s="14"/>
      <c r="E69" s="73">
        <v>58.5</v>
      </c>
      <c r="F69" s="13">
        <f>SUM(E69)</f>
        <v>58.5</v>
      </c>
      <c r="G69" s="13">
        <v>45.32</v>
      </c>
      <c r="H69" s="86">
        <f t="shared" si="6"/>
        <v>2.6512199999999999</v>
      </c>
      <c r="I69" s="13">
        <f t="shared" si="7"/>
        <v>2651.22</v>
      </c>
    </row>
    <row r="70" spans="1:21" ht="15.75" hidden="1" customHeight="1">
      <c r="A70" s="32"/>
      <c r="B70" s="87" t="s">
        <v>111</v>
      </c>
      <c r="C70" s="16" t="s">
        <v>33</v>
      </c>
      <c r="D70" s="14"/>
      <c r="E70" s="73">
        <v>58.5</v>
      </c>
      <c r="F70" s="13">
        <f>SUM(E70)</f>
        <v>58.5</v>
      </c>
      <c r="G70" s="13">
        <v>42.28</v>
      </c>
      <c r="H70" s="86">
        <f t="shared" si="6"/>
        <v>2.4733800000000001</v>
      </c>
      <c r="I70" s="13">
        <f t="shared" si="7"/>
        <v>2473.38</v>
      </c>
    </row>
    <row r="71" spans="1:21" ht="21.75" hidden="1" customHeight="1">
      <c r="A71" s="32"/>
      <c r="B71" s="14" t="s">
        <v>56</v>
      </c>
      <c r="C71" s="16" t="s">
        <v>57</v>
      </c>
      <c r="D71" s="14" t="s">
        <v>53</v>
      </c>
      <c r="E71" s="18">
        <v>5</v>
      </c>
      <c r="F71" s="74">
        <v>5</v>
      </c>
      <c r="G71" s="13">
        <v>49.88</v>
      </c>
      <c r="H71" s="86">
        <f t="shared" si="6"/>
        <v>0.24940000000000001</v>
      </c>
      <c r="I71" s="13">
        <f t="shared" si="7"/>
        <v>249.4</v>
      </c>
    </row>
    <row r="72" spans="1:21" ht="21.75" customHeight="1">
      <c r="A72" s="32"/>
      <c r="B72" s="173" t="s">
        <v>176</v>
      </c>
      <c r="C72" s="154"/>
      <c r="D72" s="39"/>
      <c r="E72" s="17"/>
      <c r="F72" s="109"/>
      <c r="G72" s="36"/>
      <c r="H72" s="86"/>
      <c r="I72" s="13"/>
    </row>
    <row r="73" spans="1:21" ht="33.75" customHeight="1">
      <c r="A73" s="32">
        <v>16</v>
      </c>
      <c r="B73" s="39" t="s">
        <v>177</v>
      </c>
      <c r="C73" s="156" t="s">
        <v>178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8" customHeight="1">
      <c r="A74" s="32"/>
      <c r="B74" s="174" t="s">
        <v>70</v>
      </c>
      <c r="C74" s="16"/>
      <c r="D74" s="14"/>
      <c r="E74" s="18"/>
      <c r="F74" s="13"/>
      <c r="G74" s="13"/>
      <c r="H74" s="86" t="s">
        <v>141</v>
      </c>
      <c r="I74" s="13"/>
    </row>
    <row r="75" spans="1:21" ht="15.75" hidden="1" customHeight="1">
      <c r="A75" s="32"/>
      <c r="B75" s="14" t="s">
        <v>71</v>
      </c>
      <c r="C75" s="16" t="s">
        <v>73</v>
      </c>
      <c r="D75" s="14"/>
      <c r="E75" s="18">
        <v>10</v>
      </c>
      <c r="F75" s="13">
        <v>1</v>
      </c>
      <c r="G75" s="13">
        <v>501.62</v>
      </c>
      <c r="H75" s="86">
        <f t="shared" si="6"/>
        <v>0.50161999999999995</v>
      </c>
      <c r="I75" s="13">
        <v>0</v>
      </c>
    </row>
    <row r="76" spans="1:21" ht="16.5" hidden="1" customHeight="1">
      <c r="A76" s="32"/>
      <c r="B76" s="14" t="s">
        <v>72</v>
      </c>
      <c r="C76" s="16" t="s">
        <v>31</v>
      </c>
      <c r="D76" s="14"/>
      <c r="E76" s="18">
        <v>3</v>
      </c>
      <c r="F76" s="66">
        <v>3</v>
      </c>
      <c r="G76" s="13">
        <v>852.99</v>
      </c>
      <c r="H76" s="86">
        <f>F76*G76/1000</f>
        <v>2.5589700000000004</v>
      </c>
      <c r="I76" s="13">
        <v>0</v>
      </c>
    </row>
    <row r="77" spans="1:21" ht="21" hidden="1" customHeight="1">
      <c r="A77" s="32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86">
        <f>G77*F77/1000</f>
        <v>0.35851</v>
      </c>
      <c r="I77" s="13">
        <v>0</v>
      </c>
    </row>
    <row r="78" spans="1:21" ht="36" customHeight="1">
      <c r="A78" s="32">
        <v>17</v>
      </c>
      <c r="B78" s="39" t="s">
        <v>183</v>
      </c>
      <c r="C78" s="154" t="s">
        <v>106</v>
      </c>
      <c r="D78" s="39" t="s">
        <v>204</v>
      </c>
      <c r="E78" s="17">
        <v>2</v>
      </c>
      <c r="F78" s="36">
        <v>24</v>
      </c>
      <c r="G78" s="36">
        <v>55.55</v>
      </c>
      <c r="H78" s="86"/>
      <c r="I78" s="13">
        <f>G78*2</f>
        <v>111.1</v>
      </c>
    </row>
    <row r="79" spans="1:21" ht="18.75" hidden="1" customHeight="1">
      <c r="A79" s="32"/>
      <c r="B79" s="89" t="s">
        <v>74</v>
      </c>
      <c r="C79" s="16"/>
      <c r="D79" s="14"/>
      <c r="E79" s="18"/>
      <c r="F79" s="13"/>
      <c r="G79" s="13" t="s">
        <v>141</v>
      </c>
      <c r="H79" s="86" t="s">
        <v>141</v>
      </c>
      <c r="I79" s="13"/>
    </row>
    <row r="80" spans="1:21" ht="17.25" hidden="1" customHeight="1">
      <c r="A80" s="32"/>
      <c r="B80" s="47" t="s">
        <v>146</v>
      </c>
      <c r="C80" s="16" t="s">
        <v>75</v>
      </c>
      <c r="D80" s="14"/>
      <c r="E80" s="18"/>
      <c r="F80" s="13">
        <v>1.2</v>
      </c>
      <c r="G80" s="13">
        <v>2759.44</v>
      </c>
      <c r="H80" s="86">
        <f t="shared" si="6"/>
        <v>3.311328</v>
      </c>
      <c r="I80" s="13">
        <v>0</v>
      </c>
    </row>
    <row r="81" spans="1:9" ht="15.75" hidden="1" customHeight="1">
      <c r="A81" s="32"/>
      <c r="B81" s="65" t="s">
        <v>91</v>
      </c>
      <c r="C81" s="65"/>
      <c r="D81" s="65"/>
      <c r="E81" s="65"/>
      <c r="F81" s="65"/>
      <c r="G81" s="77"/>
      <c r="H81" s="90">
        <f>SUM(H57:H80)</f>
        <v>190.40011605999999</v>
      </c>
      <c r="I81" s="77"/>
    </row>
    <row r="82" spans="1:9" ht="15.75" hidden="1" customHeight="1">
      <c r="A82" s="32"/>
      <c r="B82" s="94" t="s">
        <v>112</v>
      </c>
      <c r="C82" s="23"/>
      <c r="D82" s="22"/>
      <c r="E82" s="67"/>
      <c r="F82" s="95">
        <v>1</v>
      </c>
      <c r="G82" s="13">
        <v>23072.1</v>
      </c>
      <c r="H82" s="86">
        <f>G82*F82/1000</f>
        <v>23.072099999999999</v>
      </c>
      <c r="I82" s="13">
        <v>0</v>
      </c>
    </row>
    <row r="83" spans="1:9" ht="15.75" customHeight="1">
      <c r="A83" s="219" t="s">
        <v>139</v>
      </c>
      <c r="B83" s="220"/>
      <c r="C83" s="220"/>
      <c r="D83" s="220"/>
      <c r="E83" s="220"/>
      <c r="F83" s="220"/>
      <c r="G83" s="220"/>
      <c r="H83" s="220"/>
      <c r="I83" s="221"/>
    </row>
    <row r="84" spans="1:9" ht="15.75" customHeight="1">
      <c r="A84" s="32">
        <v>18</v>
      </c>
      <c r="B84" s="111" t="s">
        <v>114</v>
      </c>
      <c r="C84" s="154" t="s">
        <v>54</v>
      </c>
      <c r="D84" s="50"/>
      <c r="E84" s="36">
        <v>6980.3</v>
      </c>
      <c r="F84" s="36">
        <f>SUM(E84*12)</f>
        <v>83763.600000000006</v>
      </c>
      <c r="G84" s="36">
        <v>3.22</v>
      </c>
      <c r="H84" s="86">
        <f>SUM(F84*G84/1000)</f>
        <v>269.71879200000001</v>
      </c>
      <c r="I84" s="13">
        <f>F84/12*G84</f>
        <v>22476.566000000003</v>
      </c>
    </row>
    <row r="85" spans="1:9" ht="31.5" customHeight="1">
      <c r="A85" s="32">
        <v>19</v>
      </c>
      <c r="B85" s="39" t="s">
        <v>76</v>
      </c>
      <c r="C85" s="154"/>
      <c r="D85" s="103"/>
      <c r="E85" s="146">
        <f>E84</f>
        <v>6980.3</v>
      </c>
      <c r="F85" s="36">
        <f>E85*12</f>
        <v>83763.600000000006</v>
      </c>
      <c r="G85" s="36">
        <v>3.64</v>
      </c>
      <c r="H85" s="86">
        <f>F85*G85/1000</f>
        <v>304.89950400000004</v>
      </c>
      <c r="I85" s="13">
        <f>F85/12*G85</f>
        <v>25408.292000000001</v>
      </c>
    </row>
    <row r="86" spans="1:9" ht="15.75" customHeight="1">
      <c r="A86" s="32"/>
      <c r="B86" s="40" t="s">
        <v>78</v>
      </c>
      <c r="C86" s="89"/>
      <c r="D86" s="88"/>
      <c r="E86" s="77"/>
      <c r="F86" s="77"/>
      <c r="G86" s="77"/>
      <c r="H86" s="90">
        <f>H85</f>
        <v>304.89950400000004</v>
      </c>
      <c r="I86" s="77">
        <f>I85+I84+I78+I73+I64+I62+I54+I49+I43+I42+I41+I40+I39+I38+I37+I26+I18+I17+I16</f>
        <v>120564.55660733335</v>
      </c>
    </row>
    <row r="87" spans="1:9" ht="15.75" customHeight="1">
      <c r="A87" s="230" t="s">
        <v>59</v>
      </c>
      <c r="B87" s="231"/>
      <c r="C87" s="231"/>
      <c r="D87" s="231"/>
      <c r="E87" s="231"/>
      <c r="F87" s="231"/>
      <c r="G87" s="231"/>
      <c r="H87" s="231"/>
      <c r="I87" s="232"/>
    </row>
    <row r="88" spans="1:9" ht="32.25" customHeight="1">
      <c r="A88" s="32">
        <v>20</v>
      </c>
      <c r="B88" s="51" t="s">
        <v>190</v>
      </c>
      <c r="C88" s="52" t="s">
        <v>144</v>
      </c>
      <c r="D88" s="39" t="s">
        <v>235</v>
      </c>
      <c r="E88" s="17"/>
      <c r="F88" s="36">
        <v>37</v>
      </c>
      <c r="G88" s="198">
        <v>670.51</v>
      </c>
      <c r="H88" s="102">
        <f t="shared" ref="H88:H95" si="8">G88*F88/1000</f>
        <v>24.808869999999999</v>
      </c>
      <c r="I88" s="13">
        <f>G88*1</f>
        <v>670.51</v>
      </c>
    </row>
    <row r="89" spans="1:9" ht="51" customHeight="1">
      <c r="A89" s="32">
        <v>21</v>
      </c>
      <c r="B89" s="51" t="s">
        <v>222</v>
      </c>
      <c r="C89" s="52" t="s">
        <v>82</v>
      </c>
      <c r="D89" s="39" t="s">
        <v>237</v>
      </c>
      <c r="E89" s="36"/>
      <c r="F89" s="36">
        <v>7</v>
      </c>
      <c r="G89" s="198">
        <v>222.63</v>
      </c>
      <c r="H89" s="102">
        <f t="shared" si="8"/>
        <v>1.5584099999999999</v>
      </c>
      <c r="I89" s="13">
        <f>G89*3</f>
        <v>667.89</v>
      </c>
    </row>
    <row r="90" spans="1:9" ht="18" customHeight="1">
      <c r="A90" s="32">
        <v>22</v>
      </c>
      <c r="B90" s="51" t="s">
        <v>232</v>
      </c>
      <c r="C90" s="52" t="s">
        <v>163</v>
      </c>
      <c r="D90" s="39" t="s">
        <v>340</v>
      </c>
      <c r="E90" s="17"/>
      <c r="F90" s="36">
        <v>3</v>
      </c>
      <c r="G90" s="198">
        <v>284</v>
      </c>
      <c r="H90" s="102">
        <f t="shared" si="8"/>
        <v>0.85199999999999998</v>
      </c>
      <c r="I90" s="13">
        <v>0</v>
      </c>
    </row>
    <row r="91" spans="1:9" ht="19.5" customHeight="1">
      <c r="A91" s="32">
        <v>23</v>
      </c>
      <c r="B91" s="51" t="s">
        <v>185</v>
      </c>
      <c r="C91" s="52" t="s">
        <v>186</v>
      </c>
      <c r="D91" s="14"/>
      <c r="E91" s="18"/>
      <c r="F91" s="13">
        <v>240</v>
      </c>
      <c r="G91" s="198">
        <v>227</v>
      </c>
      <c r="H91" s="86">
        <f t="shared" si="8"/>
        <v>54.48</v>
      </c>
      <c r="I91" s="13">
        <f>G91*1</f>
        <v>227</v>
      </c>
    </row>
    <row r="92" spans="1:9" ht="35.25" customHeight="1">
      <c r="A92" s="32">
        <v>24</v>
      </c>
      <c r="B92" s="51" t="s">
        <v>142</v>
      </c>
      <c r="C92" s="52" t="s">
        <v>143</v>
      </c>
      <c r="D92" s="103" t="s">
        <v>236</v>
      </c>
      <c r="E92" s="36"/>
      <c r="F92" s="36">
        <v>1</v>
      </c>
      <c r="G92" s="198">
        <v>61.58</v>
      </c>
      <c r="H92" s="102">
        <f t="shared" si="8"/>
        <v>6.1579999999999996E-2</v>
      </c>
      <c r="I92" s="13">
        <f>G92*1</f>
        <v>61.58</v>
      </c>
    </row>
    <row r="93" spans="1:9" ht="29.25" customHeight="1">
      <c r="A93" s="32">
        <v>25</v>
      </c>
      <c r="B93" s="157" t="s">
        <v>191</v>
      </c>
      <c r="C93" s="156" t="s">
        <v>189</v>
      </c>
      <c r="D93" s="103" t="s">
        <v>234</v>
      </c>
      <c r="E93" s="36"/>
      <c r="F93" s="36">
        <v>1</v>
      </c>
      <c r="G93" s="198">
        <v>458.9</v>
      </c>
      <c r="H93" s="102">
        <f t="shared" si="8"/>
        <v>0.45889999999999997</v>
      </c>
      <c r="I93" s="13">
        <f>G93*2</f>
        <v>917.8</v>
      </c>
    </row>
    <row r="94" spans="1:9" ht="21" customHeight="1">
      <c r="A94" s="32">
        <v>26</v>
      </c>
      <c r="B94" s="51" t="s">
        <v>270</v>
      </c>
      <c r="C94" s="52" t="s">
        <v>82</v>
      </c>
      <c r="D94" s="39" t="s">
        <v>233</v>
      </c>
      <c r="E94" s="17"/>
      <c r="F94" s="36">
        <v>8</v>
      </c>
      <c r="G94" s="198">
        <v>222.63</v>
      </c>
      <c r="H94" s="102">
        <f t="shared" si="8"/>
        <v>1.78104</v>
      </c>
      <c r="I94" s="13">
        <f>G94*1</f>
        <v>222.63</v>
      </c>
    </row>
    <row r="95" spans="1:9" ht="17.25" customHeight="1">
      <c r="A95" s="32">
        <v>27</v>
      </c>
      <c r="B95" s="51" t="s">
        <v>80</v>
      </c>
      <c r="C95" s="52" t="s">
        <v>106</v>
      </c>
      <c r="D95" s="39"/>
      <c r="E95" s="17"/>
      <c r="F95" s="36">
        <v>1</v>
      </c>
      <c r="G95" s="198">
        <v>215.85</v>
      </c>
      <c r="H95" s="102">
        <f t="shared" si="8"/>
        <v>0.21584999999999999</v>
      </c>
      <c r="I95" s="13">
        <f>G95*1</f>
        <v>215.85</v>
      </c>
    </row>
    <row r="96" spans="1:9" ht="19.5" customHeight="1">
      <c r="A96" s="32">
        <v>28</v>
      </c>
      <c r="B96" s="51" t="s">
        <v>192</v>
      </c>
      <c r="C96" s="52" t="s">
        <v>39</v>
      </c>
      <c r="D96" s="47" t="s">
        <v>203</v>
      </c>
      <c r="E96" s="13"/>
      <c r="F96" s="13">
        <v>2</v>
      </c>
      <c r="G96" s="198">
        <v>27139.18</v>
      </c>
      <c r="H96" s="102">
        <f>G96*F96/1000</f>
        <v>54.278359999999999</v>
      </c>
      <c r="I96" s="13">
        <v>0</v>
      </c>
    </row>
    <row r="97" spans="1:9" ht="15.75" customHeight="1">
      <c r="A97" s="32"/>
      <c r="B97" s="45" t="s">
        <v>51</v>
      </c>
      <c r="C97" s="41"/>
      <c r="D97" s="48"/>
      <c r="E97" s="41">
        <v>1</v>
      </c>
      <c r="F97" s="41"/>
      <c r="G97" s="41"/>
      <c r="H97" s="41"/>
      <c r="I97" s="34">
        <f>SUM(I88:I96)</f>
        <v>2983.2599999999998</v>
      </c>
    </row>
    <row r="98" spans="1:9">
      <c r="A98" s="32"/>
      <c r="B98" s="47" t="s">
        <v>77</v>
      </c>
      <c r="C98" s="15"/>
      <c r="D98" s="15"/>
      <c r="E98" s="42"/>
      <c r="F98" s="42"/>
      <c r="G98" s="43"/>
      <c r="H98" s="43"/>
      <c r="I98" s="17">
        <v>0</v>
      </c>
    </row>
    <row r="99" spans="1:9">
      <c r="A99" s="49"/>
      <c r="B99" s="46" t="s">
        <v>157</v>
      </c>
      <c r="C99" s="35"/>
      <c r="D99" s="35"/>
      <c r="E99" s="35"/>
      <c r="F99" s="35"/>
      <c r="G99" s="35"/>
      <c r="H99" s="35"/>
      <c r="I99" s="44">
        <f>I86+I97</f>
        <v>123547.81660733334</v>
      </c>
    </row>
    <row r="100" spans="1:9" ht="15.75">
      <c r="A100" s="222" t="s">
        <v>341</v>
      </c>
      <c r="B100" s="222"/>
      <c r="C100" s="222"/>
      <c r="D100" s="222"/>
      <c r="E100" s="222"/>
      <c r="F100" s="222"/>
      <c r="G100" s="222"/>
      <c r="H100" s="222"/>
      <c r="I100" s="222"/>
    </row>
    <row r="101" spans="1:9" ht="15.75" customHeight="1">
      <c r="A101" s="58"/>
      <c r="B101" s="223" t="s">
        <v>342</v>
      </c>
      <c r="C101" s="223"/>
      <c r="D101" s="223"/>
      <c r="E101" s="223"/>
      <c r="F101" s="223"/>
      <c r="G101" s="223"/>
      <c r="H101" s="70"/>
      <c r="I101" s="3"/>
    </row>
    <row r="102" spans="1:9">
      <c r="A102" s="55"/>
      <c r="B102" s="224" t="s">
        <v>6</v>
      </c>
      <c r="C102" s="224"/>
      <c r="D102" s="224"/>
      <c r="E102" s="224"/>
      <c r="F102" s="224"/>
      <c r="G102" s="224"/>
      <c r="H102" s="27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25" t="s">
        <v>7</v>
      </c>
      <c r="B104" s="225"/>
      <c r="C104" s="225"/>
      <c r="D104" s="225"/>
      <c r="E104" s="225"/>
      <c r="F104" s="225"/>
      <c r="G104" s="225"/>
      <c r="H104" s="225"/>
      <c r="I104" s="225"/>
    </row>
    <row r="105" spans="1:9" ht="15.75">
      <c r="A105" s="225" t="s">
        <v>8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15.75">
      <c r="A106" s="226" t="s">
        <v>60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11"/>
    </row>
    <row r="108" spans="1:9" ht="15.75">
      <c r="A108" s="227" t="s">
        <v>9</v>
      </c>
      <c r="B108" s="227"/>
      <c r="C108" s="227"/>
      <c r="D108" s="227"/>
      <c r="E108" s="227"/>
      <c r="F108" s="227"/>
      <c r="G108" s="227"/>
      <c r="H108" s="227"/>
      <c r="I108" s="227"/>
    </row>
    <row r="109" spans="1:9" ht="15.75" customHeight="1">
      <c r="A109" s="4"/>
    </row>
    <row r="110" spans="1:9" ht="15.75" customHeight="1">
      <c r="B110" s="56" t="s">
        <v>10</v>
      </c>
      <c r="C110" s="228" t="s">
        <v>134</v>
      </c>
      <c r="D110" s="228"/>
      <c r="E110" s="228"/>
      <c r="F110" s="68"/>
      <c r="I110" s="54"/>
    </row>
    <row r="111" spans="1:9" ht="15.75" customHeight="1">
      <c r="A111" s="55"/>
      <c r="C111" s="224" t="s">
        <v>11</v>
      </c>
      <c r="D111" s="224"/>
      <c r="E111" s="224"/>
      <c r="F111" s="27"/>
      <c r="I111" s="53" t="s">
        <v>12</v>
      </c>
    </row>
    <row r="112" spans="1:9" ht="15.75" customHeight="1">
      <c r="A112" s="28"/>
      <c r="C112" s="12"/>
      <c r="D112" s="12"/>
      <c r="G112" s="12"/>
      <c r="H112" s="12"/>
    </row>
    <row r="113" spans="1:9" ht="15.75">
      <c r="B113" s="56" t="s">
        <v>13</v>
      </c>
      <c r="C113" s="229"/>
      <c r="D113" s="229"/>
      <c r="E113" s="229"/>
      <c r="F113" s="69"/>
      <c r="I113" s="54"/>
    </row>
    <row r="114" spans="1:9">
      <c r="A114" s="55"/>
      <c r="C114" s="218" t="s">
        <v>11</v>
      </c>
      <c r="D114" s="218"/>
      <c r="E114" s="218"/>
      <c r="F114" s="55"/>
      <c r="I114" s="53" t="s">
        <v>12</v>
      </c>
    </row>
    <row r="115" spans="1:9" ht="15.75">
      <c r="A115" s="4" t="s">
        <v>14</v>
      </c>
    </row>
    <row r="116" spans="1:9">
      <c r="A116" s="233" t="s">
        <v>15</v>
      </c>
      <c r="B116" s="233"/>
      <c r="C116" s="233"/>
      <c r="D116" s="233"/>
      <c r="E116" s="233"/>
      <c r="F116" s="233"/>
      <c r="G116" s="233"/>
      <c r="H116" s="233"/>
      <c r="I116" s="233"/>
    </row>
    <row r="117" spans="1:9" ht="45" customHeight="1">
      <c r="A117" s="234" t="s">
        <v>16</v>
      </c>
      <c r="B117" s="234"/>
      <c r="C117" s="234"/>
      <c r="D117" s="234"/>
      <c r="E117" s="234"/>
      <c r="F117" s="234"/>
      <c r="G117" s="234"/>
      <c r="H117" s="234"/>
      <c r="I117" s="234"/>
    </row>
    <row r="118" spans="1:9" ht="30" customHeight="1">
      <c r="A118" s="234" t="s">
        <v>17</v>
      </c>
      <c r="B118" s="234"/>
      <c r="C118" s="234"/>
      <c r="D118" s="234"/>
      <c r="E118" s="234"/>
      <c r="F118" s="234"/>
      <c r="G118" s="234"/>
      <c r="H118" s="234"/>
      <c r="I118" s="234"/>
    </row>
    <row r="119" spans="1:9" ht="30" customHeight="1">
      <c r="A119" s="234" t="s">
        <v>21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15" customHeight="1">
      <c r="A120" s="234" t="s">
        <v>20</v>
      </c>
      <c r="B120" s="234"/>
      <c r="C120" s="234"/>
      <c r="D120" s="234"/>
      <c r="E120" s="234"/>
      <c r="F120" s="234"/>
      <c r="G120" s="234"/>
      <c r="H120" s="234"/>
      <c r="I120" s="234"/>
    </row>
  </sheetData>
  <autoFilter ref="I12:I59"/>
  <mergeCells count="29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7:I27"/>
    <mergeCell ref="A44:I44"/>
    <mergeCell ref="A55:I55"/>
    <mergeCell ref="A100:I100"/>
    <mergeCell ref="B101:G101"/>
    <mergeCell ref="B102:G102"/>
    <mergeCell ref="A104:I104"/>
    <mergeCell ref="A105:I105"/>
    <mergeCell ref="A87:I87"/>
    <mergeCell ref="R64:U64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2"/>
  <sheetViews>
    <sheetView topLeftCell="A93" workbookViewId="0">
      <selection activeCell="J110" sqref="J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148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239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43921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203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hidden="1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31.5" hidden="1" customHeight="1">
      <c r="A29" s="32">
        <v>10</v>
      </c>
      <c r="B29" s="71" t="s">
        <v>104</v>
      </c>
      <c r="C29" s="72" t="s">
        <v>87</v>
      </c>
      <c r="D29" s="71" t="s">
        <v>101</v>
      </c>
      <c r="E29" s="74">
        <v>1168.05</v>
      </c>
      <c r="F29" s="74">
        <f>SUM(E29*52/1000)</f>
        <v>60.738599999999998</v>
      </c>
      <c r="G29" s="74">
        <v>155.88999999999999</v>
      </c>
      <c r="H29" s="75">
        <f t="shared" ref="H29:H35" si="1">SUM(F29*G29/1000)</f>
        <v>9.4685403539999982</v>
      </c>
      <c r="I29" s="13">
        <f>F29/6*G29</f>
        <v>1578.0900589999997</v>
      </c>
      <c r="J29" s="25"/>
      <c r="K29" s="8"/>
      <c r="L29" s="8"/>
      <c r="M29" s="8"/>
    </row>
    <row r="30" spans="1:13" ht="31.5" hidden="1" customHeight="1">
      <c r="A30" s="32">
        <v>11</v>
      </c>
      <c r="B30" s="71" t="s">
        <v>120</v>
      </c>
      <c r="C30" s="72" t="s">
        <v>87</v>
      </c>
      <c r="D30" s="71" t="s">
        <v>102</v>
      </c>
      <c r="E30" s="74">
        <v>1039.2</v>
      </c>
      <c r="F30" s="74">
        <f>SUM(E30*78/1000)</f>
        <v>81.057600000000008</v>
      </c>
      <c r="G30" s="74">
        <v>258.63</v>
      </c>
      <c r="H30" s="75">
        <f t="shared" si="1"/>
        <v>20.963927088000002</v>
      </c>
      <c r="I30" s="13">
        <f t="shared" ref="I30:I33" si="2">F30/6*G30</f>
        <v>3493.9878480000002</v>
      </c>
      <c r="J30" s="25"/>
      <c r="K30" s="8"/>
      <c r="L30" s="8"/>
      <c r="M30" s="8"/>
    </row>
    <row r="31" spans="1:13" ht="15.75" hidden="1" customHeight="1">
      <c r="A31" s="32">
        <v>16</v>
      </c>
      <c r="B31" s="71" t="s">
        <v>27</v>
      </c>
      <c r="C31" s="72" t="s">
        <v>87</v>
      </c>
      <c r="D31" s="71" t="s">
        <v>53</v>
      </c>
      <c r="E31" s="74">
        <v>584.03</v>
      </c>
      <c r="F31" s="74">
        <f>SUM(E31/1000)</f>
        <v>0.58402999999999994</v>
      </c>
      <c r="G31" s="74">
        <v>3020.33</v>
      </c>
      <c r="H31" s="75">
        <f t="shared" si="1"/>
        <v>1.7639633298999997</v>
      </c>
      <c r="I31" s="13">
        <f>F31*G31</f>
        <v>1763.9633298999997</v>
      </c>
      <c r="J31" s="25"/>
      <c r="K31" s="8"/>
      <c r="L31" s="8"/>
      <c r="M31" s="8"/>
    </row>
    <row r="32" spans="1:13" ht="15.75" hidden="1" customHeight="1">
      <c r="A32" s="32">
        <v>12</v>
      </c>
      <c r="B32" s="71" t="s">
        <v>119</v>
      </c>
      <c r="C32" s="72" t="s">
        <v>39</v>
      </c>
      <c r="D32" s="71" t="s">
        <v>62</v>
      </c>
      <c r="E32" s="74">
        <v>6</v>
      </c>
      <c r="F32" s="74">
        <f>E32*155/100</f>
        <v>9.3000000000000007</v>
      </c>
      <c r="G32" s="74">
        <v>1302.02</v>
      </c>
      <c r="H32" s="75">
        <f>G32*F32/1000</f>
        <v>12.108786</v>
      </c>
      <c r="I32" s="13">
        <f t="shared" si="2"/>
        <v>2018.1310000000001</v>
      </c>
      <c r="J32" s="25"/>
      <c r="K32" s="8"/>
      <c r="L32" s="8"/>
      <c r="M32" s="8"/>
    </row>
    <row r="33" spans="1:14" ht="15.75" hidden="1" customHeight="1">
      <c r="A33" s="32">
        <v>13</v>
      </c>
      <c r="B33" s="71" t="s">
        <v>103</v>
      </c>
      <c r="C33" s="72" t="s">
        <v>31</v>
      </c>
      <c r="D33" s="71" t="s">
        <v>62</v>
      </c>
      <c r="E33" s="78">
        <v>0.33333333333333331</v>
      </c>
      <c r="F33" s="74">
        <f>155/3</f>
        <v>51.666666666666664</v>
      </c>
      <c r="G33" s="74">
        <v>56.69</v>
      </c>
      <c r="H33" s="75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71" t="s">
        <v>63</v>
      </c>
      <c r="C34" s="72" t="s">
        <v>33</v>
      </c>
      <c r="D34" s="71" t="s">
        <v>65</v>
      </c>
      <c r="E34" s="73"/>
      <c r="F34" s="74">
        <v>4</v>
      </c>
      <c r="G34" s="74">
        <v>180.15</v>
      </c>
      <c r="H34" s="75">
        <f t="shared" si="1"/>
        <v>0.72060000000000002</v>
      </c>
      <c r="I34" s="13">
        <v>0</v>
      </c>
      <c r="J34" s="26"/>
    </row>
    <row r="35" spans="1:14" ht="15.75" hidden="1" customHeight="1">
      <c r="A35" s="32"/>
      <c r="B35" s="71" t="s">
        <v>64</v>
      </c>
      <c r="C35" s="72" t="s">
        <v>32</v>
      </c>
      <c r="D35" s="71" t="s">
        <v>65</v>
      </c>
      <c r="E35" s="73"/>
      <c r="F35" s="74">
        <v>3</v>
      </c>
      <c r="G35" s="74">
        <v>1136.33</v>
      </c>
      <c r="H35" s="75">
        <f t="shared" si="1"/>
        <v>3.4089899999999997</v>
      </c>
      <c r="I35" s="13">
        <v>0</v>
      </c>
      <c r="J35" s="26"/>
    </row>
    <row r="36" spans="1:14" ht="15.75" customHeight="1">
      <c r="A36" s="32"/>
      <c r="B36" s="92" t="s">
        <v>5</v>
      </c>
      <c r="C36" s="72"/>
      <c r="D36" s="71"/>
      <c r="E36" s="73"/>
      <c r="F36" s="74"/>
      <c r="G36" s="74"/>
      <c r="H36" s="75" t="s">
        <v>141</v>
      </c>
      <c r="I36" s="13"/>
      <c r="J36" s="26"/>
    </row>
    <row r="37" spans="1:14" ht="15.75" customHeight="1">
      <c r="A37" s="32">
        <v>5</v>
      </c>
      <c r="B37" s="158" t="s">
        <v>26</v>
      </c>
      <c r="C37" s="112" t="s">
        <v>32</v>
      </c>
      <c r="D37" s="111" t="s">
        <v>240</v>
      </c>
      <c r="E37" s="146"/>
      <c r="F37" s="147">
        <v>5</v>
      </c>
      <c r="G37" s="147">
        <v>2083</v>
      </c>
      <c r="H37" s="75">
        <f t="shared" ref="H37:H43" si="3">SUM(F37*G37/1000)</f>
        <v>10.414999999999999</v>
      </c>
      <c r="I37" s="13">
        <f>G37*1.8</f>
        <v>3749.4</v>
      </c>
      <c r="J37" s="26"/>
    </row>
    <row r="38" spans="1:14" ht="15.75" customHeight="1">
      <c r="A38" s="32">
        <v>6</v>
      </c>
      <c r="B38" s="158" t="s">
        <v>105</v>
      </c>
      <c r="C38" s="159" t="s">
        <v>29</v>
      </c>
      <c r="D38" s="111" t="s">
        <v>198</v>
      </c>
      <c r="E38" s="146">
        <v>153</v>
      </c>
      <c r="F38" s="160">
        <f>E38*30/1000</f>
        <v>4.59</v>
      </c>
      <c r="G38" s="147">
        <v>2868.09</v>
      </c>
      <c r="H38" s="75">
        <f>G38*F38/1000</f>
        <v>13.1645331</v>
      </c>
      <c r="I38" s="13">
        <f>F38/6*G38</f>
        <v>2194.0888500000001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customHeight="1">
      <c r="A40" s="32">
        <v>7</v>
      </c>
      <c r="B40" s="111" t="s">
        <v>66</v>
      </c>
      <c r="C40" s="112" t="s">
        <v>29</v>
      </c>
      <c r="D40" s="111" t="s">
        <v>199</v>
      </c>
      <c r="E40" s="147">
        <v>153</v>
      </c>
      <c r="F40" s="160">
        <f>SUM(E40*155/1000)</f>
        <v>23.715</v>
      </c>
      <c r="G40" s="147">
        <v>478.42</v>
      </c>
      <c r="H40" s="75">
        <f t="shared" si="3"/>
        <v>11.345730300000001</v>
      </c>
      <c r="I40" s="13">
        <f>F40/6*G40</f>
        <v>1890.95505</v>
      </c>
      <c r="J40" s="26"/>
      <c r="L40" s="19"/>
      <c r="M40" s="20"/>
      <c r="N40" s="21"/>
    </row>
    <row r="41" spans="1:14" ht="47.25" customHeight="1">
      <c r="A41" s="32">
        <v>8</v>
      </c>
      <c r="B41" s="111" t="s">
        <v>81</v>
      </c>
      <c r="C41" s="112" t="s">
        <v>87</v>
      </c>
      <c r="D41" s="111" t="s">
        <v>200</v>
      </c>
      <c r="E41" s="147">
        <v>25</v>
      </c>
      <c r="F41" s="160">
        <f>SUM(E41*35/1000)</f>
        <v>0.875</v>
      </c>
      <c r="G41" s="147">
        <v>7915.6</v>
      </c>
      <c r="H41" s="75">
        <f t="shared" si="3"/>
        <v>6.9261500000000007</v>
      </c>
      <c r="I41" s="13">
        <f>F41/6*G41</f>
        <v>1154.3583333333333</v>
      </c>
      <c r="J41" s="26"/>
      <c r="L41" s="19"/>
      <c r="M41" s="20"/>
      <c r="N41" s="21"/>
    </row>
    <row r="42" spans="1:14" ht="15.75" customHeight="1">
      <c r="A42" s="32">
        <v>9</v>
      </c>
      <c r="B42" s="111" t="s">
        <v>88</v>
      </c>
      <c r="C42" s="112" t="s">
        <v>87</v>
      </c>
      <c r="D42" s="111" t="s">
        <v>241</v>
      </c>
      <c r="E42" s="147">
        <v>153</v>
      </c>
      <c r="F42" s="160">
        <f>SUM(E42*45/1000)</f>
        <v>6.8849999999999998</v>
      </c>
      <c r="G42" s="147">
        <v>584.74</v>
      </c>
      <c r="H42" s="75">
        <f t="shared" si="3"/>
        <v>4.0259348999999993</v>
      </c>
      <c r="I42" s="13">
        <f>G42*F42/45</f>
        <v>89.465219999999988</v>
      </c>
      <c r="J42" s="26"/>
      <c r="L42" s="19"/>
      <c r="M42" s="20"/>
      <c r="N42" s="21"/>
    </row>
    <row r="43" spans="1:14" ht="15.75" customHeight="1">
      <c r="A43" s="121">
        <v>10</v>
      </c>
      <c r="B43" s="158" t="s">
        <v>68</v>
      </c>
      <c r="C43" s="159" t="s">
        <v>33</v>
      </c>
      <c r="D43" s="111"/>
      <c r="E43" s="149"/>
      <c r="F43" s="160">
        <v>0.9</v>
      </c>
      <c r="G43" s="160">
        <v>800</v>
      </c>
      <c r="H43" s="83">
        <f t="shared" si="3"/>
        <v>0.72</v>
      </c>
      <c r="I43" s="91">
        <f>G43*F43/45</f>
        <v>16</v>
      </c>
      <c r="J43" s="26"/>
      <c r="L43" s="19"/>
      <c r="M43" s="20"/>
      <c r="N43" s="21"/>
    </row>
    <row r="44" spans="1:14" ht="34.5" customHeight="1">
      <c r="A44" s="32">
        <v>11</v>
      </c>
      <c r="B44" s="158" t="s">
        <v>170</v>
      </c>
      <c r="C44" s="159" t="s">
        <v>29</v>
      </c>
      <c r="D44" s="158" t="s">
        <v>202</v>
      </c>
      <c r="E44" s="149">
        <v>4.2</v>
      </c>
      <c r="F44" s="160">
        <f>E44*12/1000</f>
        <v>5.0400000000000007E-2</v>
      </c>
      <c r="G44" s="160">
        <v>270.61</v>
      </c>
      <c r="H44" s="13"/>
      <c r="I44" s="13">
        <f>G44*F44/6</f>
        <v>2.2731240000000006</v>
      </c>
      <c r="J44" s="26"/>
      <c r="L44" s="19"/>
      <c r="M44" s="20"/>
      <c r="N44" s="21"/>
    </row>
    <row r="45" spans="1:14" ht="19.5" customHeight="1">
      <c r="A45" s="215" t="s">
        <v>137</v>
      </c>
      <c r="B45" s="216"/>
      <c r="C45" s="216"/>
      <c r="D45" s="216"/>
      <c r="E45" s="216"/>
      <c r="F45" s="216"/>
      <c r="G45" s="216"/>
      <c r="H45" s="216"/>
      <c r="I45" s="217"/>
      <c r="J45" s="26"/>
      <c r="L45" s="19"/>
      <c r="M45" s="20"/>
      <c r="N45" s="21"/>
    </row>
    <row r="46" spans="1:14" ht="21.75" hidden="1" customHeight="1">
      <c r="A46" s="32"/>
      <c r="B46" s="71" t="s">
        <v>126</v>
      </c>
      <c r="C46" s="72" t="s">
        <v>87</v>
      </c>
      <c r="D46" s="71" t="s">
        <v>42</v>
      </c>
      <c r="E46" s="73">
        <v>1895</v>
      </c>
      <c r="F46" s="74">
        <f>SUM(E46*2/1000)</f>
        <v>3.79</v>
      </c>
      <c r="G46" s="13">
        <v>849.49</v>
      </c>
      <c r="H46" s="75">
        <f t="shared" ref="H46:H54" si="4">SUM(F46*G46/1000)</f>
        <v>3.2195671000000003</v>
      </c>
      <c r="I46" s="13">
        <v>0</v>
      </c>
      <c r="J46" s="26"/>
      <c r="L46" s="19"/>
      <c r="M46" s="20"/>
      <c r="N46" s="21"/>
    </row>
    <row r="47" spans="1:14" ht="14.25" hidden="1" customHeight="1">
      <c r="A47" s="32"/>
      <c r="B47" s="71" t="s">
        <v>34</v>
      </c>
      <c r="C47" s="72" t="s">
        <v>87</v>
      </c>
      <c r="D47" s="71" t="s">
        <v>42</v>
      </c>
      <c r="E47" s="73">
        <v>118.2</v>
      </c>
      <c r="F47" s="74">
        <f>E47*2/1000</f>
        <v>0.2364</v>
      </c>
      <c r="G47" s="13">
        <v>579.48</v>
      </c>
      <c r="H47" s="75">
        <f t="shared" si="4"/>
        <v>0.13698907199999999</v>
      </c>
      <c r="I47" s="13">
        <v>0</v>
      </c>
      <c r="J47" s="26"/>
      <c r="L47" s="19"/>
      <c r="M47" s="20"/>
      <c r="N47" s="21"/>
    </row>
    <row r="48" spans="1:14" ht="26.25" hidden="1" customHeight="1">
      <c r="A48" s="32"/>
      <c r="B48" s="71" t="s">
        <v>35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579.48</v>
      </c>
      <c r="H48" s="75">
        <f t="shared" si="4"/>
        <v>5.4181379999999999</v>
      </c>
      <c r="I48" s="13">
        <v>0</v>
      </c>
      <c r="J48" s="26"/>
      <c r="L48" s="19"/>
      <c r="M48" s="20"/>
      <c r="N48" s="21"/>
    </row>
    <row r="49" spans="1:22" ht="21" hidden="1" customHeight="1">
      <c r="A49" s="32"/>
      <c r="B49" s="71" t="s">
        <v>36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606.77</v>
      </c>
      <c r="H49" s="75">
        <f t="shared" si="4"/>
        <v>5.6732994999999988</v>
      </c>
      <c r="I49" s="13">
        <v>0</v>
      </c>
      <c r="J49" s="26"/>
      <c r="L49" s="19"/>
      <c r="M49" s="20"/>
      <c r="N49" s="21"/>
    </row>
    <row r="50" spans="1:22" ht="21.75" hidden="1" customHeight="1">
      <c r="A50" s="32">
        <v>17</v>
      </c>
      <c r="B50" s="71" t="s">
        <v>55</v>
      </c>
      <c r="C50" s="72" t="s">
        <v>87</v>
      </c>
      <c r="D50" s="71" t="s">
        <v>145</v>
      </c>
      <c r="E50" s="73">
        <v>3988</v>
      </c>
      <c r="F50" s="74">
        <f>SUM(E50*5/1000)</f>
        <v>19.940000000000001</v>
      </c>
      <c r="G50" s="13">
        <v>1142.7</v>
      </c>
      <c r="H50" s="75">
        <f t="shared" si="4"/>
        <v>22.785438000000003</v>
      </c>
      <c r="I50" s="13">
        <f>F50/5*G50</f>
        <v>4557.0876000000007</v>
      </c>
      <c r="J50" s="26"/>
      <c r="L50" s="19"/>
      <c r="M50" s="20"/>
      <c r="N50" s="21"/>
    </row>
    <row r="51" spans="1:22" ht="18.75" hidden="1" customHeight="1">
      <c r="A51" s="32"/>
      <c r="B51" s="71" t="s">
        <v>89</v>
      </c>
      <c r="C51" s="72" t="s">
        <v>87</v>
      </c>
      <c r="D51" s="71" t="s">
        <v>42</v>
      </c>
      <c r="E51" s="73">
        <v>3988</v>
      </c>
      <c r="F51" s="74">
        <f>SUM(E51*2/1000)</f>
        <v>7.976</v>
      </c>
      <c r="G51" s="13">
        <v>1213.55</v>
      </c>
      <c r="H51" s="75">
        <f t="shared" si="4"/>
        <v>9.6792748</v>
      </c>
      <c r="I51" s="13">
        <v>0</v>
      </c>
      <c r="J51" s="26"/>
      <c r="L51" s="19"/>
      <c r="M51" s="20"/>
      <c r="N51" s="21"/>
    </row>
    <row r="52" spans="1:22" ht="23.25" hidden="1" customHeight="1">
      <c r="A52" s="32"/>
      <c r="B52" s="71" t="s">
        <v>90</v>
      </c>
      <c r="C52" s="72" t="s">
        <v>37</v>
      </c>
      <c r="D52" s="71" t="s">
        <v>42</v>
      </c>
      <c r="E52" s="73">
        <v>30</v>
      </c>
      <c r="F52" s="74">
        <f>SUM(E52*2/100)</f>
        <v>0.6</v>
      </c>
      <c r="G52" s="13">
        <v>2730.49</v>
      </c>
      <c r="H52" s="75">
        <f>SUM(F52*G52/1000)</f>
        <v>1.6382939999999999</v>
      </c>
      <c r="I52" s="13">
        <v>0</v>
      </c>
      <c r="J52" s="26"/>
      <c r="L52" s="19"/>
      <c r="M52" s="20"/>
      <c r="N52" s="21"/>
    </row>
    <row r="53" spans="1:22" ht="18.75" hidden="1" customHeight="1">
      <c r="A53" s="32">
        <v>17</v>
      </c>
      <c r="B53" s="71" t="s">
        <v>38</v>
      </c>
      <c r="C53" s="72" t="s">
        <v>39</v>
      </c>
      <c r="D53" s="71" t="s">
        <v>42</v>
      </c>
      <c r="E53" s="73">
        <v>1</v>
      </c>
      <c r="F53" s="74">
        <v>0.02</v>
      </c>
      <c r="G53" s="13">
        <v>5652.13</v>
      </c>
      <c r="H53" s="75">
        <f t="shared" si="4"/>
        <v>0.11304260000000001</v>
      </c>
      <c r="I53" s="13">
        <f>F53/2*G53</f>
        <v>56.521300000000004</v>
      </c>
      <c r="J53" s="26"/>
      <c r="L53" s="19"/>
      <c r="M53" s="20"/>
      <c r="N53" s="21"/>
    </row>
    <row r="54" spans="1:22" ht="22.5" hidden="1" customHeight="1">
      <c r="A54" s="121">
        <v>17</v>
      </c>
      <c r="B54" s="80" t="s">
        <v>41</v>
      </c>
      <c r="C54" s="81" t="s">
        <v>106</v>
      </c>
      <c r="D54" s="80" t="s">
        <v>69</v>
      </c>
      <c r="E54" s="82">
        <v>236</v>
      </c>
      <c r="F54" s="85">
        <f>SUM(E54)*3</f>
        <v>708</v>
      </c>
      <c r="G54" s="91">
        <v>65.67</v>
      </c>
      <c r="H54" s="83">
        <f t="shared" si="4"/>
        <v>46.49436</v>
      </c>
      <c r="I54" s="91">
        <f>E54*G54</f>
        <v>15498.12</v>
      </c>
      <c r="J54" s="26"/>
      <c r="L54" s="19"/>
      <c r="M54" s="20"/>
      <c r="N54" s="21"/>
    </row>
    <row r="55" spans="1:22" ht="22.5" customHeight="1">
      <c r="A55" s="32">
        <v>12</v>
      </c>
      <c r="B55" s="111" t="s">
        <v>172</v>
      </c>
      <c r="C55" s="112" t="s">
        <v>106</v>
      </c>
      <c r="D55" s="111" t="s">
        <v>204</v>
      </c>
      <c r="E55" s="146">
        <v>5</v>
      </c>
      <c r="F55" s="147">
        <v>60</v>
      </c>
      <c r="G55" s="152">
        <v>903.71</v>
      </c>
      <c r="H55" s="13"/>
      <c r="I55" s="13">
        <f>G55*F55/12</f>
        <v>4518.55</v>
      </c>
      <c r="J55" s="26"/>
      <c r="L55" s="19"/>
      <c r="M55" s="20"/>
      <c r="N55" s="21"/>
    </row>
    <row r="56" spans="1:22" ht="15.75" customHeight="1">
      <c r="A56" s="215" t="s">
        <v>136</v>
      </c>
      <c r="B56" s="216"/>
      <c r="C56" s="216"/>
      <c r="D56" s="216"/>
      <c r="E56" s="216"/>
      <c r="F56" s="216"/>
      <c r="G56" s="216"/>
      <c r="H56" s="216"/>
      <c r="I56" s="217"/>
      <c r="J56" s="26"/>
      <c r="L56" s="19"/>
      <c r="M56" s="20"/>
      <c r="N56" s="21"/>
    </row>
    <row r="57" spans="1:22" ht="15.75" hidden="1" customHeight="1">
      <c r="A57" s="32"/>
      <c r="B57" s="92" t="s">
        <v>43</v>
      </c>
      <c r="C57" s="72"/>
      <c r="D57" s="71"/>
      <c r="E57" s="73"/>
      <c r="F57" s="74"/>
      <c r="G57" s="74"/>
      <c r="H57" s="75"/>
      <c r="I57" s="13"/>
      <c r="J57" s="26"/>
      <c r="L57" s="19"/>
      <c r="M57" s="20"/>
      <c r="N57" s="21"/>
    </row>
    <row r="58" spans="1:22" ht="31.5" hidden="1" customHeight="1">
      <c r="A58" s="32">
        <v>18</v>
      </c>
      <c r="B58" s="71" t="s">
        <v>127</v>
      </c>
      <c r="C58" s="72" t="s">
        <v>85</v>
      </c>
      <c r="D58" s="71" t="s">
        <v>107</v>
      </c>
      <c r="E58" s="73">
        <v>30</v>
      </c>
      <c r="F58" s="74">
        <f>SUM(E58*6/100)</f>
        <v>1.8</v>
      </c>
      <c r="G58" s="13">
        <v>1547.28</v>
      </c>
      <c r="H58" s="75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18</v>
      </c>
      <c r="B59" s="80" t="s">
        <v>128</v>
      </c>
      <c r="C59" s="81" t="s">
        <v>129</v>
      </c>
      <c r="D59" s="80" t="s">
        <v>42</v>
      </c>
      <c r="E59" s="82">
        <v>6</v>
      </c>
      <c r="F59" s="83">
        <v>12</v>
      </c>
      <c r="G59" s="13">
        <v>180.78</v>
      </c>
      <c r="H59" s="84">
        <f>G59*F59/1000</f>
        <v>2.1693600000000002</v>
      </c>
      <c r="I59" s="13">
        <f>F59/2*G59</f>
        <v>1084.68</v>
      </c>
    </row>
    <row r="60" spans="1:22" ht="15.75" hidden="1" customHeight="1">
      <c r="A60" s="32">
        <v>13</v>
      </c>
      <c r="B60" s="105" t="s">
        <v>130</v>
      </c>
      <c r="C60" s="106" t="s">
        <v>52</v>
      </c>
      <c r="D60" s="105" t="s">
        <v>203</v>
      </c>
      <c r="E60" s="107">
        <v>6</v>
      </c>
      <c r="F60" s="110">
        <f>E60*6/100</f>
        <v>0.36</v>
      </c>
      <c r="G60" s="36">
        <v>2110.4699999999998</v>
      </c>
      <c r="H60" s="84">
        <f>G60*F60/1000</f>
        <v>0.75976919999999992</v>
      </c>
      <c r="I60" s="13">
        <f>F60/4*G60</f>
        <v>189.94229999999999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13</v>
      </c>
      <c r="B63" s="105" t="s">
        <v>132</v>
      </c>
      <c r="C63" s="106" t="s">
        <v>25</v>
      </c>
      <c r="D63" s="105" t="s">
        <v>204</v>
      </c>
      <c r="E63" s="107">
        <v>200</v>
      </c>
      <c r="F63" s="108">
        <f>E63*12</f>
        <v>2400</v>
      </c>
      <c r="G63" s="109">
        <v>1.4</v>
      </c>
      <c r="H63" s="83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/>
      <c r="B64" s="93" t="s">
        <v>45</v>
      </c>
      <c r="C64" s="81"/>
      <c r="D64" s="80"/>
      <c r="E64" s="82"/>
      <c r="F64" s="85"/>
      <c r="G64" s="85"/>
      <c r="H64" s="83" t="s">
        <v>141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>
        <v>21</v>
      </c>
      <c r="B65" s="14" t="s">
        <v>46</v>
      </c>
      <c r="C65" s="16" t="s">
        <v>106</v>
      </c>
      <c r="D65" s="71" t="s">
        <v>65</v>
      </c>
      <c r="E65" s="18">
        <v>15</v>
      </c>
      <c r="F65" s="74">
        <v>15</v>
      </c>
      <c r="G65" s="13">
        <v>222.4</v>
      </c>
      <c r="H65" s="86">
        <f t="shared" ref="H65:H81" si="5">SUM(F65*G65/1000)</f>
        <v>3.3359999999999999</v>
      </c>
      <c r="I65" s="13">
        <f>G65*2</f>
        <v>444.8</v>
      </c>
      <c r="J65" s="5"/>
      <c r="K65" s="5"/>
      <c r="L65" s="5"/>
      <c r="M65" s="5"/>
      <c r="N65" s="5"/>
      <c r="O65" s="5"/>
      <c r="P65" s="5"/>
      <c r="Q65" s="5"/>
      <c r="R65" s="218"/>
      <c r="S65" s="218"/>
      <c r="T65" s="218"/>
      <c r="U65" s="218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5"/>
        <v>2.4733800000000001</v>
      </c>
      <c r="I71" s="13">
        <f t="shared" si="6"/>
        <v>2473.38</v>
      </c>
    </row>
    <row r="72" spans="1:21" ht="21.7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5"/>
        <v>0.24940000000000001</v>
      </c>
      <c r="I72" s="13">
        <f t="shared" si="6"/>
        <v>249.4</v>
      </c>
    </row>
    <row r="73" spans="1:21" ht="17.25" customHeight="1">
      <c r="A73" s="32"/>
      <c r="B73" s="173" t="s">
        <v>176</v>
      </c>
      <c r="C73" s="154"/>
      <c r="D73" s="39"/>
      <c r="E73" s="17"/>
      <c r="F73" s="109"/>
      <c r="G73" s="36"/>
      <c r="H73" s="86"/>
      <c r="I73" s="13"/>
    </row>
    <row r="74" spans="1:21" ht="32.25" customHeight="1">
      <c r="A74" s="32">
        <v>14</v>
      </c>
      <c r="B74" s="39" t="s">
        <v>177</v>
      </c>
      <c r="C74" s="156" t="s">
        <v>178</v>
      </c>
      <c r="D74" s="39"/>
      <c r="E74" s="17">
        <v>6980.3</v>
      </c>
      <c r="F74" s="36">
        <f>E74*12</f>
        <v>83763.600000000006</v>
      </c>
      <c r="G74" s="36">
        <v>2.37</v>
      </c>
      <c r="H74" s="86"/>
      <c r="I74" s="13">
        <f>G74*F74/12</f>
        <v>16543.311000000002</v>
      </c>
    </row>
    <row r="75" spans="1:21" ht="16.5" customHeight="1">
      <c r="A75" s="32"/>
      <c r="B75" s="178" t="s">
        <v>70</v>
      </c>
      <c r="C75" s="16"/>
      <c r="D75" s="14"/>
      <c r="E75" s="18"/>
      <c r="F75" s="13"/>
      <c r="G75" s="13"/>
      <c r="H75" s="86" t="s">
        <v>141</v>
      </c>
      <c r="I75" s="13"/>
    </row>
    <row r="76" spans="1:21" ht="15.75" hidden="1" customHeight="1">
      <c r="A76" s="32">
        <v>16</v>
      </c>
      <c r="B76" s="39" t="s">
        <v>71</v>
      </c>
      <c r="C76" s="154" t="s">
        <v>73</v>
      </c>
      <c r="D76" s="39" t="s">
        <v>144</v>
      </c>
      <c r="E76" s="17">
        <v>7</v>
      </c>
      <c r="F76" s="36">
        <f>E76/10</f>
        <v>0.7</v>
      </c>
      <c r="G76" s="36">
        <v>684.19</v>
      </c>
      <c r="H76" s="86">
        <f t="shared" si="5"/>
        <v>0.478933</v>
      </c>
      <c r="I76" s="13">
        <f>G76*0.1</f>
        <v>68.419000000000011</v>
      </c>
    </row>
    <row r="77" spans="1:21" ht="18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17.2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30" customHeight="1">
      <c r="A79" s="32">
        <v>15</v>
      </c>
      <c r="B79" s="39" t="s">
        <v>183</v>
      </c>
      <c r="C79" s="154" t="s">
        <v>106</v>
      </c>
      <c r="D79" s="39" t="s">
        <v>204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20.25" hidden="1" customHeight="1">
      <c r="A80" s="32"/>
      <c r="B80" s="89" t="s">
        <v>74</v>
      </c>
      <c r="C80" s="16"/>
      <c r="D80" s="14"/>
      <c r="E80" s="18"/>
      <c r="F80" s="13"/>
      <c r="G80" s="13" t="s">
        <v>141</v>
      </c>
      <c r="H80" s="86" t="s">
        <v>141</v>
      </c>
      <c r="I80" s="13"/>
    </row>
    <row r="81" spans="1:9" ht="21" hidden="1" customHeight="1">
      <c r="A81" s="32"/>
      <c r="B81" s="47" t="s">
        <v>146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5"/>
        <v>3.311328</v>
      </c>
      <c r="I81" s="13">
        <v>0</v>
      </c>
    </row>
    <row r="82" spans="1:9" ht="19.5" hidden="1" customHeight="1">
      <c r="A82" s="32"/>
      <c r="B82" s="65" t="s">
        <v>91</v>
      </c>
      <c r="C82" s="65"/>
      <c r="D82" s="65"/>
      <c r="E82" s="65"/>
      <c r="F82" s="65"/>
      <c r="G82" s="77"/>
      <c r="H82" s="90">
        <f>SUM(H58:H81)</f>
        <v>189.16317906</v>
      </c>
      <c r="I82" s="77"/>
    </row>
    <row r="83" spans="1:9" ht="21.75" hidden="1" customHeight="1">
      <c r="A83" s="32"/>
      <c r="B83" s="94" t="s">
        <v>112</v>
      </c>
      <c r="C83" s="23"/>
      <c r="D83" s="22"/>
      <c r="E83" s="67"/>
      <c r="F83" s="95">
        <v>1</v>
      </c>
      <c r="G83" s="13">
        <v>23072.1</v>
      </c>
      <c r="H83" s="86">
        <f>G83*F83/1000</f>
        <v>23.072099999999999</v>
      </c>
      <c r="I83" s="13">
        <v>0</v>
      </c>
    </row>
    <row r="84" spans="1:9" ht="15.75" customHeight="1">
      <c r="A84" s="219" t="s">
        <v>135</v>
      </c>
      <c r="B84" s="220"/>
      <c r="C84" s="220"/>
      <c r="D84" s="220"/>
      <c r="E84" s="220"/>
      <c r="F84" s="220"/>
      <c r="G84" s="220"/>
      <c r="H84" s="220"/>
      <c r="I84" s="221"/>
    </row>
    <row r="85" spans="1:9" ht="15.75" customHeight="1">
      <c r="A85" s="32">
        <v>16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17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I86+I85+I79+I74+I63+I55+I44+I43+I42+I41+I40+I38+I37+I26+I18+I17+I16</f>
        <v>111916.73984733333</v>
      </c>
    </row>
    <row r="88" spans="1:9" ht="15.75" customHeight="1">
      <c r="A88" s="230" t="s">
        <v>59</v>
      </c>
      <c r="B88" s="231"/>
      <c r="C88" s="231"/>
      <c r="D88" s="231"/>
      <c r="E88" s="231"/>
      <c r="F88" s="231"/>
      <c r="G88" s="231"/>
      <c r="H88" s="231"/>
      <c r="I88" s="232"/>
    </row>
    <row r="89" spans="1:9" ht="33.75" customHeight="1">
      <c r="A89" s="32">
        <v>18</v>
      </c>
      <c r="B89" s="51" t="s">
        <v>222</v>
      </c>
      <c r="C89" s="52" t="s">
        <v>82</v>
      </c>
      <c r="D89" s="199" t="s">
        <v>246</v>
      </c>
      <c r="E89" s="198"/>
      <c r="F89" s="198">
        <v>8</v>
      </c>
      <c r="G89" s="198">
        <v>222.63</v>
      </c>
      <c r="H89" s="86">
        <f t="shared" ref="H89" si="7">G89*F89/1000</f>
        <v>1.78104</v>
      </c>
      <c r="I89" s="13">
        <f>G89*2</f>
        <v>445.26</v>
      </c>
    </row>
    <row r="90" spans="1:9" ht="18" customHeight="1">
      <c r="A90" s="32">
        <v>19</v>
      </c>
      <c r="B90" s="51" t="s">
        <v>232</v>
      </c>
      <c r="C90" s="52" t="s">
        <v>163</v>
      </c>
      <c r="D90" s="197" t="s">
        <v>343</v>
      </c>
      <c r="E90" s="198"/>
      <c r="F90" s="198">
        <v>21</v>
      </c>
      <c r="G90" s="198">
        <v>284</v>
      </c>
      <c r="H90" s="86"/>
      <c r="I90" s="13">
        <v>0</v>
      </c>
    </row>
    <row r="91" spans="1:9" ht="17.25" customHeight="1">
      <c r="A91" s="32">
        <v>20</v>
      </c>
      <c r="B91" s="51" t="s">
        <v>185</v>
      </c>
      <c r="C91" s="52" t="s">
        <v>186</v>
      </c>
      <c r="D91" s="197"/>
      <c r="E91" s="198"/>
      <c r="F91" s="198">
        <v>2</v>
      </c>
      <c r="G91" s="198">
        <v>227</v>
      </c>
      <c r="H91" s="86"/>
      <c r="I91" s="13">
        <f>G91*1</f>
        <v>227</v>
      </c>
    </row>
    <row r="92" spans="1:9" ht="17.25" customHeight="1">
      <c r="A92" s="32">
        <v>21</v>
      </c>
      <c r="B92" s="51" t="s">
        <v>242</v>
      </c>
      <c r="C92" s="52" t="s">
        <v>144</v>
      </c>
      <c r="D92" s="197" t="s">
        <v>245</v>
      </c>
      <c r="E92" s="198"/>
      <c r="F92" s="198">
        <v>1</v>
      </c>
      <c r="G92" s="198">
        <v>317.26</v>
      </c>
      <c r="H92" s="86"/>
      <c r="I92" s="13">
        <f>G92*1</f>
        <v>317.26</v>
      </c>
    </row>
    <row r="93" spans="1:9" ht="15.75" customHeight="1">
      <c r="A93" s="32">
        <v>22</v>
      </c>
      <c r="B93" s="51" t="s">
        <v>243</v>
      </c>
      <c r="C93" s="104" t="s">
        <v>106</v>
      </c>
      <c r="D93" s="197" t="s">
        <v>234</v>
      </c>
      <c r="E93" s="198"/>
      <c r="F93" s="198">
        <v>1</v>
      </c>
      <c r="G93" s="198">
        <v>949.61</v>
      </c>
      <c r="H93" s="86"/>
      <c r="I93" s="13">
        <f>G93*1</f>
        <v>949.61</v>
      </c>
    </row>
    <row r="94" spans="1:9" ht="29.25" customHeight="1">
      <c r="A94" s="32">
        <v>23</v>
      </c>
      <c r="B94" s="51" t="s">
        <v>244</v>
      </c>
      <c r="C94" s="52" t="s">
        <v>106</v>
      </c>
      <c r="D94" s="197" t="s">
        <v>234</v>
      </c>
      <c r="E94" s="198"/>
      <c r="F94" s="198">
        <v>2</v>
      </c>
      <c r="G94" s="198">
        <v>220.1</v>
      </c>
      <c r="H94" s="86"/>
      <c r="I94" s="13">
        <f>G94*2</f>
        <v>440.2</v>
      </c>
    </row>
    <row r="95" spans="1:9" ht="13.5" customHeight="1">
      <c r="A95" s="32">
        <v>24</v>
      </c>
      <c r="B95" s="51" t="s">
        <v>344</v>
      </c>
      <c r="C95" s="52" t="s">
        <v>82</v>
      </c>
      <c r="D95" s="197"/>
      <c r="E95" s="198"/>
      <c r="F95" s="198">
        <v>1</v>
      </c>
      <c r="G95" s="198">
        <v>222.63</v>
      </c>
      <c r="H95" s="86"/>
      <c r="I95" s="13">
        <v>0</v>
      </c>
    </row>
    <row r="96" spans="1:9" ht="16.5" customHeight="1">
      <c r="A96" s="32">
        <v>25</v>
      </c>
      <c r="B96" s="51" t="s">
        <v>192</v>
      </c>
      <c r="C96" s="52" t="s">
        <v>39</v>
      </c>
      <c r="D96" s="197" t="s">
        <v>286</v>
      </c>
      <c r="E96" s="198"/>
      <c r="F96" s="198">
        <v>0.05</v>
      </c>
      <c r="G96" s="198">
        <v>27139.18</v>
      </c>
      <c r="H96" s="86"/>
      <c r="I96" s="13">
        <v>0</v>
      </c>
    </row>
    <row r="97" spans="1:9" ht="31.5" customHeight="1">
      <c r="A97" s="32">
        <v>26</v>
      </c>
      <c r="B97" s="51" t="s">
        <v>247</v>
      </c>
      <c r="C97" s="52" t="s">
        <v>37</v>
      </c>
      <c r="D97" s="197" t="s">
        <v>203</v>
      </c>
      <c r="E97" s="198"/>
      <c r="F97" s="198">
        <v>0.01</v>
      </c>
      <c r="G97" s="198">
        <v>4070.89</v>
      </c>
      <c r="H97" s="86"/>
      <c r="I97" s="13">
        <v>0</v>
      </c>
    </row>
    <row r="98" spans="1:9" ht="18.75" customHeight="1">
      <c r="A98" s="32">
        <v>27</v>
      </c>
      <c r="B98" s="51" t="s">
        <v>278</v>
      </c>
      <c r="C98" s="52" t="s">
        <v>208</v>
      </c>
      <c r="D98" s="197"/>
      <c r="E98" s="198"/>
      <c r="F98" s="198"/>
      <c r="G98" s="198">
        <v>35400</v>
      </c>
      <c r="H98" s="86"/>
      <c r="I98" s="13">
        <f>G98*1</f>
        <v>35400</v>
      </c>
    </row>
    <row r="99" spans="1:9" ht="15.75" customHeight="1">
      <c r="A99" s="32"/>
      <c r="B99" s="45" t="s">
        <v>51</v>
      </c>
      <c r="C99" s="41"/>
      <c r="D99" s="48"/>
      <c r="E99" s="41">
        <v>1</v>
      </c>
      <c r="F99" s="41"/>
      <c r="G99" s="41"/>
      <c r="H99" s="41"/>
      <c r="I99" s="34">
        <f>SUM(I89:I98)</f>
        <v>37779.33</v>
      </c>
    </row>
    <row r="100" spans="1:9">
      <c r="A100" s="32"/>
      <c r="B100" s="47" t="s">
        <v>77</v>
      </c>
      <c r="C100" s="15"/>
      <c r="D100" s="15"/>
      <c r="E100" s="42"/>
      <c r="F100" s="42"/>
      <c r="G100" s="43"/>
      <c r="H100" s="43"/>
      <c r="I100" s="17">
        <v>0</v>
      </c>
    </row>
    <row r="101" spans="1:9">
      <c r="A101" s="49"/>
      <c r="B101" s="46" t="s">
        <v>157</v>
      </c>
      <c r="C101" s="35"/>
      <c r="D101" s="35"/>
      <c r="E101" s="35"/>
      <c r="F101" s="35"/>
      <c r="G101" s="35"/>
      <c r="H101" s="35"/>
      <c r="I101" s="44">
        <f>I87+I99</f>
        <v>149696.06984733333</v>
      </c>
    </row>
    <row r="102" spans="1:9" ht="15.75">
      <c r="A102" s="222" t="s">
        <v>345</v>
      </c>
      <c r="B102" s="222"/>
      <c r="C102" s="222"/>
      <c r="D102" s="222"/>
      <c r="E102" s="222"/>
      <c r="F102" s="222"/>
      <c r="G102" s="222"/>
      <c r="H102" s="222"/>
      <c r="I102" s="222"/>
    </row>
    <row r="103" spans="1:9" ht="15.75" customHeight="1">
      <c r="A103" s="58"/>
      <c r="B103" s="223" t="s">
        <v>346</v>
      </c>
      <c r="C103" s="223"/>
      <c r="D103" s="223"/>
      <c r="E103" s="223"/>
      <c r="F103" s="223"/>
      <c r="G103" s="223"/>
      <c r="H103" s="70"/>
      <c r="I103" s="3"/>
    </row>
    <row r="104" spans="1:9">
      <c r="A104" s="64"/>
      <c r="B104" s="224" t="s">
        <v>6</v>
      </c>
      <c r="C104" s="224"/>
      <c r="D104" s="224"/>
      <c r="E104" s="224"/>
      <c r="F104" s="224"/>
      <c r="G104" s="224"/>
      <c r="H104" s="27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225" t="s">
        <v>7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>
      <c r="A107" s="225" t="s">
        <v>8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226" t="s">
        <v>60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11"/>
    </row>
    <row r="110" spans="1:9" ht="15.75">
      <c r="A110" s="227" t="s">
        <v>9</v>
      </c>
      <c r="B110" s="227"/>
      <c r="C110" s="227"/>
      <c r="D110" s="227"/>
      <c r="E110" s="227"/>
      <c r="F110" s="227"/>
      <c r="G110" s="227"/>
      <c r="H110" s="227"/>
      <c r="I110" s="227"/>
    </row>
    <row r="111" spans="1:9" ht="15.75" customHeight="1">
      <c r="A111" s="4"/>
    </row>
    <row r="112" spans="1:9" ht="15.75" customHeight="1">
      <c r="B112" s="61" t="s">
        <v>10</v>
      </c>
      <c r="C112" s="228" t="s">
        <v>134</v>
      </c>
      <c r="D112" s="228"/>
      <c r="E112" s="228"/>
      <c r="F112" s="68"/>
      <c r="I112" s="63"/>
    </row>
    <row r="113" spans="1:9" ht="15.75" customHeight="1">
      <c r="A113" s="64"/>
      <c r="C113" s="224" t="s">
        <v>11</v>
      </c>
      <c r="D113" s="224"/>
      <c r="E113" s="224"/>
      <c r="F113" s="27"/>
      <c r="I113" s="62" t="s">
        <v>12</v>
      </c>
    </row>
    <row r="114" spans="1:9" ht="15.75" customHeight="1">
      <c r="A114" s="28"/>
      <c r="C114" s="12"/>
      <c r="D114" s="12"/>
      <c r="G114" s="12"/>
      <c r="H114" s="12"/>
    </row>
    <row r="115" spans="1:9" ht="15.75">
      <c r="B115" s="61" t="s">
        <v>13</v>
      </c>
      <c r="C115" s="229"/>
      <c r="D115" s="229"/>
      <c r="E115" s="229"/>
      <c r="F115" s="69"/>
      <c r="I115" s="63"/>
    </row>
    <row r="116" spans="1:9">
      <c r="A116" s="64"/>
      <c r="C116" s="218" t="s">
        <v>11</v>
      </c>
      <c r="D116" s="218"/>
      <c r="E116" s="218"/>
      <c r="F116" s="64"/>
      <c r="I116" s="62" t="s">
        <v>12</v>
      </c>
    </row>
    <row r="117" spans="1:9" ht="15.75">
      <c r="A117" s="4" t="s">
        <v>14</v>
      </c>
    </row>
    <row r="118" spans="1:9">
      <c r="A118" s="233" t="s">
        <v>15</v>
      </c>
      <c r="B118" s="233"/>
      <c r="C118" s="233"/>
      <c r="D118" s="233"/>
      <c r="E118" s="233"/>
      <c r="F118" s="233"/>
      <c r="G118" s="233"/>
      <c r="H118" s="233"/>
      <c r="I118" s="233"/>
    </row>
    <row r="119" spans="1:9" ht="45" customHeight="1">
      <c r="A119" s="234" t="s">
        <v>16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30" customHeight="1">
      <c r="A120" s="234" t="s">
        <v>17</v>
      </c>
      <c r="B120" s="234"/>
      <c r="C120" s="234"/>
      <c r="D120" s="234"/>
      <c r="E120" s="234"/>
      <c r="F120" s="234"/>
      <c r="G120" s="234"/>
      <c r="H120" s="234"/>
      <c r="I120" s="234"/>
    </row>
    <row r="121" spans="1:9" ht="30" customHeight="1">
      <c r="A121" s="234" t="s">
        <v>21</v>
      </c>
      <c r="B121" s="234"/>
      <c r="C121" s="234"/>
      <c r="D121" s="234"/>
      <c r="E121" s="234"/>
      <c r="F121" s="234"/>
      <c r="G121" s="234"/>
      <c r="H121" s="234"/>
      <c r="I121" s="234"/>
    </row>
    <row r="122" spans="1:9" ht="15" customHeight="1">
      <c r="A122" s="234" t="s">
        <v>20</v>
      </c>
      <c r="B122" s="234"/>
      <c r="C122" s="234"/>
      <c r="D122" s="234"/>
      <c r="E122" s="234"/>
      <c r="F122" s="234"/>
      <c r="G122" s="234"/>
      <c r="H122" s="234"/>
      <c r="I122" s="234"/>
    </row>
  </sheetData>
  <autoFilter ref="I12:I60"/>
  <mergeCells count="29">
    <mergeCell ref="R65:U65"/>
    <mergeCell ref="A84:I84"/>
    <mergeCell ref="A3:I3"/>
    <mergeCell ref="A4:I4"/>
    <mergeCell ref="A5:I5"/>
    <mergeCell ref="A8:I8"/>
    <mergeCell ref="A10:I10"/>
    <mergeCell ref="A14:I14"/>
    <mergeCell ref="A108:I108"/>
    <mergeCell ref="A15:I15"/>
    <mergeCell ref="A27:I27"/>
    <mergeCell ref="A45:I45"/>
    <mergeCell ref="A56:I56"/>
    <mergeCell ref="A88:I88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5"/>
  <sheetViews>
    <sheetView topLeftCell="A64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149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248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43951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203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6.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hidden="1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31.5" hidden="1" customHeight="1">
      <c r="A29" s="32">
        <v>10</v>
      </c>
      <c r="B29" s="71" t="s">
        <v>104</v>
      </c>
      <c r="C29" s="72" t="s">
        <v>87</v>
      </c>
      <c r="D29" s="71" t="s">
        <v>101</v>
      </c>
      <c r="E29" s="74">
        <v>1168.05</v>
      </c>
      <c r="F29" s="74">
        <f>SUM(E29*52/1000)</f>
        <v>60.738599999999998</v>
      </c>
      <c r="G29" s="74">
        <v>155.88999999999999</v>
      </c>
      <c r="H29" s="75">
        <f t="shared" ref="H29:H35" si="1">SUM(F29*G29/1000)</f>
        <v>9.4685403539999982</v>
      </c>
      <c r="I29" s="13">
        <f>F29/6*G29</f>
        <v>1578.0900589999997</v>
      </c>
      <c r="J29" s="25"/>
      <c r="K29" s="8"/>
      <c r="L29" s="8"/>
      <c r="M29" s="8"/>
    </row>
    <row r="30" spans="1:13" ht="31.5" hidden="1" customHeight="1">
      <c r="A30" s="32">
        <v>11</v>
      </c>
      <c r="B30" s="71" t="s">
        <v>120</v>
      </c>
      <c r="C30" s="72" t="s">
        <v>87</v>
      </c>
      <c r="D30" s="71" t="s">
        <v>102</v>
      </c>
      <c r="E30" s="74">
        <v>1039.2</v>
      </c>
      <c r="F30" s="74">
        <f>SUM(E30*78/1000)</f>
        <v>81.057600000000008</v>
      </c>
      <c r="G30" s="74">
        <v>258.63</v>
      </c>
      <c r="H30" s="75">
        <f t="shared" si="1"/>
        <v>20.963927088000002</v>
      </c>
      <c r="I30" s="13">
        <f t="shared" ref="I30:I33" si="2">F30/6*G30</f>
        <v>3493.9878480000002</v>
      </c>
      <c r="J30" s="25"/>
      <c r="K30" s="8"/>
      <c r="L30" s="8"/>
      <c r="M30" s="8"/>
    </row>
    <row r="31" spans="1:13" ht="15.75" hidden="1" customHeight="1">
      <c r="A31" s="32">
        <v>16</v>
      </c>
      <c r="B31" s="71" t="s">
        <v>27</v>
      </c>
      <c r="C31" s="72" t="s">
        <v>87</v>
      </c>
      <c r="D31" s="71" t="s">
        <v>53</v>
      </c>
      <c r="E31" s="74">
        <v>584.03</v>
      </c>
      <c r="F31" s="74">
        <f>SUM(E31/1000)</f>
        <v>0.58402999999999994</v>
      </c>
      <c r="G31" s="74">
        <v>3020.33</v>
      </c>
      <c r="H31" s="75">
        <f t="shared" si="1"/>
        <v>1.7639633298999997</v>
      </c>
      <c r="I31" s="13">
        <f>F31*G31</f>
        <v>1763.9633298999997</v>
      </c>
      <c r="J31" s="25"/>
      <c r="K31" s="8"/>
      <c r="L31" s="8"/>
      <c r="M31" s="8"/>
    </row>
    <row r="32" spans="1:13" ht="15.75" hidden="1" customHeight="1">
      <c r="A32" s="32">
        <v>12</v>
      </c>
      <c r="B32" s="71" t="s">
        <v>119</v>
      </c>
      <c r="C32" s="72" t="s">
        <v>39</v>
      </c>
      <c r="D32" s="71" t="s">
        <v>62</v>
      </c>
      <c r="E32" s="74">
        <v>6</v>
      </c>
      <c r="F32" s="74">
        <f>E32*155/100</f>
        <v>9.3000000000000007</v>
      </c>
      <c r="G32" s="74">
        <v>1302.02</v>
      </c>
      <c r="H32" s="75">
        <f>G32*F32/1000</f>
        <v>12.108786</v>
      </c>
      <c r="I32" s="13">
        <f t="shared" si="2"/>
        <v>2018.1310000000001</v>
      </c>
      <c r="J32" s="25"/>
      <c r="K32" s="8"/>
      <c r="L32" s="8"/>
      <c r="M32" s="8"/>
    </row>
    <row r="33" spans="1:14" ht="15.75" hidden="1" customHeight="1">
      <c r="A33" s="32">
        <v>13</v>
      </c>
      <c r="B33" s="71" t="s">
        <v>103</v>
      </c>
      <c r="C33" s="72" t="s">
        <v>31</v>
      </c>
      <c r="D33" s="71" t="s">
        <v>62</v>
      </c>
      <c r="E33" s="78">
        <v>0.33333333333333331</v>
      </c>
      <c r="F33" s="74">
        <f>155/3</f>
        <v>51.666666666666664</v>
      </c>
      <c r="G33" s="74">
        <v>56.69</v>
      </c>
      <c r="H33" s="75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71" t="s">
        <v>63</v>
      </c>
      <c r="C34" s="72" t="s">
        <v>33</v>
      </c>
      <c r="D34" s="71" t="s">
        <v>65</v>
      </c>
      <c r="E34" s="73"/>
      <c r="F34" s="74">
        <v>4</v>
      </c>
      <c r="G34" s="74">
        <v>180.15</v>
      </c>
      <c r="H34" s="75">
        <f t="shared" si="1"/>
        <v>0.72060000000000002</v>
      </c>
      <c r="I34" s="13">
        <v>0</v>
      </c>
      <c r="J34" s="26"/>
    </row>
    <row r="35" spans="1:14" ht="15.75" hidden="1" customHeight="1">
      <c r="A35" s="32"/>
      <c r="B35" s="71" t="s">
        <v>64</v>
      </c>
      <c r="C35" s="72" t="s">
        <v>32</v>
      </c>
      <c r="D35" s="71" t="s">
        <v>65</v>
      </c>
      <c r="E35" s="73"/>
      <c r="F35" s="74">
        <v>3</v>
      </c>
      <c r="G35" s="74">
        <v>1136.33</v>
      </c>
      <c r="H35" s="75">
        <f t="shared" si="1"/>
        <v>3.4089899999999997</v>
      </c>
      <c r="I35" s="13">
        <v>0</v>
      </c>
      <c r="J35" s="26"/>
    </row>
    <row r="36" spans="1:14" ht="15.75" customHeight="1">
      <c r="A36" s="32"/>
      <c r="B36" s="92" t="s">
        <v>5</v>
      </c>
      <c r="C36" s="72"/>
      <c r="D36" s="71"/>
      <c r="E36" s="73"/>
      <c r="F36" s="74"/>
      <c r="G36" s="74"/>
      <c r="H36" s="75" t="s">
        <v>141</v>
      </c>
      <c r="I36" s="13"/>
      <c r="J36" s="26"/>
    </row>
    <row r="37" spans="1:14" ht="15.75" customHeight="1">
      <c r="A37" s="32">
        <v>5</v>
      </c>
      <c r="B37" s="158" t="s">
        <v>26</v>
      </c>
      <c r="C37" s="112" t="s">
        <v>32</v>
      </c>
      <c r="D37" s="188">
        <v>43935</v>
      </c>
      <c r="E37" s="146"/>
      <c r="F37" s="147">
        <v>5</v>
      </c>
      <c r="G37" s="147">
        <v>2083</v>
      </c>
      <c r="H37" s="75">
        <f t="shared" ref="H37:H43" si="3">SUM(F37*G37/1000)</f>
        <v>10.414999999999999</v>
      </c>
      <c r="I37" s="13">
        <f>G37*0.7</f>
        <v>1458.1</v>
      </c>
      <c r="J37" s="26"/>
    </row>
    <row r="38" spans="1:14" ht="15.75" customHeight="1">
      <c r="A38" s="32">
        <v>6</v>
      </c>
      <c r="B38" s="158" t="s">
        <v>105</v>
      </c>
      <c r="C38" s="159" t="s">
        <v>29</v>
      </c>
      <c r="D38" s="111" t="s">
        <v>198</v>
      </c>
      <c r="E38" s="146">
        <v>153</v>
      </c>
      <c r="F38" s="160">
        <f>E38*30/1000</f>
        <v>4.59</v>
      </c>
      <c r="G38" s="147">
        <v>2868.09</v>
      </c>
      <c r="H38" s="75">
        <f>G38*F38/1000</f>
        <v>13.1645331</v>
      </c>
      <c r="I38" s="13">
        <f>F38/6*G38</f>
        <v>2194.0888500000001</v>
      </c>
      <c r="J38" s="26"/>
      <c r="L38" s="19"/>
      <c r="M38" s="20"/>
      <c r="N38" s="21"/>
    </row>
    <row r="39" spans="1:14" ht="15.75" hidden="1" customHeight="1">
      <c r="A39" s="32">
        <v>12</v>
      </c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7.25" customHeight="1">
      <c r="A40" s="32">
        <v>7</v>
      </c>
      <c r="B40" s="111" t="s">
        <v>66</v>
      </c>
      <c r="C40" s="112" t="s">
        <v>29</v>
      </c>
      <c r="D40" s="111" t="s">
        <v>199</v>
      </c>
      <c r="E40" s="147">
        <v>153</v>
      </c>
      <c r="F40" s="160">
        <f>SUM(E40*155/1000)</f>
        <v>23.715</v>
      </c>
      <c r="G40" s="147">
        <v>478.42</v>
      </c>
      <c r="H40" s="75">
        <f t="shared" si="3"/>
        <v>11.345730300000001</v>
      </c>
      <c r="I40" s="13">
        <f>F40/6*G40</f>
        <v>1890.95505</v>
      </c>
      <c r="J40" s="26"/>
      <c r="L40" s="19"/>
      <c r="M40" s="20"/>
      <c r="N40" s="21"/>
    </row>
    <row r="41" spans="1:14" ht="15.75" customHeight="1">
      <c r="A41" s="32">
        <v>8</v>
      </c>
      <c r="B41" s="111" t="s">
        <v>81</v>
      </c>
      <c r="C41" s="112" t="s">
        <v>87</v>
      </c>
      <c r="D41" s="111" t="s">
        <v>200</v>
      </c>
      <c r="E41" s="147">
        <v>25</v>
      </c>
      <c r="F41" s="160">
        <f>SUM(E41*35/1000)</f>
        <v>0.875</v>
      </c>
      <c r="G41" s="147">
        <v>7915.6</v>
      </c>
      <c r="H41" s="75">
        <f t="shared" si="3"/>
        <v>6.9261500000000007</v>
      </c>
      <c r="I41" s="13">
        <f>F41/6*G41</f>
        <v>1154.3583333333333</v>
      </c>
      <c r="J41" s="26"/>
      <c r="L41" s="19"/>
      <c r="M41" s="20"/>
      <c r="N41" s="21"/>
    </row>
    <row r="42" spans="1:14" ht="15.75" hidden="1" customHeight="1">
      <c r="A42" s="32">
        <v>9</v>
      </c>
      <c r="B42" s="111" t="s">
        <v>88</v>
      </c>
      <c r="C42" s="112" t="s">
        <v>87</v>
      </c>
      <c r="D42" s="111" t="s">
        <v>201</v>
      </c>
      <c r="E42" s="147">
        <v>153</v>
      </c>
      <c r="F42" s="160">
        <f>SUM(E42*45/1000)</f>
        <v>6.8849999999999998</v>
      </c>
      <c r="G42" s="147">
        <v>584.74</v>
      </c>
      <c r="H42" s="75">
        <f t="shared" si="3"/>
        <v>4.0259348999999993</v>
      </c>
      <c r="I42" s="13">
        <f>(F42/7.5*1.5)*G42</f>
        <v>805.18697999999983</v>
      </c>
      <c r="J42" s="26"/>
      <c r="L42" s="19"/>
      <c r="M42" s="20"/>
      <c r="N42" s="21"/>
    </row>
    <row r="43" spans="1:14" ht="15.75" hidden="1" customHeight="1">
      <c r="A43" s="32">
        <v>10</v>
      </c>
      <c r="B43" s="161" t="s">
        <v>68</v>
      </c>
      <c r="C43" s="162" t="s">
        <v>33</v>
      </c>
      <c r="D43" s="161"/>
      <c r="E43" s="163"/>
      <c r="F43" s="164">
        <v>0.9</v>
      </c>
      <c r="G43" s="164">
        <v>800</v>
      </c>
      <c r="H43" s="83">
        <f t="shared" si="3"/>
        <v>0.72</v>
      </c>
      <c r="I43" s="91">
        <f>(F43/7.5*1.5)*G43</f>
        <v>144.00000000000003</v>
      </c>
      <c r="J43" s="26"/>
      <c r="L43" s="19"/>
      <c r="M43" s="20"/>
      <c r="N43" s="21"/>
    </row>
    <row r="44" spans="1:14" ht="30.75" customHeight="1">
      <c r="A44" s="32">
        <v>9</v>
      </c>
      <c r="B44" s="158" t="s">
        <v>170</v>
      </c>
      <c r="C44" s="159" t="s">
        <v>29</v>
      </c>
      <c r="D44" s="158" t="s">
        <v>202</v>
      </c>
      <c r="E44" s="149">
        <v>4.2</v>
      </c>
      <c r="F44" s="160">
        <f>E44*12/1000</f>
        <v>5.0400000000000007E-2</v>
      </c>
      <c r="G44" s="160">
        <v>270.61</v>
      </c>
      <c r="H44" s="13"/>
      <c r="I44" s="13">
        <f>G44*F44/6</f>
        <v>2.2731240000000006</v>
      </c>
      <c r="J44" s="26"/>
      <c r="L44" s="19"/>
      <c r="M44" s="20"/>
      <c r="N44" s="21"/>
    </row>
    <row r="45" spans="1:14" ht="16.5" customHeight="1">
      <c r="A45" s="215" t="s">
        <v>137</v>
      </c>
      <c r="B45" s="216"/>
      <c r="C45" s="216"/>
      <c r="D45" s="216"/>
      <c r="E45" s="216"/>
      <c r="F45" s="216"/>
      <c r="G45" s="216"/>
      <c r="H45" s="216"/>
      <c r="I45" s="217"/>
      <c r="J45" s="26"/>
      <c r="L45" s="19"/>
      <c r="M45" s="20"/>
      <c r="N45" s="21"/>
    </row>
    <row r="46" spans="1:14" ht="27" hidden="1" customHeight="1">
      <c r="A46" s="32"/>
      <c r="B46" s="71" t="s">
        <v>126</v>
      </c>
      <c r="C46" s="72" t="s">
        <v>87</v>
      </c>
      <c r="D46" s="71" t="s">
        <v>42</v>
      </c>
      <c r="E46" s="73">
        <v>1895</v>
      </c>
      <c r="F46" s="74">
        <f>SUM(E46*2/1000)</f>
        <v>3.79</v>
      </c>
      <c r="G46" s="13">
        <v>849.49</v>
      </c>
      <c r="H46" s="75">
        <f t="shared" ref="H46:H54" si="4">SUM(F46*G46/1000)</f>
        <v>3.2195671000000003</v>
      </c>
      <c r="I46" s="13">
        <v>0</v>
      </c>
      <c r="J46" s="26"/>
      <c r="L46" s="19"/>
      <c r="M46" s="20"/>
      <c r="N46" s="21"/>
    </row>
    <row r="47" spans="1:14" ht="28.5" hidden="1" customHeight="1">
      <c r="A47" s="32"/>
      <c r="B47" s="71" t="s">
        <v>34</v>
      </c>
      <c r="C47" s="72" t="s">
        <v>87</v>
      </c>
      <c r="D47" s="71" t="s">
        <v>42</v>
      </c>
      <c r="E47" s="73">
        <v>118.2</v>
      </c>
      <c r="F47" s="74">
        <f>E47*2/1000</f>
        <v>0.2364</v>
      </c>
      <c r="G47" s="13">
        <v>579.48</v>
      </c>
      <c r="H47" s="75">
        <f t="shared" si="4"/>
        <v>0.13698907199999999</v>
      </c>
      <c r="I47" s="13">
        <v>0</v>
      </c>
      <c r="J47" s="26"/>
      <c r="L47" s="19"/>
      <c r="M47" s="20"/>
      <c r="N47" s="21"/>
    </row>
    <row r="48" spans="1:14" ht="29.25" hidden="1" customHeight="1">
      <c r="A48" s="32"/>
      <c r="B48" s="71" t="s">
        <v>35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579.48</v>
      </c>
      <c r="H48" s="75">
        <f t="shared" si="4"/>
        <v>5.4181379999999999</v>
      </c>
      <c r="I48" s="13">
        <v>0</v>
      </c>
      <c r="J48" s="26"/>
      <c r="L48" s="19"/>
      <c r="M48" s="20"/>
      <c r="N48" s="21"/>
    </row>
    <row r="49" spans="1:22" ht="26.25" hidden="1" customHeight="1">
      <c r="A49" s="32"/>
      <c r="B49" s="71" t="s">
        <v>36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606.77</v>
      </c>
      <c r="H49" s="75">
        <f t="shared" si="4"/>
        <v>5.6732994999999988</v>
      </c>
      <c r="I49" s="13">
        <v>0</v>
      </c>
      <c r="J49" s="26"/>
      <c r="L49" s="19"/>
      <c r="M49" s="20"/>
      <c r="N49" s="21"/>
    </row>
    <row r="50" spans="1:22" ht="24" hidden="1" customHeight="1">
      <c r="A50" s="32">
        <v>17</v>
      </c>
      <c r="B50" s="71" t="s">
        <v>55</v>
      </c>
      <c r="C50" s="72" t="s">
        <v>87</v>
      </c>
      <c r="D50" s="71" t="s">
        <v>145</v>
      </c>
      <c r="E50" s="73">
        <v>3988</v>
      </c>
      <c r="F50" s="74">
        <f>SUM(E50*5/1000)</f>
        <v>19.940000000000001</v>
      </c>
      <c r="G50" s="13">
        <v>1142.7</v>
      </c>
      <c r="H50" s="75">
        <f t="shared" si="4"/>
        <v>22.785438000000003</v>
      </c>
      <c r="I50" s="13">
        <f>F50/5*G50</f>
        <v>4557.0876000000007</v>
      </c>
      <c r="J50" s="26"/>
      <c r="L50" s="19"/>
      <c r="M50" s="20"/>
      <c r="N50" s="21"/>
    </row>
    <row r="51" spans="1:22" ht="25.5" hidden="1" customHeight="1">
      <c r="A51" s="32">
        <v>18</v>
      </c>
      <c r="B51" s="71" t="s">
        <v>89</v>
      </c>
      <c r="C51" s="72" t="s">
        <v>87</v>
      </c>
      <c r="D51" s="71" t="s">
        <v>42</v>
      </c>
      <c r="E51" s="73">
        <v>3988</v>
      </c>
      <c r="F51" s="74">
        <f>SUM(E51*2/1000)</f>
        <v>7.976</v>
      </c>
      <c r="G51" s="13">
        <v>1213.55</v>
      </c>
      <c r="H51" s="75">
        <f t="shared" si="4"/>
        <v>9.6792748</v>
      </c>
      <c r="I51" s="13">
        <f>F51/2*G51</f>
        <v>4839.6373999999996</v>
      </c>
      <c r="J51" s="26"/>
      <c r="L51" s="19"/>
      <c r="M51" s="20"/>
      <c r="N51" s="21"/>
    </row>
    <row r="52" spans="1:22" ht="21" hidden="1" customHeight="1">
      <c r="A52" s="32">
        <v>19</v>
      </c>
      <c r="B52" s="71" t="s">
        <v>90</v>
      </c>
      <c r="C52" s="72" t="s">
        <v>37</v>
      </c>
      <c r="D52" s="71" t="s">
        <v>42</v>
      </c>
      <c r="E52" s="73">
        <v>30</v>
      </c>
      <c r="F52" s="74">
        <f>SUM(E52*2/100)</f>
        <v>0.6</v>
      </c>
      <c r="G52" s="13">
        <v>2730.49</v>
      </c>
      <c r="H52" s="75">
        <f>SUM(F52*G52/1000)</f>
        <v>1.6382939999999999</v>
      </c>
      <c r="I52" s="13">
        <f>F52/2*G52</f>
        <v>819.14699999999993</v>
      </c>
      <c r="J52" s="26"/>
      <c r="L52" s="19"/>
      <c r="M52" s="20"/>
      <c r="N52" s="21"/>
    </row>
    <row r="53" spans="1:22" ht="21.75" hidden="1" customHeight="1">
      <c r="A53" s="32"/>
      <c r="B53" s="71" t="s">
        <v>38</v>
      </c>
      <c r="C53" s="72" t="s">
        <v>39</v>
      </c>
      <c r="D53" s="71" t="s">
        <v>42</v>
      </c>
      <c r="E53" s="73">
        <v>1</v>
      </c>
      <c r="F53" s="74">
        <v>0.02</v>
      </c>
      <c r="G53" s="13">
        <v>5652.13</v>
      </c>
      <c r="H53" s="75">
        <f t="shared" si="4"/>
        <v>0.11304260000000001</v>
      </c>
      <c r="I53" s="13">
        <v>0</v>
      </c>
      <c r="J53" s="26"/>
      <c r="L53" s="19"/>
      <c r="M53" s="20"/>
      <c r="N53" s="21"/>
    </row>
    <row r="54" spans="1:22" ht="17.25" hidden="1" customHeight="1">
      <c r="A54" s="121">
        <v>20</v>
      </c>
      <c r="B54" s="80" t="s">
        <v>41</v>
      </c>
      <c r="C54" s="81" t="s">
        <v>106</v>
      </c>
      <c r="D54" s="80" t="s">
        <v>69</v>
      </c>
      <c r="E54" s="82">
        <v>236</v>
      </c>
      <c r="F54" s="85">
        <f>SUM(E54)*3</f>
        <v>708</v>
      </c>
      <c r="G54" s="91">
        <v>65.67</v>
      </c>
      <c r="H54" s="83">
        <f t="shared" si="4"/>
        <v>46.49436</v>
      </c>
      <c r="I54" s="91">
        <f>E54*G54</f>
        <v>15498.12</v>
      </c>
      <c r="J54" s="26"/>
      <c r="L54" s="19"/>
      <c r="M54" s="20"/>
      <c r="N54" s="21"/>
    </row>
    <row r="55" spans="1:22" ht="17.25" customHeight="1">
      <c r="A55" s="32">
        <v>10</v>
      </c>
      <c r="B55" s="111" t="s">
        <v>172</v>
      </c>
      <c r="C55" s="112" t="s">
        <v>106</v>
      </c>
      <c r="D55" s="111" t="s">
        <v>204</v>
      </c>
      <c r="E55" s="146">
        <v>5</v>
      </c>
      <c r="F55" s="147">
        <v>60</v>
      </c>
      <c r="G55" s="152">
        <v>903.71</v>
      </c>
      <c r="H55" s="13"/>
      <c r="I55" s="13">
        <f>G55*F55/12</f>
        <v>4518.55</v>
      </c>
      <c r="J55" s="26"/>
      <c r="L55" s="19"/>
      <c r="M55" s="20"/>
      <c r="N55" s="21"/>
    </row>
    <row r="56" spans="1:22" ht="15.75" customHeight="1">
      <c r="A56" s="215" t="s">
        <v>138</v>
      </c>
      <c r="B56" s="216"/>
      <c r="C56" s="216"/>
      <c r="D56" s="216"/>
      <c r="E56" s="216"/>
      <c r="F56" s="216"/>
      <c r="G56" s="216"/>
      <c r="H56" s="216"/>
      <c r="I56" s="217"/>
      <c r="J56" s="26"/>
      <c r="L56" s="19"/>
      <c r="M56" s="20"/>
      <c r="N56" s="21"/>
    </row>
    <row r="57" spans="1:22" ht="15.75" hidden="1" customHeight="1">
      <c r="A57" s="32"/>
      <c r="B57" s="92" t="s">
        <v>43</v>
      </c>
      <c r="C57" s="72"/>
      <c r="D57" s="71"/>
      <c r="E57" s="73"/>
      <c r="F57" s="74"/>
      <c r="G57" s="74"/>
      <c r="H57" s="75"/>
      <c r="I57" s="13"/>
      <c r="J57" s="26"/>
      <c r="L57" s="19"/>
      <c r="M57" s="20"/>
      <c r="N57" s="21"/>
    </row>
    <row r="58" spans="1:22" ht="31.5" hidden="1" customHeight="1">
      <c r="A58" s="32">
        <v>18</v>
      </c>
      <c r="B58" s="71" t="s">
        <v>127</v>
      </c>
      <c r="C58" s="72" t="s">
        <v>85</v>
      </c>
      <c r="D58" s="71" t="s">
        <v>107</v>
      </c>
      <c r="E58" s="73">
        <v>30</v>
      </c>
      <c r="F58" s="74">
        <f>SUM(E58*6/100)</f>
        <v>1.8</v>
      </c>
      <c r="G58" s="13">
        <v>1547.28</v>
      </c>
      <c r="H58" s="75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0" t="s">
        <v>128</v>
      </c>
      <c r="C59" s="81" t="s">
        <v>129</v>
      </c>
      <c r="D59" s="80" t="s">
        <v>42</v>
      </c>
      <c r="E59" s="82">
        <v>6</v>
      </c>
      <c r="F59" s="83">
        <v>12</v>
      </c>
      <c r="G59" s="13">
        <v>180.78</v>
      </c>
      <c r="H59" s="84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0" t="s">
        <v>130</v>
      </c>
      <c r="C60" s="81" t="s">
        <v>52</v>
      </c>
      <c r="D60" s="80" t="s">
        <v>40</v>
      </c>
      <c r="E60" s="82">
        <v>6</v>
      </c>
      <c r="F60" s="83">
        <f>E60*4/100</f>
        <v>0.24</v>
      </c>
      <c r="G60" s="13">
        <v>1547.28</v>
      </c>
      <c r="H60" s="84">
        <f>G60*F60/1000</f>
        <v>0.37134719999999999</v>
      </c>
      <c r="I60" s="13">
        <f>F60/4*G60</f>
        <v>92.836799999999997</v>
      </c>
    </row>
    <row r="61" spans="1:22" ht="15.75" hidden="1" customHeight="1">
      <c r="A61" s="32">
        <v>13</v>
      </c>
      <c r="B61" s="105" t="s">
        <v>130</v>
      </c>
      <c r="C61" s="106" t="s">
        <v>52</v>
      </c>
      <c r="D61" s="105" t="s">
        <v>203</v>
      </c>
      <c r="E61" s="107">
        <v>6</v>
      </c>
      <c r="F61" s="110">
        <f>E61*6/100</f>
        <v>0.36</v>
      </c>
      <c r="G61" s="36">
        <v>2110.4699999999998</v>
      </c>
      <c r="H61" s="84">
        <f>G61*F61/1000</f>
        <v>0.75976919999999992</v>
      </c>
      <c r="I61" s="13">
        <f>F61/4*G61</f>
        <v>189.94229999999999</v>
      </c>
    </row>
    <row r="62" spans="1:22" ht="15.75" customHeight="1">
      <c r="A62" s="32"/>
      <c r="B62" s="93" t="s">
        <v>44</v>
      </c>
      <c r="C62" s="81"/>
      <c r="D62" s="80"/>
      <c r="E62" s="82"/>
      <c r="F62" s="83"/>
      <c r="G62" s="13"/>
      <c r="H62" s="84"/>
      <c r="I62" s="13"/>
    </row>
    <row r="63" spans="1:22" ht="15.75" hidden="1" customHeight="1">
      <c r="A63" s="32">
        <v>22</v>
      </c>
      <c r="B63" s="80" t="s">
        <v>131</v>
      </c>
      <c r="C63" s="81" t="s">
        <v>52</v>
      </c>
      <c r="D63" s="80" t="s">
        <v>53</v>
      </c>
      <c r="E63" s="82">
        <v>997</v>
      </c>
      <c r="F63" s="83">
        <v>9.9700000000000006</v>
      </c>
      <c r="G63" s="13">
        <v>793.61</v>
      </c>
      <c r="H63" s="84">
        <f>F63*G63/1000</f>
        <v>7.9122917000000008</v>
      </c>
      <c r="I63" s="13">
        <f>G63*F63</f>
        <v>7912.2917000000007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2">
        <v>11</v>
      </c>
      <c r="B64" s="105" t="s">
        <v>132</v>
      </c>
      <c r="C64" s="106" t="s">
        <v>25</v>
      </c>
      <c r="D64" s="105" t="s">
        <v>204</v>
      </c>
      <c r="E64" s="107">
        <v>200</v>
      </c>
      <c r="F64" s="108">
        <f>E64*12</f>
        <v>2400</v>
      </c>
      <c r="G64" s="109">
        <v>1.4</v>
      </c>
      <c r="H64" s="83">
        <f>F64*G64/1000</f>
        <v>3.36</v>
      </c>
      <c r="I64" s="13">
        <f>F64/12*G64</f>
        <v>280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2"/>
      <c r="B65" s="93" t="s">
        <v>45</v>
      </c>
      <c r="C65" s="81"/>
      <c r="D65" s="80"/>
      <c r="E65" s="82"/>
      <c r="F65" s="85"/>
      <c r="G65" s="85"/>
      <c r="H65" s="83" t="s">
        <v>141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2">
        <v>24</v>
      </c>
      <c r="B66" s="14" t="s">
        <v>46</v>
      </c>
      <c r="C66" s="16" t="s">
        <v>106</v>
      </c>
      <c r="D66" s="71" t="s">
        <v>65</v>
      </c>
      <c r="E66" s="18">
        <v>15</v>
      </c>
      <c r="F66" s="74">
        <v>15</v>
      </c>
      <c r="G66" s="13">
        <v>222.4</v>
      </c>
      <c r="H66" s="86">
        <f t="shared" ref="H66:H82" si="5">SUM(F66*G66/1000)</f>
        <v>3.3359999999999999</v>
      </c>
      <c r="I66" s="13">
        <f>G66</f>
        <v>222.4</v>
      </c>
      <c r="J66" s="5"/>
      <c r="K66" s="5"/>
      <c r="L66" s="5"/>
      <c r="M66" s="5"/>
      <c r="N66" s="5"/>
      <c r="O66" s="5"/>
      <c r="P66" s="5"/>
      <c r="Q66" s="5"/>
      <c r="R66" s="218"/>
      <c r="S66" s="218"/>
      <c r="T66" s="218"/>
      <c r="U66" s="218"/>
    </row>
    <row r="67" spans="1:21" ht="15.75" hidden="1" customHeight="1">
      <c r="A67" s="32">
        <v>25</v>
      </c>
      <c r="B67" s="14" t="s">
        <v>47</v>
      </c>
      <c r="C67" s="16" t="s">
        <v>106</v>
      </c>
      <c r="D67" s="71" t="s">
        <v>65</v>
      </c>
      <c r="E67" s="18">
        <v>10</v>
      </c>
      <c r="F67" s="74">
        <v>10</v>
      </c>
      <c r="G67" s="13">
        <v>76.25</v>
      </c>
      <c r="H67" s="86">
        <f t="shared" si="5"/>
        <v>0.76249999999999996</v>
      </c>
      <c r="I67" s="13">
        <f>G67</f>
        <v>76.25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14" t="s">
        <v>48</v>
      </c>
      <c r="C68" s="16" t="s">
        <v>108</v>
      </c>
      <c r="D68" s="14" t="s">
        <v>53</v>
      </c>
      <c r="E68" s="73">
        <v>28608</v>
      </c>
      <c r="F68" s="13">
        <f>SUM(E68/100)</f>
        <v>286.08</v>
      </c>
      <c r="G68" s="13">
        <v>199.77</v>
      </c>
      <c r="H68" s="86">
        <f t="shared" si="5"/>
        <v>57.150201600000003</v>
      </c>
      <c r="I68" s="13">
        <f>F68*G68</f>
        <v>57150.2016</v>
      </c>
    </row>
    <row r="69" spans="1:21" ht="15.75" hidden="1" customHeight="1">
      <c r="A69" s="32"/>
      <c r="B69" s="14" t="s">
        <v>49</v>
      </c>
      <c r="C69" s="16" t="s">
        <v>109</v>
      </c>
      <c r="D69" s="14"/>
      <c r="E69" s="73">
        <v>28608</v>
      </c>
      <c r="F69" s="13">
        <f>SUM(E69/1000)</f>
        <v>28.608000000000001</v>
      </c>
      <c r="G69" s="13">
        <v>155.57</v>
      </c>
      <c r="H69" s="86">
        <f t="shared" si="5"/>
        <v>4.4505465599999994</v>
      </c>
      <c r="I69" s="13">
        <f t="shared" ref="I69:I73" si="6">F69*G69</f>
        <v>4450.5465599999998</v>
      </c>
    </row>
    <row r="70" spans="1:21" ht="15.75" hidden="1" customHeight="1">
      <c r="A70" s="32"/>
      <c r="B70" s="14" t="s">
        <v>50</v>
      </c>
      <c r="C70" s="16" t="s">
        <v>75</v>
      </c>
      <c r="D70" s="14" t="s">
        <v>53</v>
      </c>
      <c r="E70" s="73">
        <v>4550</v>
      </c>
      <c r="F70" s="13">
        <f>SUM(E70/100)</f>
        <v>45.5</v>
      </c>
      <c r="G70" s="13">
        <v>2074.63</v>
      </c>
      <c r="H70" s="86">
        <f t="shared" si="5"/>
        <v>94.395665000000008</v>
      </c>
      <c r="I70" s="13">
        <f t="shared" si="6"/>
        <v>94395.665000000008</v>
      </c>
    </row>
    <row r="71" spans="1:21" ht="15.75" hidden="1" customHeight="1">
      <c r="A71" s="32"/>
      <c r="B71" s="87" t="s">
        <v>110</v>
      </c>
      <c r="C71" s="16" t="s">
        <v>33</v>
      </c>
      <c r="D71" s="14"/>
      <c r="E71" s="73">
        <v>58.5</v>
      </c>
      <c r="F71" s="13">
        <f>SUM(E71)</f>
        <v>58.5</v>
      </c>
      <c r="G71" s="13">
        <v>45.32</v>
      </c>
      <c r="H71" s="86">
        <f t="shared" si="5"/>
        <v>2.6512199999999999</v>
      </c>
      <c r="I71" s="13">
        <f t="shared" si="6"/>
        <v>2651.22</v>
      </c>
    </row>
    <row r="72" spans="1:21" ht="15.75" hidden="1" customHeight="1">
      <c r="A72" s="32"/>
      <c r="B72" s="87" t="s">
        <v>111</v>
      </c>
      <c r="C72" s="16" t="s">
        <v>33</v>
      </c>
      <c r="D72" s="14"/>
      <c r="E72" s="73">
        <v>58.5</v>
      </c>
      <c r="F72" s="13">
        <f>SUM(E72)</f>
        <v>58.5</v>
      </c>
      <c r="G72" s="13">
        <v>42.28</v>
      </c>
      <c r="H72" s="86">
        <f t="shared" si="5"/>
        <v>2.4733800000000001</v>
      </c>
      <c r="I72" s="13">
        <f t="shared" si="6"/>
        <v>2473.38</v>
      </c>
    </row>
    <row r="73" spans="1:21" ht="20.25" hidden="1" customHeight="1">
      <c r="A73" s="32"/>
      <c r="B73" s="14" t="s">
        <v>56</v>
      </c>
      <c r="C73" s="16" t="s">
        <v>57</v>
      </c>
      <c r="D73" s="14" t="s">
        <v>53</v>
      </c>
      <c r="E73" s="18">
        <v>5</v>
      </c>
      <c r="F73" s="74">
        <v>5</v>
      </c>
      <c r="G73" s="13">
        <v>49.88</v>
      </c>
      <c r="H73" s="86">
        <f t="shared" si="5"/>
        <v>0.24940000000000001</v>
      </c>
      <c r="I73" s="13">
        <f t="shared" si="6"/>
        <v>249.4</v>
      </c>
    </row>
    <row r="74" spans="1:21" ht="20.25" customHeight="1">
      <c r="A74" s="32"/>
      <c r="B74" s="173" t="s">
        <v>176</v>
      </c>
      <c r="C74" s="154"/>
      <c r="D74" s="39"/>
      <c r="E74" s="17"/>
      <c r="F74" s="109"/>
      <c r="G74" s="36"/>
      <c r="H74" s="86"/>
      <c r="I74" s="13"/>
    </row>
    <row r="75" spans="1:21" ht="32.25" customHeight="1">
      <c r="A75" s="32">
        <v>12</v>
      </c>
      <c r="B75" s="39" t="s">
        <v>177</v>
      </c>
      <c r="C75" s="156" t="s">
        <v>178</v>
      </c>
      <c r="D75" s="39"/>
      <c r="E75" s="17">
        <v>6980.3</v>
      </c>
      <c r="F75" s="36">
        <f>E75*12</f>
        <v>83763.600000000006</v>
      </c>
      <c r="G75" s="36">
        <v>2.37</v>
      </c>
      <c r="H75" s="86"/>
      <c r="I75" s="13">
        <f>G75*F75/12</f>
        <v>16543.311000000002</v>
      </c>
    </row>
    <row r="76" spans="1:21" ht="18.75" customHeight="1">
      <c r="A76" s="32"/>
      <c r="B76" s="59" t="s">
        <v>70</v>
      </c>
      <c r="C76" s="16"/>
      <c r="D76" s="14"/>
      <c r="E76" s="18"/>
      <c r="F76" s="13"/>
      <c r="G76" s="13"/>
      <c r="H76" s="86" t="s">
        <v>141</v>
      </c>
      <c r="I76" s="13"/>
    </row>
    <row r="77" spans="1:21" ht="19.5" hidden="1" customHeight="1">
      <c r="A77" s="32">
        <v>25</v>
      </c>
      <c r="B77" s="14" t="s">
        <v>71</v>
      </c>
      <c r="C77" s="16" t="s">
        <v>73</v>
      </c>
      <c r="D77" s="14"/>
      <c r="E77" s="18">
        <v>10</v>
      </c>
      <c r="F77" s="13">
        <v>1</v>
      </c>
      <c r="G77" s="13">
        <v>501.62</v>
      </c>
      <c r="H77" s="86">
        <f t="shared" si="5"/>
        <v>0.50161999999999995</v>
      </c>
      <c r="I77" s="13">
        <f>G77*0.3</f>
        <v>150.48599999999999</v>
      </c>
    </row>
    <row r="78" spans="1:21" ht="21" hidden="1" customHeight="1">
      <c r="A78" s="32"/>
      <c r="B78" s="14" t="s">
        <v>72</v>
      </c>
      <c r="C78" s="16" t="s">
        <v>31</v>
      </c>
      <c r="D78" s="14"/>
      <c r="E78" s="18">
        <v>3</v>
      </c>
      <c r="F78" s="66">
        <v>3</v>
      </c>
      <c r="G78" s="13">
        <v>852.99</v>
      </c>
      <c r="H78" s="86">
        <f>F78*G78/1000</f>
        <v>2.5589700000000004</v>
      </c>
      <c r="I78" s="13">
        <v>0</v>
      </c>
    </row>
    <row r="79" spans="1:21" ht="24.75" hidden="1" customHeight="1">
      <c r="A79" s="32"/>
      <c r="B79" s="14" t="s">
        <v>113</v>
      </c>
      <c r="C79" s="16" t="s">
        <v>31</v>
      </c>
      <c r="D79" s="14"/>
      <c r="E79" s="18">
        <v>1</v>
      </c>
      <c r="F79" s="13">
        <v>1</v>
      </c>
      <c r="G79" s="13">
        <v>358.51</v>
      </c>
      <c r="H79" s="86">
        <f>G79*F79/1000</f>
        <v>0.35851</v>
      </c>
      <c r="I79" s="13">
        <v>0</v>
      </c>
    </row>
    <row r="80" spans="1:21" ht="30" customHeight="1">
      <c r="A80" s="32">
        <v>13</v>
      </c>
      <c r="B80" s="39" t="s">
        <v>183</v>
      </c>
      <c r="C80" s="154" t="s">
        <v>106</v>
      </c>
      <c r="D80" s="39" t="s">
        <v>203</v>
      </c>
      <c r="E80" s="17">
        <v>2</v>
      </c>
      <c r="F80" s="36">
        <v>24</v>
      </c>
      <c r="G80" s="36">
        <v>55.55</v>
      </c>
      <c r="H80" s="86"/>
      <c r="I80" s="13">
        <f>G80*2</f>
        <v>111.1</v>
      </c>
    </row>
    <row r="81" spans="1:9" ht="18.75" hidden="1" customHeight="1">
      <c r="A81" s="32"/>
      <c r="B81" s="89" t="s">
        <v>74</v>
      </c>
      <c r="C81" s="16"/>
      <c r="D81" s="14"/>
      <c r="E81" s="18"/>
      <c r="F81" s="13"/>
      <c r="G81" s="13" t="s">
        <v>141</v>
      </c>
      <c r="H81" s="86" t="s">
        <v>141</v>
      </c>
      <c r="I81" s="13"/>
    </row>
    <row r="82" spans="1:9" ht="21.75" hidden="1" customHeight="1">
      <c r="A82" s="32"/>
      <c r="B82" s="47" t="s">
        <v>146</v>
      </c>
      <c r="C82" s="16" t="s">
        <v>75</v>
      </c>
      <c r="D82" s="14"/>
      <c r="E82" s="18"/>
      <c r="F82" s="13">
        <v>1.2</v>
      </c>
      <c r="G82" s="13">
        <v>2759.44</v>
      </c>
      <c r="H82" s="86">
        <f t="shared" si="5"/>
        <v>3.311328</v>
      </c>
      <c r="I82" s="13">
        <v>0</v>
      </c>
    </row>
    <row r="83" spans="1:9" ht="18.75" hidden="1" customHeight="1">
      <c r="A83" s="32"/>
      <c r="B83" s="65" t="s">
        <v>91</v>
      </c>
      <c r="C83" s="65"/>
      <c r="D83" s="65"/>
      <c r="E83" s="65"/>
      <c r="F83" s="65"/>
      <c r="G83" s="77"/>
      <c r="H83" s="90">
        <f>SUM(H58:H82)</f>
        <v>189.55721326</v>
      </c>
      <c r="I83" s="77"/>
    </row>
    <row r="84" spans="1:9" ht="18" hidden="1" customHeight="1">
      <c r="A84" s="32">
        <v>25</v>
      </c>
      <c r="B84" s="94" t="s">
        <v>112</v>
      </c>
      <c r="C84" s="23"/>
      <c r="D84" s="22"/>
      <c r="E84" s="67"/>
      <c r="F84" s="95">
        <v>1</v>
      </c>
      <c r="G84" s="38">
        <v>24989.1</v>
      </c>
      <c r="H84" s="86">
        <f>G84*F84/1000</f>
        <v>24.989099999999997</v>
      </c>
      <c r="I84" s="13">
        <f>G84</f>
        <v>24989.1</v>
      </c>
    </row>
    <row r="85" spans="1:9" ht="15.75" customHeight="1">
      <c r="A85" s="219" t="s">
        <v>139</v>
      </c>
      <c r="B85" s="220"/>
      <c r="C85" s="220"/>
      <c r="D85" s="220"/>
      <c r="E85" s="220"/>
      <c r="F85" s="220"/>
      <c r="G85" s="220"/>
      <c r="H85" s="220"/>
      <c r="I85" s="221"/>
    </row>
    <row r="86" spans="1:9" ht="15.75" customHeight="1">
      <c r="A86" s="32">
        <v>14</v>
      </c>
      <c r="B86" s="111" t="s">
        <v>114</v>
      </c>
      <c r="C86" s="154" t="s">
        <v>54</v>
      </c>
      <c r="D86" s="50"/>
      <c r="E86" s="36">
        <v>6980.3</v>
      </c>
      <c r="F86" s="36">
        <f>SUM(E86*12)</f>
        <v>83763.600000000006</v>
      </c>
      <c r="G86" s="36">
        <v>3.22</v>
      </c>
      <c r="H86" s="86">
        <f>SUM(F86*G86/1000)</f>
        <v>269.71879200000001</v>
      </c>
      <c r="I86" s="13">
        <f>F86/12*G86</f>
        <v>22476.566000000003</v>
      </c>
    </row>
    <row r="87" spans="1:9" ht="31.5" customHeight="1">
      <c r="A87" s="32">
        <v>15</v>
      </c>
      <c r="B87" s="39" t="s">
        <v>76</v>
      </c>
      <c r="C87" s="154"/>
      <c r="D87" s="103"/>
      <c r="E87" s="146">
        <f>E86</f>
        <v>6980.3</v>
      </c>
      <c r="F87" s="36">
        <f>E87*12</f>
        <v>83763.600000000006</v>
      </c>
      <c r="G87" s="36">
        <v>3.64</v>
      </c>
      <c r="H87" s="86">
        <f>F87*G87/1000</f>
        <v>304.89950400000004</v>
      </c>
      <c r="I87" s="13">
        <f>F87/12*G87</f>
        <v>25408.292000000001</v>
      </c>
    </row>
    <row r="88" spans="1:9" ht="15.75" customHeight="1">
      <c r="A88" s="32"/>
      <c r="B88" s="40" t="s">
        <v>78</v>
      </c>
      <c r="C88" s="89"/>
      <c r="D88" s="88"/>
      <c r="E88" s="77"/>
      <c r="F88" s="77"/>
      <c r="G88" s="77"/>
      <c r="H88" s="90">
        <f>H87</f>
        <v>304.89950400000004</v>
      </c>
      <c r="I88" s="77">
        <f>I87+I86+I80+I75+I64+I55+I44+I41+I40+I38+I37+I26+I18++I17+I16</f>
        <v>109519.97462733334</v>
      </c>
    </row>
    <row r="89" spans="1:9" ht="15.75" customHeight="1">
      <c r="A89" s="230" t="s">
        <v>59</v>
      </c>
      <c r="B89" s="231"/>
      <c r="C89" s="231"/>
      <c r="D89" s="231"/>
      <c r="E89" s="231"/>
      <c r="F89" s="231"/>
      <c r="G89" s="231"/>
      <c r="H89" s="231"/>
      <c r="I89" s="232"/>
    </row>
    <row r="90" spans="1:9" ht="15.75" customHeight="1">
      <c r="A90" s="32">
        <v>16</v>
      </c>
      <c r="B90" s="51" t="s">
        <v>232</v>
      </c>
      <c r="C90" s="52" t="s">
        <v>163</v>
      </c>
      <c r="D90" s="39" t="s">
        <v>347</v>
      </c>
      <c r="E90" s="17"/>
      <c r="F90" s="36">
        <v>8</v>
      </c>
      <c r="G90" s="198">
        <v>284</v>
      </c>
      <c r="H90" s="102">
        <f>G90*F90/1000</f>
        <v>2.2719999999999998</v>
      </c>
      <c r="I90" s="13">
        <v>0</v>
      </c>
    </row>
    <row r="91" spans="1:9" ht="15.75" customHeight="1">
      <c r="A91" s="32">
        <v>17</v>
      </c>
      <c r="B91" s="51" t="s">
        <v>260</v>
      </c>
      <c r="C91" s="52" t="s">
        <v>106</v>
      </c>
      <c r="D91" s="197" t="s">
        <v>261</v>
      </c>
      <c r="E91" s="198"/>
      <c r="F91" s="198">
        <v>1</v>
      </c>
      <c r="G91" s="198">
        <v>591.69000000000005</v>
      </c>
      <c r="H91" s="102"/>
      <c r="I91" s="13">
        <f>G91*1</f>
        <v>591.69000000000005</v>
      </c>
    </row>
    <row r="92" spans="1:9" ht="15.75" customHeight="1">
      <c r="A92" s="32"/>
      <c r="B92" s="45" t="s">
        <v>51</v>
      </c>
      <c r="C92" s="41"/>
      <c r="D92" s="48"/>
      <c r="E92" s="41">
        <v>1</v>
      </c>
      <c r="F92" s="41"/>
      <c r="G92" s="41"/>
      <c r="H92" s="41"/>
      <c r="I92" s="34">
        <f>SUM(I90:I91)</f>
        <v>591.69000000000005</v>
      </c>
    </row>
    <row r="93" spans="1:9">
      <c r="A93" s="32"/>
      <c r="B93" s="47" t="s">
        <v>77</v>
      </c>
      <c r="C93" s="15"/>
      <c r="D93" s="15"/>
      <c r="E93" s="42"/>
      <c r="F93" s="42"/>
      <c r="G93" s="43"/>
      <c r="H93" s="43"/>
      <c r="I93" s="17">
        <v>0</v>
      </c>
    </row>
    <row r="94" spans="1:9">
      <c r="A94" s="49"/>
      <c r="B94" s="46" t="s">
        <v>157</v>
      </c>
      <c r="C94" s="35"/>
      <c r="D94" s="35"/>
      <c r="E94" s="35"/>
      <c r="F94" s="35"/>
      <c r="G94" s="35"/>
      <c r="H94" s="35"/>
      <c r="I94" s="44">
        <f>I88+I92</f>
        <v>110111.66462733335</v>
      </c>
    </row>
    <row r="95" spans="1:9" ht="15.75">
      <c r="A95" s="222" t="s">
        <v>348</v>
      </c>
      <c r="B95" s="222"/>
      <c r="C95" s="222"/>
      <c r="D95" s="222"/>
      <c r="E95" s="222"/>
      <c r="F95" s="222"/>
      <c r="G95" s="222"/>
      <c r="H95" s="222"/>
      <c r="I95" s="222"/>
    </row>
    <row r="96" spans="1:9" ht="15.75" customHeight="1">
      <c r="A96" s="58"/>
      <c r="B96" s="223" t="s">
        <v>349</v>
      </c>
      <c r="C96" s="223"/>
      <c r="D96" s="223"/>
      <c r="E96" s="223"/>
      <c r="F96" s="223"/>
      <c r="G96" s="223"/>
      <c r="H96" s="70"/>
      <c r="I96" s="3"/>
    </row>
    <row r="97" spans="1:9">
      <c r="A97" s="64"/>
      <c r="B97" s="224" t="s">
        <v>6</v>
      </c>
      <c r="C97" s="224"/>
      <c r="D97" s="224"/>
      <c r="E97" s="224"/>
      <c r="F97" s="224"/>
      <c r="G97" s="224"/>
      <c r="H97" s="27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225" t="s">
        <v>7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>
      <c r="A100" s="225" t="s">
        <v>8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>
      <c r="A101" s="226" t="s">
        <v>60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>
      <c r="A102" s="11"/>
    </row>
    <row r="103" spans="1:9" ht="15.75">
      <c r="A103" s="227" t="s">
        <v>9</v>
      </c>
      <c r="B103" s="227"/>
      <c r="C103" s="227"/>
      <c r="D103" s="227"/>
      <c r="E103" s="227"/>
      <c r="F103" s="227"/>
      <c r="G103" s="227"/>
      <c r="H103" s="227"/>
      <c r="I103" s="227"/>
    </row>
    <row r="104" spans="1:9" ht="15.75" customHeight="1">
      <c r="A104" s="4"/>
    </row>
    <row r="105" spans="1:9" ht="15.75" customHeight="1">
      <c r="B105" s="61" t="s">
        <v>10</v>
      </c>
      <c r="C105" s="228" t="s">
        <v>134</v>
      </c>
      <c r="D105" s="228"/>
      <c r="E105" s="228"/>
      <c r="F105" s="68"/>
      <c r="I105" s="63"/>
    </row>
    <row r="106" spans="1:9" ht="15.75" customHeight="1">
      <c r="A106" s="64"/>
      <c r="C106" s="224" t="s">
        <v>11</v>
      </c>
      <c r="D106" s="224"/>
      <c r="E106" s="224"/>
      <c r="F106" s="27"/>
      <c r="I106" s="62" t="s">
        <v>12</v>
      </c>
    </row>
    <row r="107" spans="1:9" ht="15.75" customHeight="1">
      <c r="A107" s="28"/>
      <c r="C107" s="12"/>
      <c r="D107" s="12"/>
      <c r="G107" s="12"/>
      <c r="H107" s="12"/>
    </row>
    <row r="108" spans="1:9" ht="15.75">
      <c r="B108" s="61" t="s">
        <v>13</v>
      </c>
      <c r="C108" s="229"/>
      <c r="D108" s="229"/>
      <c r="E108" s="229"/>
      <c r="F108" s="69"/>
      <c r="I108" s="63"/>
    </row>
    <row r="109" spans="1:9">
      <c r="A109" s="64"/>
      <c r="C109" s="218" t="s">
        <v>11</v>
      </c>
      <c r="D109" s="218"/>
      <c r="E109" s="218"/>
      <c r="F109" s="64"/>
      <c r="I109" s="62" t="s">
        <v>12</v>
      </c>
    </row>
    <row r="110" spans="1:9" ht="15.75">
      <c r="A110" s="4" t="s">
        <v>14</v>
      </c>
    </row>
    <row r="111" spans="1:9">
      <c r="A111" s="233" t="s">
        <v>15</v>
      </c>
      <c r="B111" s="233"/>
      <c r="C111" s="233"/>
      <c r="D111" s="233"/>
      <c r="E111" s="233"/>
      <c r="F111" s="233"/>
      <c r="G111" s="233"/>
      <c r="H111" s="233"/>
      <c r="I111" s="233"/>
    </row>
    <row r="112" spans="1:9" ht="45" customHeight="1">
      <c r="A112" s="234" t="s">
        <v>16</v>
      </c>
      <c r="B112" s="234"/>
      <c r="C112" s="234"/>
      <c r="D112" s="234"/>
      <c r="E112" s="234"/>
      <c r="F112" s="234"/>
      <c r="G112" s="234"/>
      <c r="H112" s="234"/>
      <c r="I112" s="234"/>
    </row>
    <row r="113" spans="1:9" ht="30" customHeight="1">
      <c r="A113" s="234" t="s">
        <v>17</v>
      </c>
      <c r="B113" s="234"/>
      <c r="C113" s="234"/>
      <c r="D113" s="234"/>
      <c r="E113" s="234"/>
      <c r="F113" s="234"/>
      <c r="G113" s="234"/>
      <c r="H113" s="234"/>
      <c r="I113" s="234"/>
    </row>
    <row r="114" spans="1:9" ht="30" customHeight="1">
      <c r="A114" s="234" t="s">
        <v>21</v>
      </c>
      <c r="B114" s="234"/>
      <c r="C114" s="234"/>
      <c r="D114" s="234"/>
      <c r="E114" s="234"/>
      <c r="F114" s="234"/>
      <c r="G114" s="234"/>
      <c r="H114" s="234"/>
      <c r="I114" s="234"/>
    </row>
    <row r="115" spans="1:9" ht="15" customHeight="1">
      <c r="A115" s="234" t="s">
        <v>20</v>
      </c>
      <c r="B115" s="234"/>
      <c r="C115" s="234"/>
      <c r="D115" s="234"/>
      <c r="E115" s="234"/>
      <c r="F115" s="234"/>
      <c r="G115" s="234"/>
      <c r="H115" s="234"/>
      <c r="I115" s="234"/>
    </row>
  </sheetData>
  <autoFilter ref="I12:I60"/>
  <mergeCells count="29">
    <mergeCell ref="R66:U66"/>
    <mergeCell ref="A85:I85"/>
    <mergeCell ref="A3:I3"/>
    <mergeCell ref="A4:I4"/>
    <mergeCell ref="A5:I5"/>
    <mergeCell ref="A8:I8"/>
    <mergeCell ref="A10:I10"/>
    <mergeCell ref="A14:I14"/>
    <mergeCell ref="A101:I101"/>
    <mergeCell ref="A15:I15"/>
    <mergeCell ref="A27:I27"/>
    <mergeCell ref="A45:I45"/>
    <mergeCell ref="A56:I56"/>
    <mergeCell ref="A89:I89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1"/>
  <sheetViews>
    <sheetView topLeftCell="A83" workbookViewId="0">
      <selection activeCell="G104" sqref="G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150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249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43982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18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196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F18/18*G18*2</f>
        <v>14318.817120000002</v>
      </c>
      <c r="J18" s="25"/>
      <c r="K18" s="8"/>
      <c r="L18" s="8"/>
      <c r="M18" s="8"/>
    </row>
    <row r="19" spans="1:13" ht="15.75" hidden="1" customHeight="1">
      <c r="A19" s="32">
        <v>4</v>
      </c>
      <c r="B19" s="111" t="s">
        <v>92</v>
      </c>
      <c r="C19" s="112" t="s">
        <v>93</v>
      </c>
      <c r="D19" s="111" t="s">
        <v>205</v>
      </c>
      <c r="E19" s="146">
        <v>28.2</v>
      </c>
      <c r="F19" s="147">
        <f>SUM(E19/10)</f>
        <v>2.82</v>
      </c>
      <c r="G19" s="147">
        <v>232.1</v>
      </c>
      <c r="H19" s="75">
        <f t="shared" ref="H19:H25" si="1">SUM(F19*G19/1000)</f>
        <v>0.65452199999999994</v>
      </c>
      <c r="I19" s="13">
        <f>F19/1*G19</f>
        <v>654.52199999999993</v>
      </c>
      <c r="J19" s="25"/>
      <c r="K19" s="8"/>
      <c r="L19" s="8"/>
      <c r="M19" s="8"/>
    </row>
    <row r="20" spans="1:13" ht="15.75" hidden="1" customHeight="1">
      <c r="A20" s="32">
        <v>5</v>
      </c>
      <c r="B20" s="111" t="s">
        <v>95</v>
      </c>
      <c r="C20" s="112" t="s">
        <v>85</v>
      </c>
      <c r="D20" s="111" t="s">
        <v>203</v>
      </c>
      <c r="E20" s="146">
        <v>30.6</v>
      </c>
      <c r="F20" s="147">
        <f>SUM(E20*2/100)</f>
        <v>0.61199999999999999</v>
      </c>
      <c r="G20" s="147">
        <v>297.19</v>
      </c>
      <c r="H20" s="75">
        <f t="shared" si="1"/>
        <v>0.18188028000000001</v>
      </c>
      <c r="I20" s="13">
        <f>F20/2*G20</f>
        <v>90.94014</v>
      </c>
      <c r="J20" s="25"/>
      <c r="K20" s="8"/>
      <c r="L20" s="8"/>
      <c r="M20" s="8"/>
    </row>
    <row r="21" spans="1:13" ht="15.75" hidden="1" customHeight="1">
      <c r="A21" s="32">
        <v>6</v>
      </c>
      <c r="B21" s="111" t="s">
        <v>96</v>
      </c>
      <c r="C21" s="112" t="s">
        <v>85</v>
      </c>
      <c r="D21" s="111" t="s">
        <v>203</v>
      </c>
      <c r="E21" s="146">
        <v>10.06</v>
      </c>
      <c r="F21" s="147">
        <f>SUM(E21*2/100)</f>
        <v>0.20120000000000002</v>
      </c>
      <c r="G21" s="147">
        <v>294.77999999999997</v>
      </c>
      <c r="H21" s="75">
        <f t="shared" si="1"/>
        <v>5.9309736000000002E-2</v>
      </c>
      <c r="I21" s="13">
        <f>F21/2*G21</f>
        <v>29.654868</v>
      </c>
      <c r="J21" s="25"/>
      <c r="K21" s="8"/>
      <c r="L21" s="8"/>
      <c r="M21" s="8"/>
    </row>
    <row r="22" spans="1:13" ht="15.75" hidden="1" customHeight="1">
      <c r="A22" s="32">
        <v>7</v>
      </c>
      <c r="B22" s="111" t="s">
        <v>97</v>
      </c>
      <c r="C22" s="112" t="s">
        <v>52</v>
      </c>
      <c r="D22" s="111" t="s">
        <v>205</v>
      </c>
      <c r="E22" s="146">
        <v>769.2</v>
      </c>
      <c r="F22" s="147">
        <f>SUM(E22/100)</f>
        <v>7.6920000000000002</v>
      </c>
      <c r="G22" s="147">
        <v>367.27</v>
      </c>
      <c r="H22" s="75">
        <f t="shared" si="1"/>
        <v>2.8250408400000002</v>
      </c>
      <c r="I22" s="13">
        <f>F22*G22</f>
        <v>2825.0408400000001</v>
      </c>
      <c r="J22" s="25"/>
      <c r="K22" s="8"/>
      <c r="L22" s="8"/>
      <c r="M22" s="8"/>
    </row>
    <row r="23" spans="1:13" ht="15.75" hidden="1" customHeight="1">
      <c r="A23" s="32">
        <v>8</v>
      </c>
      <c r="B23" s="111" t="s">
        <v>98</v>
      </c>
      <c r="C23" s="112" t="s">
        <v>52</v>
      </c>
      <c r="D23" s="111" t="s">
        <v>206</v>
      </c>
      <c r="E23" s="148">
        <v>90</v>
      </c>
      <c r="F23" s="147">
        <f>SUM(E23/100)</f>
        <v>0.9</v>
      </c>
      <c r="G23" s="147">
        <v>60.41</v>
      </c>
      <c r="H23" s="75">
        <f t="shared" si="1"/>
        <v>5.4369000000000001E-2</v>
      </c>
      <c r="I23" s="13">
        <f>F23*G23</f>
        <v>54.369</v>
      </c>
      <c r="J23" s="25"/>
      <c r="K23" s="8"/>
      <c r="L23" s="8"/>
      <c r="M23" s="8"/>
    </row>
    <row r="24" spans="1:13" ht="15.75" hidden="1" customHeight="1">
      <c r="A24" s="32">
        <v>9</v>
      </c>
      <c r="B24" s="111" t="s">
        <v>166</v>
      </c>
      <c r="C24" s="112" t="s">
        <v>52</v>
      </c>
      <c r="D24" s="111" t="s">
        <v>204</v>
      </c>
      <c r="E24" s="146">
        <v>30</v>
      </c>
      <c r="F24" s="147">
        <f>E24*1/100</f>
        <v>0.3</v>
      </c>
      <c r="G24" s="147">
        <v>294.77999999999997</v>
      </c>
      <c r="H24" s="75">
        <f t="shared" si="1"/>
        <v>8.8433999999999985E-2</v>
      </c>
      <c r="I24" s="13">
        <f>F24/1*G24</f>
        <v>88.433999999999983</v>
      </c>
      <c r="J24" s="25"/>
      <c r="K24" s="8"/>
      <c r="L24" s="8"/>
      <c r="M24" s="8"/>
    </row>
    <row r="25" spans="1:13" ht="15.75" hidden="1" customHeight="1">
      <c r="A25" s="32">
        <v>10</v>
      </c>
      <c r="B25" s="111" t="s">
        <v>100</v>
      </c>
      <c r="C25" s="112" t="s">
        <v>52</v>
      </c>
      <c r="D25" s="111" t="s">
        <v>203</v>
      </c>
      <c r="E25" s="146">
        <v>21.6</v>
      </c>
      <c r="F25" s="147">
        <f>SUM(E25*1/100)</f>
        <v>0.21600000000000003</v>
      </c>
      <c r="G25" s="147">
        <v>710.37</v>
      </c>
      <c r="H25" s="75">
        <f t="shared" si="1"/>
        <v>0.15343992000000004</v>
      </c>
      <c r="I25" s="13">
        <f>F25/1*G25</f>
        <v>153.43992000000003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5</v>
      </c>
      <c r="B29" s="111" t="s">
        <v>104</v>
      </c>
      <c r="C29" s="112" t="s">
        <v>87</v>
      </c>
      <c r="D29" s="111" t="s">
        <v>195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4" si="2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6</v>
      </c>
      <c r="B30" s="111" t="s">
        <v>120</v>
      </c>
      <c r="C30" s="112" t="s">
        <v>87</v>
      </c>
      <c r="D30" s="111" t="s">
        <v>194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2"/>
        <v>4.2099571799999991</v>
      </c>
      <c r="I30" s="13">
        <f t="shared" ref="I30:I32" si="3">F30/6*G30</f>
        <v>701.6595299999999</v>
      </c>
      <c r="J30" s="25"/>
      <c r="K30" s="8"/>
      <c r="L30" s="8"/>
      <c r="M30" s="8"/>
    </row>
    <row r="31" spans="1:13" ht="15.75" customHeight="1">
      <c r="A31" s="32">
        <v>7</v>
      </c>
      <c r="B31" s="111" t="s">
        <v>27</v>
      </c>
      <c r="C31" s="112" t="s">
        <v>87</v>
      </c>
      <c r="D31" s="111" t="s">
        <v>204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2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8</v>
      </c>
      <c r="B32" s="111" t="s">
        <v>119</v>
      </c>
      <c r="C32" s="112" t="s">
        <v>39</v>
      </c>
      <c r="D32" s="111" t="s">
        <v>199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3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si="2"/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2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141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15" t="s">
        <v>137</v>
      </c>
      <c r="B44" s="216"/>
      <c r="C44" s="216"/>
      <c r="D44" s="216"/>
      <c r="E44" s="216"/>
      <c r="F44" s="216"/>
      <c r="G44" s="216"/>
      <c r="H44" s="216"/>
      <c r="I44" s="217"/>
      <c r="J44" s="26"/>
      <c r="L44" s="19"/>
      <c r="M44" s="20"/>
      <c r="N44" s="21"/>
    </row>
    <row r="45" spans="1:14" ht="15.75" customHeight="1">
      <c r="A45" s="32">
        <v>9</v>
      </c>
      <c r="B45" s="111" t="s">
        <v>126</v>
      </c>
      <c r="C45" s="112" t="s">
        <v>87</v>
      </c>
      <c r="D45" s="111" t="s">
        <v>203</v>
      </c>
      <c r="E45" s="146">
        <v>1895</v>
      </c>
      <c r="F45" s="147">
        <f>SUM(E45*2/1000)</f>
        <v>3.79</v>
      </c>
      <c r="G45" s="36">
        <v>1158.7</v>
      </c>
      <c r="H45" s="75">
        <f t="shared" ref="H45:H53" si="5">SUM(F45*G45/1000)</f>
        <v>4.3914729999999995</v>
      </c>
      <c r="I45" s="13">
        <f>F45/2*G45</f>
        <v>2195.7365</v>
      </c>
      <c r="J45" s="26"/>
      <c r="L45" s="19"/>
      <c r="M45" s="20"/>
      <c r="N45" s="21"/>
    </row>
    <row r="46" spans="1:14" ht="15.75" customHeight="1">
      <c r="A46" s="32">
        <v>10</v>
      </c>
      <c r="B46" s="111" t="s">
        <v>34</v>
      </c>
      <c r="C46" s="112" t="s">
        <v>87</v>
      </c>
      <c r="D46" s="111" t="s">
        <v>203</v>
      </c>
      <c r="E46" s="146">
        <v>118.2</v>
      </c>
      <c r="F46" s="147">
        <f>E46*2/1000</f>
        <v>0.2364</v>
      </c>
      <c r="G46" s="36">
        <v>790.38</v>
      </c>
      <c r="H46" s="75">
        <f t="shared" si="5"/>
        <v>0.18684583199999999</v>
      </c>
      <c r="I46" s="13">
        <f t="shared" ref="I46:I48" si="6">F46/2*G46</f>
        <v>93.422916000000001</v>
      </c>
      <c r="J46" s="26"/>
      <c r="L46" s="19"/>
      <c r="M46" s="20"/>
      <c r="N46" s="21"/>
    </row>
    <row r="47" spans="1:14" ht="15.75" customHeight="1">
      <c r="A47" s="32">
        <v>11</v>
      </c>
      <c r="B47" s="111" t="s">
        <v>35</v>
      </c>
      <c r="C47" s="112" t="s">
        <v>87</v>
      </c>
      <c r="D47" s="111" t="s">
        <v>203</v>
      </c>
      <c r="E47" s="146">
        <v>4675</v>
      </c>
      <c r="F47" s="147">
        <f>SUM(E47*2/1000)</f>
        <v>9.35</v>
      </c>
      <c r="G47" s="36">
        <v>790.38</v>
      </c>
      <c r="H47" s="75">
        <f t="shared" si="5"/>
        <v>7.390053</v>
      </c>
      <c r="I47" s="13">
        <f t="shared" si="6"/>
        <v>3695.0264999999999</v>
      </c>
      <c r="J47" s="26"/>
      <c r="L47" s="19"/>
      <c r="M47" s="20"/>
      <c r="N47" s="21"/>
    </row>
    <row r="48" spans="1:14" ht="15.75" customHeight="1">
      <c r="A48" s="32">
        <v>12</v>
      </c>
      <c r="B48" s="111" t="s">
        <v>36</v>
      </c>
      <c r="C48" s="112" t="s">
        <v>87</v>
      </c>
      <c r="D48" s="111" t="s">
        <v>203</v>
      </c>
      <c r="E48" s="146">
        <v>4675</v>
      </c>
      <c r="F48" s="147">
        <f>SUM(E48*2/1000)</f>
        <v>9.35</v>
      </c>
      <c r="G48" s="36">
        <v>827.65</v>
      </c>
      <c r="H48" s="75">
        <f t="shared" si="5"/>
        <v>7.7385274999999991</v>
      </c>
      <c r="I48" s="13">
        <f t="shared" si="6"/>
        <v>3869.2637499999996</v>
      </c>
      <c r="J48" s="26"/>
      <c r="L48" s="19"/>
      <c r="M48" s="20"/>
      <c r="N48" s="21"/>
    </row>
    <row r="49" spans="1:22" ht="15.75" customHeight="1">
      <c r="A49" s="32">
        <v>13</v>
      </c>
      <c r="B49" s="111" t="s">
        <v>55</v>
      </c>
      <c r="C49" s="112" t="s">
        <v>87</v>
      </c>
      <c r="D49" s="111" t="s">
        <v>203</v>
      </c>
      <c r="E49" s="146">
        <v>3988</v>
      </c>
      <c r="F49" s="147">
        <f>SUM(E49*5/1000)</f>
        <v>19.940000000000001</v>
      </c>
      <c r="G49" s="36">
        <v>1655.27</v>
      </c>
      <c r="H49" s="75">
        <f t="shared" si="5"/>
        <v>33.006083799999999</v>
      </c>
      <c r="I49" s="13">
        <f>F49/5*G49</f>
        <v>6601.2167600000002</v>
      </c>
      <c r="J49" s="26"/>
      <c r="L49" s="19"/>
      <c r="M49" s="20"/>
      <c r="N49" s="21"/>
    </row>
    <row r="50" spans="1:22" ht="34.5" customHeight="1">
      <c r="A50" s="32">
        <v>14</v>
      </c>
      <c r="B50" s="111" t="s">
        <v>89</v>
      </c>
      <c r="C50" s="112" t="s">
        <v>87</v>
      </c>
      <c r="D50" s="111" t="s">
        <v>203</v>
      </c>
      <c r="E50" s="146">
        <v>3988</v>
      </c>
      <c r="F50" s="147">
        <f>SUM(E50*2/1000)</f>
        <v>7.976</v>
      </c>
      <c r="G50" s="36">
        <v>1655.27</v>
      </c>
      <c r="H50" s="75">
        <f t="shared" si="5"/>
        <v>13.202433520000001</v>
      </c>
      <c r="I50" s="13">
        <f>3.988*G50</f>
        <v>6601.2167600000002</v>
      </c>
      <c r="J50" s="26"/>
      <c r="L50" s="19"/>
      <c r="M50" s="20"/>
      <c r="N50" s="21"/>
    </row>
    <row r="51" spans="1:22" ht="31.5" customHeight="1">
      <c r="A51" s="32">
        <v>15</v>
      </c>
      <c r="B51" s="111" t="s">
        <v>90</v>
      </c>
      <c r="C51" s="112" t="s">
        <v>37</v>
      </c>
      <c r="D51" s="111" t="s">
        <v>203</v>
      </c>
      <c r="E51" s="146">
        <v>30</v>
      </c>
      <c r="F51" s="147">
        <f>SUM(E51*2/100)</f>
        <v>0.6</v>
      </c>
      <c r="G51" s="36">
        <v>3724.37</v>
      </c>
      <c r="H51" s="75">
        <f>SUM(F51*G51/1000)</f>
        <v>2.2346219999999999</v>
      </c>
      <c r="I51" s="13">
        <f>G51*0.3</f>
        <v>1117.3109999999999</v>
      </c>
      <c r="J51" s="26"/>
      <c r="L51" s="19"/>
      <c r="M51" s="20"/>
      <c r="N51" s="21"/>
    </row>
    <row r="52" spans="1:22" ht="15" customHeight="1">
      <c r="A52" s="32">
        <v>16</v>
      </c>
      <c r="B52" s="111" t="s">
        <v>38</v>
      </c>
      <c r="C52" s="112" t="s">
        <v>39</v>
      </c>
      <c r="D52" s="111" t="s">
        <v>203</v>
      </c>
      <c r="E52" s="146">
        <v>1</v>
      </c>
      <c r="F52" s="147">
        <v>0.02</v>
      </c>
      <c r="G52" s="36">
        <v>7709.44</v>
      </c>
      <c r="H52" s="75">
        <f t="shared" si="5"/>
        <v>0.15418879999999999</v>
      </c>
      <c r="I52" s="13">
        <f>G52*0.01</f>
        <v>77.094399999999993</v>
      </c>
      <c r="J52" s="26"/>
      <c r="L52" s="19"/>
      <c r="M52" s="20"/>
      <c r="N52" s="21"/>
    </row>
    <row r="53" spans="1:22" ht="19.5" customHeight="1">
      <c r="A53" s="121">
        <v>17</v>
      </c>
      <c r="B53" s="111" t="s">
        <v>41</v>
      </c>
      <c r="C53" s="112" t="s">
        <v>106</v>
      </c>
      <c r="D53" s="188">
        <v>43978</v>
      </c>
      <c r="E53" s="146">
        <v>240</v>
      </c>
      <c r="F53" s="147">
        <f>SUM(E53)*1</f>
        <v>240</v>
      </c>
      <c r="G53" s="37">
        <v>89.59</v>
      </c>
      <c r="H53" s="83">
        <f t="shared" si="5"/>
        <v>21.501600000000003</v>
      </c>
      <c r="I53" s="91">
        <f>E53*G53/3</f>
        <v>7167.2000000000007</v>
      </c>
      <c r="J53" s="26"/>
      <c r="L53" s="19"/>
      <c r="M53" s="20"/>
      <c r="N53" s="21"/>
    </row>
    <row r="54" spans="1:22" ht="19.5" customHeight="1">
      <c r="A54" s="32">
        <v>18</v>
      </c>
      <c r="B54" s="111" t="s">
        <v>172</v>
      </c>
      <c r="C54" s="112" t="s">
        <v>106</v>
      </c>
      <c r="D54" s="111" t="s">
        <v>204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15" t="s">
        <v>138</v>
      </c>
      <c r="B55" s="216"/>
      <c r="C55" s="216"/>
      <c r="D55" s="216"/>
      <c r="E55" s="216"/>
      <c r="F55" s="216"/>
      <c r="G55" s="216"/>
      <c r="H55" s="216"/>
      <c r="I55" s="217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19</v>
      </c>
      <c r="B62" s="80" t="s">
        <v>132</v>
      </c>
      <c r="C62" s="81" t="s">
        <v>25</v>
      </c>
      <c r="D62" s="80" t="s">
        <v>204</v>
      </c>
      <c r="E62" s="82">
        <v>394</v>
      </c>
      <c r="F62" s="85">
        <f>E62*12</f>
        <v>4728</v>
      </c>
      <c r="G62" s="66">
        <v>1.4</v>
      </c>
      <c r="H62" s="83">
        <f>F62*G62/1000</f>
        <v>6.6192000000000002</v>
      </c>
      <c r="I62" s="13">
        <f>2400/12*G62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141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2">
        <v>27</v>
      </c>
      <c r="B64" s="14" t="s">
        <v>46</v>
      </c>
      <c r="C64" s="16" t="s">
        <v>106</v>
      </c>
      <c r="D64" s="71" t="s">
        <v>65</v>
      </c>
      <c r="E64" s="18">
        <v>15</v>
      </c>
      <c r="F64" s="74">
        <v>15</v>
      </c>
      <c r="G64" s="13">
        <v>222.4</v>
      </c>
      <c r="H64" s="86">
        <f t="shared" ref="H64:H80" si="7">SUM(F64*G64/1000)</f>
        <v>3.3359999999999999</v>
      </c>
      <c r="I64" s="13">
        <f>G64*4</f>
        <v>889.6</v>
      </c>
      <c r="J64" s="5"/>
      <c r="K64" s="5"/>
      <c r="L64" s="5"/>
      <c r="M64" s="5"/>
      <c r="N64" s="5"/>
      <c r="O64" s="5"/>
      <c r="P64" s="5"/>
      <c r="Q64" s="5"/>
      <c r="R64" s="218"/>
      <c r="S64" s="218"/>
      <c r="T64" s="218"/>
      <c r="U64" s="218"/>
    </row>
    <row r="65" spans="1:21" ht="15.75" hidden="1" customHeight="1">
      <c r="A65" s="32">
        <v>25</v>
      </c>
      <c r="B65" s="14" t="s">
        <v>47</v>
      </c>
      <c r="C65" s="16" t="s">
        <v>106</v>
      </c>
      <c r="D65" s="71" t="s">
        <v>65</v>
      </c>
      <c r="E65" s="18">
        <v>10</v>
      </c>
      <c r="F65" s="74">
        <v>10</v>
      </c>
      <c r="G65" s="13">
        <v>76.25</v>
      </c>
      <c r="H65" s="86">
        <f t="shared" si="7"/>
        <v>0.76249999999999996</v>
      </c>
      <c r="I65" s="13">
        <f>G65</f>
        <v>76.25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2">
        <v>28</v>
      </c>
      <c r="B66" s="153" t="s">
        <v>48</v>
      </c>
      <c r="C66" s="165" t="s">
        <v>108</v>
      </c>
      <c r="D66" s="39" t="s">
        <v>53</v>
      </c>
      <c r="E66" s="146">
        <v>17600</v>
      </c>
      <c r="F66" s="37">
        <f>SUM(E66/100)</f>
        <v>176</v>
      </c>
      <c r="G66" s="36">
        <v>289.37</v>
      </c>
      <c r="H66" s="86">
        <f t="shared" si="7"/>
        <v>50.929120000000005</v>
      </c>
      <c r="I66" s="13">
        <f>F66*G66</f>
        <v>50929.120000000003</v>
      </c>
    </row>
    <row r="67" spans="1:21" ht="15.75" hidden="1" customHeight="1">
      <c r="A67" s="32">
        <v>29</v>
      </c>
      <c r="B67" s="153" t="s">
        <v>49</v>
      </c>
      <c r="C67" s="154" t="s">
        <v>109</v>
      </c>
      <c r="D67" s="39"/>
      <c r="E67" s="146">
        <v>17600</v>
      </c>
      <c r="F67" s="36">
        <f>SUM(E67/1000)</f>
        <v>17.600000000000001</v>
      </c>
      <c r="G67" s="36">
        <v>225.35</v>
      </c>
      <c r="H67" s="86">
        <f t="shared" si="7"/>
        <v>3.9661600000000004</v>
      </c>
      <c r="I67" s="13">
        <f t="shared" ref="I67:I71" si="8">F67*G67</f>
        <v>3966.1600000000003</v>
      </c>
    </row>
    <row r="68" spans="1:21" ht="15.75" hidden="1" customHeight="1">
      <c r="A68" s="32">
        <v>30</v>
      </c>
      <c r="B68" s="153" t="s">
        <v>50</v>
      </c>
      <c r="C68" s="154" t="s">
        <v>75</v>
      </c>
      <c r="D68" s="39" t="s">
        <v>53</v>
      </c>
      <c r="E68" s="146">
        <v>4150</v>
      </c>
      <c r="F68" s="36">
        <f>SUM(E68/100)</f>
        <v>41.5</v>
      </c>
      <c r="G68" s="36">
        <v>2829.78</v>
      </c>
      <c r="H68" s="86">
        <f t="shared" si="7"/>
        <v>117.43587000000001</v>
      </c>
      <c r="I68" s="13">
        <f t="shared" si="8"/>
        <v>117435.87000000001</v>
      </c>
    </row>
    <row r="69" spans="1:21" ht="15.75" hidden="1" customHeight="1">
      <c r="A69" s="32">
        <v>31</v>
      </c>
      <c r="B69" s="180" t="s">
        <v>110</v>
      </c>
      <c r="C69" s="154" t="s">
        <v>33</v>
      </c>
      <c r="D69" s="39"/>
      <c r="E69" s="146">
        <v>13</v>
      </c>
      <c r="F69" s="36">
        <f>SUM(E69)</f>
        <v>13</v>
      </c>
      <c r="G69" s="36">
        <v>44.31</v>
      </c>
      <c r="H69" s="86">
        <f t="shared" si="7"/>
        <v>0.57602999999999993</v>
      </c>
      <c r="I69" s="13">
        <f t="shared" si="8"/>
        <v>576.03</v>
      </c>
    </row>
    <row r="70" spans="1:21" ht="15.75" hidden="1" customHeight="1">
      <c r="A70" s="32">
        <v>32</v>
      </c>
      <c r="B70" s="180" t="s">
        <v>111</v>
      </c>
      <c r="C70" s="154" t="s">
        <v>33</v>
      </c>
      <c r="D70" s="39"/>
      <c r="E70" s="146">
        <v>13</v>
      </c>
      <c r="F70" s="36">
        <f>SUM(E70)</f>
        <v>13</v>
      </c>
      <c r="G70" s="36">
        <v>47.79</v>
      </c>
      <c r="H70" s="86">
        <f t="shared" si="7"/>
        <v>0.62126999999999999</v>
      </c>
      <c r="I70" s="13">
        <f t="shared" si="8"/>
        <v>621.27</v>
      </c>
    </row>
    <row r="71" spans="1:21" ht="22.5" hidden="1" customHeight="1">
      <c r="A71" s="32"/>
      <c r="B71" s="14" t="s">
        <v>56</v>
      </c>
      <c r="C71" s="16" t="s">
        <v>57</v>
      </c>
      <c r="D71" s="14" t="s">
        <v>53</v>
      </c>
      <c r="E71" s="18">
        <v>5</v>
      </c>
      <c r="F71" s="74">
        <v>5</v>
      </c>
      <c r="G71" s="13">
        <v>49.88</v>
      </c>
      <c r="H71" s="86">
        <f t="shared" si="7"/>
        <v>0.24940000000000001</v>
      </c>
      <c r="I71" s="13">
        <f t="shared" si="8"/>
        <v>249.4</v>
      </c>
    </row>
    <row r="72" spans="1:21" ht="22.5" customHeight="1">
      <c r="A72" s="32"/>
      <c r="B72" s="173" t="s">
        <v>176</v>
      </c>
      <c r="C72" s="154"/>
      <c r="D72" s="39"/>
      <c r="E72" s="17"/>
      <c r="F72" s="109"/>
      <c r="G72" s="36"/>
      <c r="H72" s="86"/>
      <c r="I72" s="13"/>
    </row>
    <row r="73" spans="1:21" ht="36.75" customHeight="1">
      <c r="A73" s="32">
        <v>20</v>
      </c>
      <c r="B73" s="39" t="s">
        <v>177</v>
      </c>
      <c r="C73" s="156" t="s">
        <v>178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5.75" customHeight="1">
      <c r="A74" s="32"/>
      <c r="B74" s="179" t="s">
        <v>70</v>
      </c>
      <c r="C74" s="16"/>
      <c r="D74" s="14"/>
      <c r="E74" s="18"/>
      <c r="F74" s="13"/>
      <c r="G74" s="13"/>
      <c r="H74" s="86" t="s">
        <v>141</v>
      </c>
      <c r="I74" s="13"/>
    </row>
    <row r="75" spans="1:21" ht="14.25" hidden="1" customHeight="1">
      <c r="A75" s="32">
        <v>33</v>
      </c>
      <c r="B75" s="14" t="s">
        <v>71</v>
      </c>
      <c r="C75" s="16" t="s">
        <v>73</v>
      </c>
      <c r="D75" s="14"/>
      <c r="E75" s="18">
        <v>10</v>
      </c>
      <c r="F75" s="13">
        <v>1</v>
      </c>
      <c r="G75" s="13">
        <v>501.62</v>
      </c>
      <c r="H75" s="86">
        <f t="shared" si="7"/>
        <v>0.50161999999999995</v>
      </c>
      <c r="I75" s="13">
        <f>G75*0.2</f>
        <v>100.32400000000001</v>
      </c>
    </row>
    <row r="76" spans="1:21" ht="15.75" hidden="1" customHeight="1">
      <c r="A76" s="32">
        <v>28</v>
      </c>
      <c r="B76" s="39" t="s">
        <v>72</v>
      </c>
      <c r="C76" s="154" t="s">
        <v>31</v>
      </c>
      <c r="D76" s="39" t="s">
        <v>144</v>
      </c>
      <c r="E76" s="181">
        <v>1</v>
      </c>
      <c r="F76" s="109">
        <v>1</v>
      </c>
      <c r="G76" s="36">
        <v>1163.47</v>
      </c>
      <c r="H76" s="86">
        <f>F76*G76/1000</f>
        <v>1.16347</v>
      </c>
      <c r="I76" s="13">
        <f>G76*1</f>
        <v>1163.47</v>
      </c>
    </row>
    <row r="77" spans="1:21" ht="19.5" hidden="1" customHeight="1">
      <c r="A77" s="32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86">
        <f>G77*F77/1000</f>
        <v>0.35851</v>
      </c>
      <c r="I77" s="13">
        <v>0</v>
      </c>
    </row>
    <row r="78" spans="1:21" ht="29.25" customHeight="1">
      <c r="A78" s="32">
        <v>21</v>
      </c>
      <c r="B78" s="39" t="s">
        <v>183</v>
      </c>
      <c r="C78" s="154" t="s">
        <v>106</v>
      </c>
      <c r="D78" s="39" t="s">
        <v>204</v>
      </c>
      <c r="E78" s="17">
        <v>2</v>
      </c>
      <c r="F78" s="36">
        <v>24</v>
      </c>
      <c r="G78" s="36">
        <v>55.55</v>
      </c>
      <c r="H78" s="86"/>
      <c r="I78" s="13">
        <f>G78*2</f>
        <v>111.1</v>
      </c>
    </row>
    <row r="79" spans="1:21" ht="18" hidden="1" customHeight="1">
      <c r="A79" s="32"/>
      <c r="B79" s="89" t="s">
        <v>74</v>
      </c>
      <c r="C79" s="16"/>
      <c r="D79" s="14"/>
      <c r="E79" s="18"/>
      <c r="F79" s="13"/>
      <c r="G79" s="13" t="s">
        <v>141</v>
      </c>
      <c r="H79" s="86" t="s">
        <v>141</v>
      </c>
      <c r="I79" s="13"/>
    </row>
    <row r="80" spans="1:21" ht="20.25" hidden="1" customHeight="1">
      <c r="A80" s="32"/>
      <c r="B80" s="47" t="s">
        <v>146</v>
      </c>
      <c r="C80" s="16" t="s">
        <v>75</v>
      </c>
      <c r="D80" s="14"/>
      <c r="E80" s="18"/>
      <c r="F80" s="13">
        <v>1.2</v>
      </c>
      <c r="G80" s="13">
        <v>2759.44</v>
      </c>
      <c r="H80" s="86">
        <f t="shared" si="7"/>
        <v>3.311328</v>
      </c>
      <c r="I80" s="13">
        <v>0</v>
      </c>
    </row>
    <row r="81" spans="1:9" ht="21.75" hidden="1" customHeight="1">
      <c r="A81" s="32"/>
      <c r="B81" s="65" t="s">
        <v>91</v>
      </c>
      <c r="C81" s="65"/>
      <c r="D81" s="65"/>
      <c r="E81" s="65"/>
      <c r="F81" s="65"/>
      <c r="G81" s="77"/>
      <c r="H81" s="90">
        <f>SUM(H57:H80)</f>
        <v>203.06858090000003</v>
      </c>
      <c r="I81" s="77"/>
    </row>
    <row r="82" spans="1:9" ht="12" hidden="1" customHeight="1">
      <c r="A82" s="32"/>
      <c r="B82" s="94" t="s">
        <v>112</v>
      </c>
      <c r="C82" s="23"/>
      <c r="D82" s="22"/>
      <c r="E82" s="67"/>
      <c r="F82" s="95">
        <v>1</v>
      </c>
      <c r="G82" s="13">
        <v>23072.1</v>
      </c>
      <c r="H82" s="86">
        <f>G82*F82/1000</f>
        <v>23.072099999999999</v>
      </c>
      <c r="I82" s="13">
        <v>0</v>
      </c>
    </row>
    <row r="83" spans="1:9" ht="15.75" customHeight="1">
      <c r="A83" s="219" t="s">
        <v>139</v>
      </c>
      <c r="B83" s="220"/>
      <c r="C83" s="220"/>
      <c r="D83" s="220"/>
      <c r="E83" s="220"/>
      <c r="F83" s="220"/>
      <c r="G83" s="220"/>
      <c r="H83" s="220"/>
      <c r="I83" s="221"/>
    </row>
    <row r="84" spans="1:9" ht="15.75" customHeight="1">
      <c r="A84" s="32">
        <v>22</v>
      </c>
      <c r="B84" s="111" t="s">
        <v>114</v>
      </c>
      <c r="C84" s="154" t="s">
        <v>54</v>
      </c>
      <c r="D84" s="50"/>
      <c r="E84" s="36">
        <v>6980.3</v>
      </c>
      <c r="F84" s="36">
        <f>SUM(E84*12)</f>
        <v>83763.600000000006</v>
      </c>
      <c r="G84" s="36">
        <v>3.22</v>
      </c>
      <c r="H84" s="86">
        <f>SUM(F84*G84/1000)</f>
        <v>269.71879200000001</v>
      </c>
      <c r="I84" s="13">
        <f>F84/12*G84</f>
        <v>22476.566000000003</v>
      </c>
    </row>
    <row r="85" spans="1:9" ht="31.5" customHeight="1">
      <c r="A85" s="32">
        <v>23</v>
      </c>
      <c r="B85" s="39" t="s">
        <v>76</v>
      </c>
      <c r="C85" s="154"/>
      <c r="D85" s="103"/>
      <c r="E85" s="146">
        <f>E84</f>
        <v>6980.3</v>
      </c>
      <c r="F85" s="36">
        <f>E85*12</f>
        <v>83763.600000000006</v>
      </c>
      <c r="G85" s="36">
        <v>3.64</v>
      </c>
      <c r="H85" s="86">
        <f>F85*G85/1000</f>
        <v>304.89950400000004</v>
      </c>
      <c r="I85" s="13">
        <f>F85/12*G85</f>
        <v>25408.292000000001</v>
      </c>
    </row>
    <row r="86" spans="1:9" ht="15.75" customHeight="1">
      <c r="A86" s="32"/>
      <c r="B86" s="40" t="s">
        <v>78</v>
      </c>
      <c r="C86" s="89"/>
      <c r="D86" s="88"/>
      <c r="E86" s="77"/>
      <c r="F86" s="77"/>
      <c r="G86" s="77"/>
      <c r="H86" s="90">
        <f>H85</f>
        <v>304.89950400000004</v>
      </c>
      <c r="I86" s="77">
        <f>I85+I84+I78+I73+I62+I54+I53+I52+I51+I50+I49+I48+I47+I46+I45+I32+I31+I30+I29+I26+I18+I17+I16</f>
        <v>148333.67563093334</v>
      </c>
    </row>
    <row r="87" spans="1:9" ht="15.75" customHeight="1">
      <c r="A87" s="230" t="s">
        <v>59</v>
      </c>
      <c r="B87" s="231"/>
      <c r="C87" s="231"/>
      <c r="D87" s="231"/>
      <c r="E87" s="231"/>
      <c r="F87" s="231"/>
      <c r="G87" s="231"/>
      <c r="H87" s="231"/>
      <c r="I87" s="232"/>
    </row>
    <row r="88" spans="1:9">
      <c r="A88" s="32">
        <v>24</v>
      </c>
      <c r="B88" s="51" t="s">
        <v>232</v>
      </c>
      <c r="C88" s="52" t="s">
        <v>163</v>
      </c>
      <c r="D88" s="197" t="s">
        <v>350</v>
      </c>
      <c r="E88" s="198"/>
      <c r="F88" s="198">
        <f>21+10+2+4+7+5</f>
        <v>49</v>
      </c>
      <c r="G88" s="198">
        <v>284</v>
      </c>
      <c r="H88" s="43"/>
      <c r="I88" s="17">
        <v>0</v>
      </c>
    </row>
    <row r="89" spans="1:9">
      <c r="A89" s="32">
        <v>25</v>
      </c>
      <c r="B89" s="113" t="s">
        <v>164</v>
      </c>
      <c r="C89" s="52" t="s">
        <v>106</v>
      </c>
      <c r="D89" s="197" t="s">
        <v>250</v>
      </c>
      <c r="E89" s="198"/>
      <c r="F89" s="198">
        <v>1</v>
      </c>
      <c r="G89" s="198">
        <v>215.61</v>
      </c>
      <c r="H89" s="43"/>
      <c r="I89" s="17">
        <f>G89*1</f>
        <v>215.61</v>
      </c>
    </row>
    <row r="90" spans="1:9">
      <c r="A90" s="32">
        <v>26</v>
      </c>
      <c r="B90" s="51" t="s">
        <v>192</v>
      </c>
      <c r="C90" s="52" t="s">
        <v>39</v>
      </c>
      <c r="D90" s="197" t="s">
        <v>203</v>
      </c>
      <c r="E90" s="198"/>
      <c r="F90" s="198">
        <v>0.06</v>
      </c>
      <c r="G90" s="198">
        <v>27139.18</v>
      </c>
      <c r="H90" s="43"/>
      <c r="I90" s="17">
        <v>0</v>
      </c>
    </row>
    <row r="91" spans="1:9">
      <c r="A91" s="32">
        <v>27</v>
      </c>
      <c r="B91" s="201" t="s">
        <v>251</v>
      </c>
      <c r="C91" s="202" t="s">
        <v>252</v>
      </c>
      <c r="D91" s="197"/>
      <c r="E91" s="198"/>
      <c r="F91" s="198">
        <f>1/3</f>
        <v>0.33333333333333331</v>
      </c>
      <c r="G91" s="198">
        <v>1274.19</v>
      </c>
      <c r="H91" s="43"/>
      <c r="I91" s="17">
        <f>G91*1/3</f>
        <v>424.73</v>
      </c>
    </row>
    <row r="92" spans="1:9" ht="30">
      <c r="A92" s="32">
        <v>28</v>
      </c>
      <c r="B92" s="51" t="s">
        <v>253</v>
      </c>
      <c r="C92" s="52" t="s">
        <v>106</v>
      </c>
      <c r="D92" s="197" t="s">
        <v>258</v>
      </c>
      <c r="E92" s="198"/>
      <c r="F92" s="198">
        <v>4</v>
      </c>
      <c r="G92" s="198">
        <v>945.36</v>
      </c>
      <c r="H92" s="43"/>
      <c r="I92" s="17">
        <f>G92*4</f>
        <v>3781.44</v>
      </c>
    </row>
    <row r="93" spans="1:9">
      <c r="A93" s="32">
        <v>29</v>
      </c>
      <c r="B93" s="51" t="s">
        <v>254</v>
      </c>
      <c r="C93" s="52" t="s">
        <v>106</v>
      </c>
      <c r="D93" s="197"/>
      <c r="E93" s="198"/>
      <c r="F93" s="198">
        <v>4</v>
      </c>
      <c r="G93" s="198">
        <v>62</v>
      </c>
      <c r="H93" s="43"/>
      <c r="I93" s="17">
        <f>G93*4</f>
        <v>248</v>
      </c>
    </row>
    <row r="94" spans="1:9">
      <c r="A94" s="32">
        <v>30</v>
      </c>
      <c r="B94" s="51" t="s">
        <v>255</v>
      </c>
      <c r="C94" s="52" t="s">
        <v>106</v>
      </c>
      <c r="D94" s="197"/>
      <c r="E94" s="198"/>
      <c r="F94" s="198">
        <v>1</v>
      </c>
      <c r="G94" s="198">
        <v>70</v>
      </c>
      <c r="H94" s="43"/>
      <c r="I94" s="17">
        <f>G94*1</f>
        <v>70</v>
      </c>
    </row>
    <row r="95" spans="1:9">
      <c r="A95" s="32">
        <v>31</v>
      </c>
      <c r="B95" s="51" t="s">
        <v>256</v>
      </c>
      <c r="C95" s="52" t="s">
        <v>106</v>
      </c>
      <c r="D95" s="197"/>
      <c r="E95" s="198"/>
      <c r="F95" s="198">
        <v>2</v>
      </c>
      <c r="G95" s="198">
        <v>110</v>
      </c>
      <c r="H95" s="43"/>
      <c r="I95" s="17">
        <f>G95*2</f>
        <v>220</v>
      </c>
    </row>
    <row r="96" spans="1:9">
      <c r="A96" s="32">
        <v>32</v>
      </c>
      <c r="B96" s="51" t="s">
        <v>257</v>
      </c>
      <c r="C96" s="52" t="s">
        <v>106</v>
      </c>
      <c r="D96" s="197"/>
      <c r="E96" s="198"/>
      <c r="F96" s="198">
        <v>2</v>
      </c>
      <c r="G96" s="198">
        <v>235</v>
      </c>
      <c r="H96" s="43"/>
      <c r="I96" s="17">
        <f>G96*2</f>
        <v>470</v>
      </c>
    </row>
    <row r="97" spans="1:9">
      <c r="A97" s="32">
        <v>33</v>
      </c>
      <c r="B97" s="51" t="s">
        <v>222</v>
      </c>
      <c r="C97" s="52" t="s">
        <v>82</v>
      </c>
      <c r="D97" s="197" t="s">
        <v>259</v>
      </c>
      <c r="E97" s="198"/>
      <c r="F97" s="198">
        <v>9</v>
      </c>
      <c r="G97" s="198">
        <v>222.63</v>
      </c>
      <c r="H97" s="43"/>
      <c r="I97" s="17">
        <f>G97*1</f>
        <v>222.63</v>
      </c>
    </row>
    <row r="98" spans="1:9">
      <c r="A98" s="32"/>
      <c r="B98" s="45" t="s">
        <v>51</v>
      </c>
      <c r="C98" s="41"/>
      <c r="D98" s="48"/>
      <c r="E98" s="41">
        <v>1</v>
      </c>
      <c r="F98" s="41"/>
      <c r="G98" s="41"/>
      <c r="H98" s="41"/>
      <c r="I98" s="34">
        <f>SUM(I88:I97)</f>
        <v>5652.41</v>
      </c>
    </row>
    <row r="99" spans="1:9">
      <c r="A99" s="32"/>
      <c r="B99" s="47" t="s">
        <v>77</v>
      </c>
      <c r="C99" s="15"/>
      <c r="D99" s="15"/>
      <c r="E99" s="42"/>
      <c r="F99" s="42"/>
      <c r="G99" s="43"/>
      <c r="H99" s="43"/>
      <c r="I99" s="17">
        <v>0</v>
      </c>
    </row>
    <row r="100" spans="1:9">
      <c r="A100" s="49"/>
      <c r="B100" s="46" t="s">
        <v>157</v>
      </c>
      <c r="C100" s="35"/>
      <c r="D100" s="35"/>
      <c r="E100" s="35"/>
      <c r="F100" s="35"/>
      <c r="G100" s="35"/>
      <c r="H100" s="35"/>
      <c r="I100" s="44">
        <f>I86+I98</f>
        <v>153986.08563093335</v>
      </c>
    </row>
    <row r="101" spans="1:9" ht="15.75">
      <c r="A101" s="222" t="s">
        <v>351</v>
      </c>
      <c r="B101" s="222"/>
      <c r="C101" s="222"/>
      <c r="D101" s="222"/>
      <c r="E101" s="222"/>
      <c r="F101" s="222"/>
      <c r="G101" s="222"/>
      <c r="H101" s="222"/>
      <c r="I101" s="222"/>
    </row>
    <row r="102" spans="1:9" ht="15.75" customHeight="1">
      <c r="A102" s="58"/>
      <c r="B102" s="223" t="s">
        <v>352</v>
      </c>
      <c r="C102" s="223"/>
      <c r="D102" s="223"/>
      <c r="E102" s="223"/>
      <c r="F102" s="223"/>
      <c r="G102" s="223"/>
      <c r="H102" s="70"/>
      <c r="I102" s="3"/>
    </row>
    <row r="103" spans="1:9">
      <c r="A103" s="64"/>
      <c r="B103" s="224" t="s">
        <v>6</v>
      </c>
      <c r="C103" s="224"/>
      <c r="D103" s="224"/>
      <c r="E103" s="224"/>
      <c r="F103" s="224"/>
      <c r="G103" s="224"/>
      <c r="H103" s="27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25" t="s">
        <v>7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15.75">
      <c r="A106" s="225" t="s">
        <v>8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>
      <c r="A107" s="226" t="s">
        <v>60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11"/>
    </row>
    <row r="109" spans="1:9" ht="15.75">
      <c r="A109" s="227" t="s">
        <v>9</v>
      </c>
      <c r="B109" s="227"/>
      <c r="C109" s="227"/>
      <c r="D109" s="227"/>
      <c r="E109" s="227"/>
      <c r="F109" s="227"/>
      <c r="G109" s="227"/>
      <c r="H109" s="227"/>
      <c r="I109" s="227"/>
    </row>
    <row r="110" spans="1:9" ht="15.75" customHeight="1">
      <c r="A110" s="4"/>
    </row>
    <row r="111" spans="1:9" ht="15.75" customHeight="1">
      <c r="B111" s="61" t="s">
        <v>10</v>
      </c>
      <c r="C111" s="228" t="s">
        <v>134</v>
      </c>
      <c r="D111" s="228"/>
      <c r="E111" s="228"/>
      <c r="F111" s="68"/>
      <c r="I111" s="63"/>
    </row>
    <row r="112" spans="1:9" ht="15.75" customHeight="1">
      <c r="A112" s="64"/>
      <c r="C112" s="224" t="s">
        <v>11</v>
      </c>
      <c r="D112" s="224"/>
      <c r="E112" s="224"/>
      <c r="F112" s="27"/>
      <c r="I112" s="62" t="s">
        <v>12</v>
      </c>
    </row>
    <row r="113" spans="1:9" ht="15.75" customHeight="1">
      <c r="A113" s="28"/>
      <c r="C113" s="12"/>
      <c r="D113" s="12"/>
      <c r="G113" s="12"/>
      <c r="H113" s="12"/>
    </row>
    <row r="114" spans="1:9" ht="15.75">
      <c r="B114" s="61" t="s">
        <v>13</v>
      </c>
      <c r="C114" s="229"/>
      <c r="D114" s="229"/>
      <c r="E114" s="229"/>
      <c r="F114" s="69"/>
      <c r="I114" s="63"/>
    </row>
    <row r="115" spans="1:9">
      <c r="A115" s="64"/>
      <c r="C115" s="218" t="s">
        <v>11</v>
      </c>
      <c r="D115" s="218"/>
      <c r="E115" s="218"/>
      <c r="F115" s="64"/>
      <c r="I115" s="62" t="s">
        <v>12</v>
      </c>
    </row>
    <row r="116" spans="1:9" ht="15.75">
      <c r="A116" s="4" t="s">
        <v>14</v>
      </c>
    </row>
    <row r="117" spans="1:9">
      <c r="A117" s="233" t="s">
        <v>15</v>
      </c>
      <c r="B117" s="233"/>
      <c r="C117" s="233"/>
      <c r="D117" s="233"/>
      <c r="E117" s="233"/>
      <c r="F117" s="233"/>
      <c r="G117" s="233"/>
      <c r="H117" s="233"/>
      <c r="I117" s="233"/>
    </row>
    <row r="118" spans="1:9" ht="45" customHeight="1">
      <c r="A118" s="234" t="s">
        <v>16</v>
      </c>
      <c r="B118" s="234"/>
      <c r="C118" s="234"/>
      <c r="D118" s="234"/>
      <c r="E118" s="234"/>
      <c r="F118" s="234"/>
      <c r="G118" s="234"/>
      <c r="H118" s="234"/>
      <c r="I118" s="234"/>
    </row>
    <row r="119" spans="1:9" ht="30" customHeight="1">
      <c r="A119" s="234" t="s">
        <v>17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30" customHeight="1">
      <c r="A120" s="234" t="s">
        <v>21</v>
      </c>
      <c r="B120" s="234"/>
      <c r="C120" s="234"/>
      <c r="D120" s="234"/>
      <c r="E120" s="234"/>
      <c r="F120" s="234"/>
      <c r="G120" s="234"/>
      <c r="H120" s="234"/>
      <c r="I120" s="234"/>
    </row>
    <row r="121" spans="1:9" ht="15" customHeight="1">
      <c r="A121" s="234" t="s">
        <v>20</v>
      </c>
      <c r="B121" s="234"/>
      <c r="C121" s="234"/>
      <c r="D121" s="234"/>
      <c r="E121" s="234"/>
      <c r="F121" s="234"/>
      <c r="G121" s="234"/>
      <c r="H121" s="234"/>
      <c r="I121" s="234"/>
    </row>
  </sheetData>
  <autoFilter ref="I12:I59"/>
  <mergeCells count="29">
    <mergeCell ref="R64:U64"/>
    <mergeCell ref="A83:I83"/>
    <mergeCell ref="A3:I3"/>
    <mergeCell ref="A4:I4"/>
    <mergeCell ref="A5:I5"/>
    <mergeCell ref="A8:I8"/>
    <mergeCell ref="A10:I10"/>
    <mergeCell ref="A14:I14"/>
    <mergeCell ref="A107:I107"/>
    <mergeCell ref="A15:I15"/>
    <mergeCell ref="A27:I27"/>
    <mergeCell ref="A44:I44"/>
    <mergeCell ref="A55:I55"/>
    <mergeCell ref="A87:I87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0"/>
  <sheetViews>
    <sheetView topLeftCell="A86" workbookViewId="0">
      <selection activeCell="J101" sqref="J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151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262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44012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.7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196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customHeight="1">
      <c r="A19" s="32">
        <v>4</v>
      </c>
      <c r="B19" s="111" t="s">
        <v>92</v>
      </c>
      <c r="C19" s="112" t="s">
        <v>93</v>
      </c>
      <c r="D19" s="111" t="s">
        <v>203</v>
      </c>
      <c r="E19" s="146">
        <v>28.2</v>
      </c>
      <c r="F19" s="147">
        <f>SUM(E19/10)</f>
        <v>2.82</v>
      </c>
      <c r="G19" s="147">
        <v>232.1</v>
      </c>
      <c r="H19" s="75">
        <f t="shared" si="0"/>
        <v>0.65452199999999994</v>
      </c>
      <c r="I19" s="13">
        <f>G19*F19</f>
        <v>654.52199999999993</v>
      </c>
      <c r="J19" s="25"/>
      <c r="K19" s="8"/>
      <c r="L19" s="8"/>
      <c r="M19" s="8"/>
    </row>
    <row r="20" spans="1:13" ht="15.75" customHeight="1">
      <c r="A20" s="32">
        <v>5</v>
      </c>
      <c r="B20" s="111" t="s">
        <v>95</v>
      </c>
      <c r="C20" s="112" t="s">
        <v>85</v>
      </c>
      <c r="D20" s="111" t="s">
        <v>203</v>
      </c>
      <c r="E20" s="146">
        <v>30.6</v>
      </c>
      <c r="F20" s="147">
        <f>SUM(E20*2/100)</f>
        <v>0.61199999999999999</v>
      </c>
      <c r="G20" s="147">
        <v>297.19</v>
      </c>
      <c r="H20" s="75">
        <f t="shared" si="0"/>
        <v>0.18188028000000001</v>
      </c>
      <c r="I20" s="13">
        <f>F20/2*G20</f>
        <v>90.94014</v>
      </c>
      <c r="J20" s="25"/>
      <c r="K20" s="8"/>
      <c r="L20" s="8"/>
      <c r="M20" s="8"/>
    </row>
    <row r="21" spans="1:13" ht="15.75" customHeight="1">
      <c r="A21" s="32">
        <v>6</v>
      </c>
      <c r="B21" s="111" t="s">
        <v>96</v>
      </c>
      <c r="C21" s="112" t="s">
        <v>85</v>
      </c>
      <c r="D21" s="111" t="s">
        <v>203</v>
      </c>
      <c r="E21" s="146">
        <v>10.06</v>
      </c>
      <c r="F21" s="147">
        <f>SUM(E21*2/100)</f>
        <v>0.20120000000000002</v>
      </c>
      <c r="G21" s="147">
        <v>294.77999999999997</v>
      </c>
      <c r="H21" s="75">
        <f t="shared" si="0"/>
        <v>5.9309736000000002E-2</v>
      </c>
      <c r="I21" s="13">
        <f>F21/2*G21</f>
        <v>29.654868</v>
      </c>
      <c r="J21" s="25"/>
      <c r="K21" s="8"/>
      <c r="L21" s="8"/>
      <c r="M21" s="8"/>
    </row>
    <row r="22" spans="1:13" ht="15.75" customHeight="1">
      <c r="A22" s="32">
        <v>7</v>
      </c>
      <c r="B22" s="111" t="s">
        <v>97</v>
      </c>
      <c r="C22" s="112" t="s">
        <v>52</v>
      </c>
      <c r="D22" s="111" t="s">
        <v>263</v>
      </c>
      <c r="E22" s="146">
        <v>769.2</v>
      </c>
      <c r="F22" s="147">
        <f>SUM(E22/100)</f>
        <v>7.6920000000000002</v>
      </c>
      <c r="G22" s="147">
        <v>367.27</v>
      </c>
      <c r="H22" s="75">
        <f t="shared" si="0"/>
        <v>2.8250408400000002</v>
      </c>
      <c r="I22" s="13">
        <f>G22*F22</f>
        <v>2825.0408400000001</v>
      </c>
      <c r="J22" s="25"/>
      <c r="K22" s="8"/>
      <c r="L22" s="8"/>
      <c r="M22" s="8"/>
    </row>
    <row r="23" spans="1:13" ht="15.75" customHeight="1">
      <c r="A23" s="32">
        <v>8</v>
      </c>
      <c r="B23" s="111" t="s">
        <v>98</v>
      </c>
      <c r="C23" s="112" t="s">
        <v>52</v>
      </c>
      <c r="D23" s="111" t="s">
        <v>263</v>
      </c>
      <c r="E23" s="148">
        <v>90</v>
      </c>
      <c r="F23" s="147">
        <f>SUM(E23/100)</f>
        <v>0.9</v>
      </c>
      <c r="G23" s="147">
        <v>60.41</v>
      </c>
      <c r="H23" s="75">
        <f t="shared" si="0"/>
        <v>5.4369000000000001E-2</v>
      </c>
      <c r="I23" s="13">
        <f>G23*F23</f>
        <v>54.369</v>
      </c>
      <c r="J23" s="25"/>
      <c r="K23" s="8"/>
      <c r="L23" s="8"/>
      <c r="M23" s="8"/>
    </row>
    <row r="24" spans="1:13" ht="15.75" customHeight="1">
      <c r="A24" s="32">
        <v>9</v>
      </c>
      <c r="B24" s="111" t="s">
        <v>166</v>
      </c>
      <c r="C24" s="112" t="s">
        <v>52</v>
      </c>
      <c r="D24" s="111" t="s">
        <v>203</v>
      </c>
      <c r="E24" s="146">
        <v>30</v>
      </c>
      <c r="F24" s="147">
        <f>E24*1/100</f>
        <v>0.3</v>
      </c>
      <c r="G24" s="147">
        <v>294.77999999999997</v>
      </c>
      <c r="H24" s="75">
        <f t="shared" si="0"/>
        <v>8.8433999999999985E-2</v>
      </c>
      <c r="I24" s="13">
        <f>F24*G24</f>
        <v>88.433999999999983</v>
      </c>
      <c r="J24" s="25"/>
      <c r="K24" s="8"/>
      <c r="L24" s="8"/>
      <c r="M24" s="8"/>
    </row>
    <row r="25" spans="1:13" ht="15.75" customHeight="1">
      <c r="A25" s="32">
        <v>10</v>
      </c>
      <c r="B25" s="111" t="s">
        <v>100</v>
      </c>
      <c r="C25" s="112" t="s">
        <v>52</v>
      </c>
      <c r="D25" s="111" t="s">
        <v>203</v>
      </c>
      <c r="E25" s="146">
        <v>21.6</v>
      </c>
      <c r="F25" s="147">
        <f>SUM(E25*1/100)</f>
        <v>0.21600000000000003</v>
      </c>
      <c r="G25" s="147">
        <v>710.37</v>
      </c>
      <c r="H25" s="75">
        <f t="shared" si="0"/>
        <v>0.15343992000000004</v>
      </c>
      <c r="I25" s="13">
        <f>F25*G25</f>
        <v>153.43992000000003</v>
      </c>
      <c r="J25" s="25"/>
      <c r="K25" s="8"/>
      <c r="L25" s="8"/>
      <c r="M25" s="8"/>
    </row>
    <row r="26" spans="1:13" ht="15.75" customHeight="1">
      <c r="A26" s="32">
        <v>11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12</v>
      </c>
      <c r="B29" s="111" t="s">
        <v>104</v>
      </c>
      <c r="C29" s="112" t="s">
        <v>87</v>
      </c>
      <c r="D29" s="111" t="s">
        <v>195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13</v>
      </c>
      <c r="B30" s="111" t="s">
        <v>120</v>
      </c>
      <c r="C30" s="112" t="s">
        <v>87</v>
      </c>
      <c r="D30" s="111" t="s">
        <v>194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14</v>
      </c>
      <c r="B32" s="111" t="s">
        <v>119</v>
      </c>
      <c r="C32" s="112" t="s">
        <v>39</v>
      </c>
      <c r="D32" s="111" t="s">
        <v>199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3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3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141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15" t="s">
        <v>137</v>
      </c>
      <c r="B44" s="216"/>
      <c r="C44" s="216"/>
      <c r="D44" s="216"/>
      <c r="E44" s="216"/>
      <c r="F44" s="216"/>
      <c r="G44" s="216"/>
      <c r="H44" s="216"/>
      <c r="I44" s="217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5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5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5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5"/>
        <v>5.6732994999999988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17</v>
      </c>
      <c r="B49" s="71" t="s">
        <v>55</v>
      </c>
      <c r="C49" s="72" t="s">
        <v>87</v>
      </c>
      <c r="D49" s="71" t="s">
        <v>145</v>
      </c>
      <c r="E49" s="73">
        <v>3988</v>
      </c>
      <c r="F49" s="74">
        <f>SUM(E49*5/1000)</f>
        <v>19.940000000000001</v>
      </c>
      <c r="G49" s="13">
        <v>1142.7</v>
      </c>
      <c r="H49" s="75">
        <f t="shared" si="5"/>
        <v>22.785438000000003</v>
      </c>
      <c r="I49" s="13">
        <f>F49/5*G49</f>
        <v>4557.0876000000007</v>
      </c>
      <c r="J49" s="26"/>
      <c r="L49" s="19"/>
      <c r="M49" s="20"/>
      <c r="N49" s="21"/>
    </row>
    <row r="50" spans="1:22" ht="31.5" hidden="1" customHeight="1">
      <c r="A50" s="32"/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5"/>
        <v>9.6792748</v>
      </c>
      <c r="I50" s="13">
        <v>0</v>
      </c>
      <c r="J50" s="26"/>
      <c r="L50" s="19"/>
      <c r="M50" s="20"/>
      <c r="N50" s="21"/>
    </row>
    <row r="51" spans="1:22" ht="31.5" hidden="1" customHeight="1">
      <c r="A51" s="32"/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v>0</v>
      </c>
      <c r="J51" s="26"/>
      <c r="L51" s="19"/>
      <c r="M51" s="20"/>
      <c r="N51" s="21"/>
    </row>
    <row r="52" spans="1:22" ht="15.75" hidden="1" customHeight="1">
      <c r="A52" s="32"/>
      <c r="B52" s="71" t="s">
        <v>38</v>
      </c>
      <c r="C52" s="72" t="s">
        <v>39</v>
      </c>
      <c r="D52" s="71" t="s">
        <v>42</v>
      </c>
      <c r="E52" s="73">
        <v>1</v>
      </c>
      <c r="F52" s="74">
        <v>0.02</v>
      </c>
      <c r="G52" s="13">
        <v>5652.13</v>
      </c>
      <c r="H52" s="75">
        <f t="shared" si="5"/>
        <v>0.11304260000000001</v>
      </c>
      <c r="I52" s="13">
        <v>0</v>
      </c>
      <c r="J52" s="26"/>
      <c r="L52" s="19"/>
      <c r="M52" s="20"/>
      <c r="N52" s="21"/>
    </row>
    <row r="53" spans="1:22" ht="15.75" hidden="1" customHeight="1">
      <c r="A53" s="121">
        <v>18</v>
      </c>
      <c r="B53" s="80" t="s">
        <v>41</v>
      </c>
      <c r="C53" s="81" t="s">
        <v>106</v>
      </c>
      <c r="D53" s="80" t="s">
        <v>69</v>
      </c>
      <c r="E53" s="82">
        <v>236</v>
      </c>
      <c r="F53" s="85">
        <f>SUM(E53)*3</f>
        <v>708</v>
      </c>
      <c r="G53" s="91">
        <v>65.67</v>
      </c>
      <c r="H53" s="83">
        <f t="shared" si="5"/>
        <v>46.49436</v>
      </c>
      <c r="I53" s="91">
        <f>E53*G53</f>
        <v>15498.12</v>
      </c>
      <c r="J53" s="26"/>
      <c r="L53" s="19"/>
      <c r="M53" s="20"/>
      <c r="N53" s="21"/>
    </row>
    <row r="54" spans="1:22" ht="15.75" customHeight="1">
      <c r="A54" s="32">
        <v>15</v>
      </c>
      <c r="B54" s="111" t="s">
        <v>172</v>
      </c>
      <c r="C54" s="112" t="s">
        <v>106</v>
      </c>
      <c r="D54" s="111" t="s">
        <v>204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15" t="s">
        <v>138</v>
      </c>
      <c r="B55" s="216"/>
      <c r="C55" s="216"/>
      <c r="D55" s="216"/>
      <c r="E55" s="216"/>
      <c r="F55" s="216"/>
      <c r="G55" s="216"/>
      <c r="H55" s="216"/>
      <c r="I55" s="217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16</v>
      </c>
      <c r="B62" s="80" t="s">
        <v>132</v>
      </c>
      <c r="C62" s="81" t="s">
        <v>25</v>
      </c>
      <c r="D62" s="80" t="s">
        <v>204</v>
      </c>
      <c r="E62" s="82">
        <v>394</v>
      </c>
      <c r="F62" s="85">
        <v>2400</v>
      </c>
      <c r="G62" s="66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141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32">
        <v>17</v>
      </c>
      <c r="B64" s="153" t="s">
        <v>46</v>
      </c>
      <c r="C64" s="154" t="s">
        <v>106</v>
      </c>
      <c r="D64" s="39" t="s">
        <v>286</v>
      </c>
      <c r="E64" s="17">
        <v>12</v>
      </c>
      <c r="F64" s="147">
        <v>12</v>
      </c>
      <c r="G64" s="36">
        <v>303.35000000000002</v>
      </c>
      <c r="H64" s="86">
        <f t="shared" ref="H64:H77" si="6">SUM(F64*G64/1000)</f>
        <v>3.6402000000000001</v>
      </c>
      <c r="I64" s="13">
        <f>G64*3</f>
        <v>910.05000000000007</v>
      </c>
      <c r="J64" s="5"/>
      <c r="K64" s="5"/>
      <c r="L64" s="5"/>
      <c r="M64" s="5"/>
      <c r="N64" s="5"/>
      <c r="O64" s="5"/>
      <c r="P64" s="5"/>
      <c r="Q64" s="5"/>
      <c r="R64" s="218"/>
      <c r="S64" s="218"/>
      <c r="T64" s="218"/>
      <c r="U64" s="218"/>
    </row>
    <row r="65" spans="1:21" ht="15.75" hidden="1" customHeight="1">
      <c r="A65" s="32">
        <v>25</v>
      </c>
      <c r="B65" s="132" t="s">
        <v>47</v>
      </c>
      <c r="C65" s="133" t="s">
        <v>106</v>
      </c>
      <c r="D65" s="134" t="s">
        <v>167</v>
      </c>
      <c r="E65" s="135">
        <v>7</v>
      </c>
      <c r="F65" s="117">
        <v>7</v>
      </c>
      <c r="G65" s="125">
        <v>104.01</v>
      </c>
      <c r="H65" s="86">
        <f t="shared" si="6"/>
        <v>0.72806999999999999</v>
      </c>
      <c r="I65" s="13">
        <f>G65</f>
        <v>104.01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2"/>
      <c r="B66" s="132" t="s">
        <v>48</v>
      </c>
      <c r="C66" s="136" t="s">
        <v>108</v>
      </c>
      <c r="D66" s="134" t="s">
        <v>53</v>
      </c>
      <c r="E66" s="116">
        <v>17600</v>
      </c>
      <c r="F66" s="126">
        <f>SUM(E66/100)</f>
        <v>176</v>
      </c>
      <c r="G66" s="125">
        <v>289.37</v>
      </c>
      <c r="H66" s="86">
        <f t="shared" si="6"/>
        <v>50.929120000000005</v>
      </c>
      <c r="I66" s="13">
        <f>F66*G66</f>
        <v>50929.120000000003</v>
      </c>
    </row>
    <row r="67" spans="1:21" ht="15.75" hidden="1" customHeight="1">
      <c r="A67" s="32"/>
      <c r="B67" s="132" t="s">
        <v>49</v>
      </c>
      <c r="C67" s="133" t="s">
        <v>109</v>
      </c>
      <c r="D67" s="134"/>
      <c r="E67" s="116">
        <v>17600</v>
      </c>
      <c r="F67" s="125">
        <f>SUM(E67/1000)</f>
        <v>17.600000000000001</v>
      </c>
      <c r="G67" s="125">
        <v>225.35</v>
      </c>
      <c r="H67" s="86">
        <f t="shared" si="6"/>
        <v>3.9661600000000004</v>
      </c>
      <c r="I67" s="13">
        <f t="shared" ref="I67:I71" si="7">F67*G67</f>
        <v>3966.1600000000003</v>
      </c>
    </row>
    <row r="68" spans="1:21" ht="15.75" hidden="1" customHeight="1">
      <c r="A68" s="32"/>
      <c r="B68" s="132" t="s">
        <v>50</v>
      </c>
      <c r="C68" s="133" t="s">
        <v>75</v>
      </c>
      <c r="D68" s="134" t="s">
        <v>53</v>
      </c>
      <c r="E68" s="116">
        <v>4150</v>
      </c>
      <c r="F68" s="125">
        <f>SUM(E68/100)</f>
        <v>41.5</v>
      </c>
      <c r="G68" s="125">
        <v>2829.78</v>
      </c>
      <c r="H68" s="86">
        <f t="shared" si="6"/>
        <v>117.43587000000001</v>
      </c>
      <c r="I68" s="13">
        <f t="shared" si="7"/>
        <v>117435.87000000001</v>
      </c>
    </row>
    <row r="69" spans="1:21" ht="15.75" hidden="1" customHeight="1">
      <c r="A69" s="32"/>
      <c r="B69" s="137" t="s">
        <v>110</v>
      </c>
      <c r="C69" s="133" t="s">
        <v>33</v>
      </c>
      <c r="D69" s="134"/>
      <c r="E69" s="116">
        <v>13</v>
      </c>
      <c r="F69" s="125">
        <f>SUM(E69)</f>
        <v>13</v>
      </c>
      <c r="G69" s="125">
        <v>44.31</v>
      </c>
      <c r="H69" s="86">
        <f t="shared" si="6"/>
        <v>0.57602999999999993</v>
      </c>
      <c r="I69" s="13">
        <f t="shared" si="7"/>
        <v>576.03</v>
      </c>
    </row>
    <row r="70" spans="1:21" ht="15.75" hidden="1" customHeight="1">
      <c r="A70" s="32"/>
      <c r="B70" s="137" t="s">
        <v>111</v>
      </c>
      <c r="C70" s="133" t="s">
        <v>33</v>
      </c>
      <c r="D70" s="134"/>
      <c r="E70" s="116">
        <v>13</v>
      </c>
      <c r="F70" s="125">
        <f>SUM(E70)</f>
        <v>13</v>
      </c>
      <c r="G70" s="125">
        <v>47.79</v>
      </c>
      <c r="H70" s="86">
        <f t="shared" si="6"/>
        <v>0.62126999999999999</v>
      </c>
      <c r="I70" s="13">
        <f t="shared" si="7"/>
        <v>621.27</v>
      </c>
    </row>
    <row r="71" spans="1:21" ht="20.25" hidden="1" customHeight="1">
      <c r="A71" s="32">
        <v>16</v>
      </c>
      <c r="B71" s="134" t="s">
        <v>56</v>
      </c>
      <c r="C71" s="133" t="s">
        <v>57</v>
      </c>
      <c r="D71" s="134" t="s">
        <v>53</v>
      </c>
      <c r="E71" s="135">
        <v>3</v>
      </c>
      <c r="F71" s="117">
        <v>3</v>
      </c>
      <c r="G71" s="125">
        <v>68.040000000000006</v>
      </c>
      <c r="H71" s="86">
        <f t="shared" si="6"/>
        <v>0.20412</v>
      </c>
      <c r="I71" s="13">
        <f t="shared" si="7"/>
        <v>204.12</v>
      </c>
    </row>
    <row r="72" spans="1:21" ht="24" hidden="1" customHeight="1">
      <c r="A72" s="32"/>
      <c r="B72" s="59" t="s">
        <v>70</v>
      </c>
      <c r="C72" s="16"/>
      <c r="D72" s="14"/>
      <c r="E72" s="18"/>
      <c r="F72" s="13"/>
      <c r="G72" s="13"/>
      <c r="H72" s="86" t="s">
        <v>141</v>
      </c>
      <c r="I72" s="13"/>
    </row>
    <row r="73" spans="1:21" ht="21.75" hidden="1" customHeight="1">
      <c r="A73" s="32"/>
      <c r="B73" s="14" t="s">
        <v>71</v>
      </c>
      <c r="C73" s="16" t="s">
        <v>73</v>
      </c>
      <c r="D73" s="14"/>
      <c r="E73" s="18">
        <v>10</v>
      </c>
      <c r="F73" s="13">
        <v>1</v>
      </c>
      <c r="G73" s="13">
        <v>501.62</v>
      </c>
      <c r="H73" s="86">
        <f t="shared" si="6"/>
        <v>0.50161999999999995</v>
      </c>
      <c r="I73" s="13">
        <v>0</v>
      </c>
    </row>
    <row r="74" spans="1:21" ht="21.75" hidden="1" customHeight="1">
      <c r="A74" s="32"/>
      <c r="B74" s="14" t="s">
        <v>72</v>
      </c>
      <c r="C74" s="16" t="s">
        <v>31</v>
      </c>
      <c r="D74" s="14"/>
      <c r="E74" s="18">
        <v>3</v>
      </c>
      <c r="F74" s="66">
        <v>3</v>
      </c>
      <c r="G74" s="13">
        <v>852.99</v>
      </c>
      <c r="H74" s="86">
        <f>F74*G74/1000</f>
        <v>2.5589700000000004</v>
      </c>
      <c r="I74" s="13">
        <v>0</v>
      </c>
    </row>
    <row r="75" spans="1:21" ht="14.25" hidden="1" customHeight="1">
      <c r="A75" s="32"/>
      <c r="B75" s="14" t="s">
        <v>113</v>
      </c>
      <c r="C75" s="16" t="s">
        <v>31</v>
      </c>
      <c r="D75" s="14"/>
      <c r="E75" s="18">
        <v>1</v>
      </c>
      <c r="F75" s="13">
        <v>1</v>
      </c>
      <c r="G75" s="13">
        <v>358.51</v>
      </c>
      <c r="H75" s="86">
        <f>G75*F75/1000</f>
        <v>0.35851</v>
      </c>
      <c r="I75" s="13">
        <v>0</v>
      </c>
    </row>
    <row r="76" spans="1:21" ht="21.75" hidden="1" customHeight="1">
      <c r="A76" s="32"/>
      <c r="B76" s="89" t="s">
        <v>74</v>
      </c>
      <c r="C76" s="16"/>
      <c r="D76" s="14"/>
      <c r="E76" s="18"/>
      <c r="F76" s="13"/>
      <c r="G76" s="13" t="s">
        <v>141</v>
      </c>
      <c r="H76" s="86" t="s">
        <v>141</v>
      </c>
      <c r="I76" s="13"/>
    </row>
    <row r="77" spans="1:21" ht="14.25" hidden="1" customHeight="1">
      <c r="A77" s="32"/>
      <c r="B77" s="47" t="s">
        <v>146</v>
      </c>
      <c r="C77" s="16" t="s">
        <v>75</v>
      </c>
      <c r="D77" s="14"/>
      <c r="E77" s="18"/>
      <c r="F77" s="13">
        <v>1.2</v>
      </c>
      <c r="G77" s="13">
        <v>2759.44</v>
      </c>
      <c r="H77" s="86">
        <f t="shared" si="6"/>
        <v>3.311328</v>
      </c>
      <c r="I77" s="13">
        <v>0</v>
      </c>
    </row>
    <row r="78" spans="1:21" ht="18" hidden="1" customHeight="1">
      <c r="A78" s="32"/>
      <c r="B78" s="65" t="s">
        <v>91</v>
      </c>
      <c r="C78" s="65"/>
      <c r="D78" s="65"/>
      <c r="E78" s="65"/>
      <c r="F78" s="65"/>
      <c r="G78" s="77"/>
      <c r="H78" s="90">
        <f>SUM(H57:H77)</f>
        <v>201.42937090000001</v>
      </c>
      <c r="I78" s="77"/>
    </row>
    <row r="79" spans="1:21" ht="18" hidden="1" customHeight="1">
      <c r="A79" s="121"/>
      <c r="B79" s="183" t="s">
        <v>112</v>
      </c>
      <c r="C79" s="184"/>
      <c r="D79" s="185"/>
      <c r="E79" s="67"/>
      <c r="F79" s="186">
        <v>1</v>
      </c>
      <c r="G79" s="91">
        <v>23072.1</v>
      </c>
      <c r="H79" s="187">
        <f>G79*F79/1000</f>
        <v>23.072099999999999</v>
      </c>
      <c r="I79" s="91">
        <v>0</v>
      </c>
    </row>
    <row r="80" spans="1:21" ht="18" customHeight="1">
      <c r="A80" s="32"/>
      <c r="B80" s="173" t="s">
        <v>176</v>
      </c>
      <c r="C80" s="154"/>
      <c r="D80" s="39"/>
      <c r="E80" s="17"/>
      <c r="F80" s="109"/>
      <c r="G80" s="36"/>
      <c r="H80" s="86"/>
      <c r="I80" s="13"/>
    </row>
    <row r="81" spans="1:9" ht="31.5" customHeight="1">
      <c r="A81" s="32">
        <v>18</v>
      </c>
      <c r="B81" s="39" t="s">
        <v>177</v>
      </c>
      <c r="C81" s="156" t="s">
        <v>178</v>
      </c>
      <c r="D81" s="39"/>
      <c r="E81" s="17">
        <v>6980.3</v>
      </c>
      <c r="F81" s="36">
        <f>E81*12</f>
        <v>83763.600000000006</v>
      </c>
      <c r="G81" s="36">
        <v>2.37</v>
      </c>
      <c r="H81" s="86"/>
      <c r="I81" s="13">
        <f>G81*F81/12</f>
        <v>16543.311000000002</v>
      </c>
    </row>
    <row r="82" spans="1:9" ht="18" customHeight="1">
      <c r="A82" s="32"/>
      <c r="B82" s="182" t="s">
        <v>70</v>
      </c>
      <c r="C82" s="156"/>
      <c r="D82" s="39"/>
      <c r="E82" s="17"/>
      <c r="F82" s="36"/>
      <c r="G82" s="36"/>
      <c r="H82" s="13"/>
      <c r="I82" s="13"/>
    </row>
    <row r="83" spans="1:9" ht="31.5" customHeight="1">
      <c r="A83" s="32">
        <v>19</v>
      </c>
      <c r="B83" s="39" t="s">
        <v>183</v>
      </c>
      <c r="C83" s="154" t="s">
        <v>106</v>
      </c>
      <c r="D83" s="39" t="s">
        <v>203</v>
      </c>
      <c r="E83" s="17">
        <v>2</v>
      </c>
      <c r="F83" s="36">
        <v>24</v>
      </c>
      <c r="G83" s="36">
        <v>55.55</v>
      </c>
      <c r="H83" s="86"/>
      <c r="I83" s="13">
        <f>G83*2</f>
        <v>111.1</v>
      </c>
    </row>
    <row r="84" spans="1:9" ht="15.75" customHeight="1">
      <c r="A84" s="219" t="s">
        <v>139</v>
      </c>
      <c r="B84" s="220"/>
      <c r="C84" s="220"/>
      <c r="D84" s="220"/>
      <c r="E84" s="220"/>
      <c r="F84" s="220"/>
      <c r="G84" s="220"/>
      <c r="H84" s="220"/>
      <c r="I84" s="221"/>
    </row>
    <row r="85" spans="1:9" ht="15.75" customHeight="1">
      <c r="A85" s="32">
        <v>20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21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I86+I85+I83+I81+I64+I62+I54+I32+I30+I29+I26+I25+I24+I23+I22+I21+I20+I19+I18+I17+I16</f>
        <v>119316.62110253336</v>
      </c>
    </row>
    <row r="88" spans="1:9" ht="15.75" customHeight="1">
      <c r="A88" s="230" t="s">
        <v>59</v>
      </c>
      <c r="B88" s="231"/>
      <c r="C88" s="231"/>
      <c r="D88" s="231"/>
      <c r="E88" s="231"/>
      <c r="F88" s="231"/>
      <c r="G88" s="231"/>
      <c r="H88" s="231"/>
      <c r="I88" s="232"/>
    </row>
    <row r="89" spans="1:9" ht="32.25" customHeight="1">
      <c r="A89" s="32">
        <v>22</v>
      </c>
      <c r="B89" s="51" t="s">
        <v>215</v>
      </c>
      <c r="C89" s="52" t="s">
        <v>163</v>
      </c>
      <c r="D89" s="197" t="s">
        <v>269</v>
      </c>
      <c r="E89" s="198"/>
      <c r="F89" s="198">
        <v>16</v>
      </c>
      <c r="G89" s="198">
        <v>1523.6</v>
      </c>
      <c r="H89" s="86">
        <f>G89*F89/1000</f>
        <v>24.377599999999997</v>
      </c>
      <c r="I89" s="13">
        <f>G89*4</f>
        <v>6094.4</v>
      </c>
    </row>
    <row r="90" spans="1:9" ht="31.5" customHeight="1">
      <c r="A90" s="32">
        <v>23</v>
      </c>
      <c r="B90" s="51" t="s">
        <v>222</v>
      </c>
      <c r="C90" s="52" t="s">
        <v>82</v>
      </c>
      <c r="D90" s="199" t="s">
        <v>267</v>
      </c>
      <c r="E90" s="198"/>
      <c r="F90" s="198">
        <v>11</v>
      </c>
      <c r="G90" s="198">
        <v>222.63</v>
      </c>
      <c r="H90" s="86"/>
      <c r="I90" s="13">
        <f>G90*2</f>
        <v>445.26</v>
      </c>
    </row>
    <row r="91" spans="1:9" ht="15.75" customHeight="1">
      <c r="A91" s="32">
        <v>24</v>
      </c>
      <c r="B91" s="51" t="s">
        <v>232</v>
      </c>
      <c r="C91" s="52" t="s">
        <v>163</v>
      </c>
      <c r="D91" s="197" t="s">
        <v>353</v>
      </c>
      <c r="E91" s="198"/>
      <c r="F91" s="198">
        <v>59</v>
      </c>
      <c r="G91" s="198">
        <v>284</v>
      </c>
      <c r="H91" s="86"/>
      <c r="I91" s="13">
        <v>0</v>
      </c>
    </row>
    <row r="92" spans="1:9" ht="28.5" customHeight="1">
      <c r="A92" s="32">
        <v>25</v>
      </c>
      <c r="B92" s="51" t="s">
        <v>247</v>
      </c>
      <c r="C92" s="52" t="s">
        <v>37</v>
      </c>
      <c r="D92" s="197" t="s">
        <v>203</v>
      </c>
      <c r="E92" s="198"/>
      <c r="F92" s="198">
        <v>0.02</v>
      </c>
      <c r="G92" s="198">
        <v>4070.89</v>
      </c>
      <c r="H92" s="86"/>
      <c r="I92" s="13">
        <v>0</v>
      </c>
    </row>
    <row r="93" spans="1:9" ht="15.75" customHeight="1">
      <c r="A93" s="32">
        <v>26</v>
      </c>
      <c r="B93" s="51" t="s">
        <v>344</v>
      </c>
      <c r="C93" s="52" t="s">
        <v>82</v>
      </c>
      <c r="D93" s="197" t="s">
        <v>213</v>
      </c>
      <c r="E93" s="198"/>
      <c r="F93" s="198">
        <v>2</v>
      </c>
      <c r="G93" s="198">
        <v>222.63</v>
      </c>
      <c r="H93" s="86"/>
      <c r="I93" s="13">
        <v>0</v>
      </c>
    </row>
    <row r="94" spans="1:9" ht="15.75" customHeight="1">
      <c r="A94" s="32">
        <v>27</v>
      </c>
      <c r="B94" s="51" t="s">
        <v>264</v>
      </c>
      <c r="C94" s="104" t="s">
        <v>265</v>
      </c>
      <c r="D94" s="197" t="s">
        <v>266</v>
      </c>
      <c r="E94" s="198"/>
      <c r="F94" s="198">
        <v>1</v>
      </c>
      <c r="G94" s="198">
        <v>255.25</v>
      </c>
      <c r="H94" s="86"/>
      <c r="I94" s="13">
        <f>G94*1</f>
        <v>255.25</v>
      </c>
    </row>
    <row r="95" spans="1:9" ht="15.75" customHeight="1">
      <c r="A95" s="32">
        <v>28</v>
      </c>
      <c r="B95" s="51" t="s">
        <v>192</v>
      </c>
      <c r="C95" s="52" t="s">
        <v>39</v>
      </c>
      <c r="D95" s="197" t="s">
        <v>203</v>
      </c>
      <c r="E95" s="198"/>
      <c r="F95" s="198">
        <v>7.0000000000000007E-2</v>
      </c>
      <c r="G95" s="198">
        <v>27139.18</v>
      </c>
      <c r="H95" s="86"/>
      <c r="I95" s="13">
        <v>0</v>
      </c>
    </row>
    <row r="96" spans="1:9" ht="15.75" customHeight="1">
      <c r="A96" s="32">
        <v>29</v>
      </c>
      <c r="B96" s="51" t="s">
        <v>268</v>
      </c>
      <c r="C96" s="52" t="s">
        <v>208</v>
      </c>
      <c r="D96" s="197"/>
      <c r="E96" s="198"/>
      <c r="F96" s="198">
        <v>1</v>
      </c>
      <c r="G96" s="198">
        <v>1862.42</v>
      </c>
      <c r="H96" s="86"/>
      <c r="I96" s="13">
        <f>G96*1</f>
        <v>1862.42</v>
      </c>
    </row>
    <row r="97" spans="1:9" ht="15.75" customHeight="1">
      <c r="A97" s="32"/>
      <c r="B97" s="45" t="s">
        <v>51</v>
      </c>
      <c r="C97" s="41"/>
      <c r="D97" s="48"/>
      <c r="E97" s="41">
        <v>1</v>
      </c>
      <c r="F97" s="41"/>
      <c r="G97" s="41"/>
      <c r="H97" s="41"/>
      <c r="I97" s="34">
        <f>SUM(I89:I96)</f>
        <v>8657.33</v>
      </c>
    </row>
    <row r="98" spans="1:9">
      <c r="A98" s="32"/>
      <c r="B98" s="47" t="s">
        <v>77</v>
      </c>
      <c r="C98" s="15"/>
      <c r="D98" s="15"/>
      <c r="E98" s="42"/>
      <c r="F98" s="42"/>
      <c r="G98" s="43"/>
      <c r="H98" s="43"/>
      <c r="I98" s="17">
        <v>0</v>
      </c>
    </row>
    <row r="99" spans="1:9">
      <c r="A99" s="49"/>
      <c r="B99" s="46" t="s">
        <v>157</v>
      </c>
      <c r="C99" s="35"/>
      <c r="D99" s="35"/>
      <c r="E99" s="35"/>
      <c r="F99" s="35"/>
      <c r="G99" s="35"/>
      <c r="H99" s="35"/>
      <c r="I99" s="44">
        <f>I87+I97</f>
        <v>127973.95110253336</v>
      </c>
    </row>
    <row r="100" spans="1:9" ht="15.75">
      <c r="A100" s="222" t="s">
        <v>354</v>
      </c>
      <c r="B100" s="222"/>
      <c r="C100" s="222"/>
      <c r="D100" s="222"/>
      <c r="E100" s="222"/>
      <c r="F100" s="222"/>
      <c r="G100" s="222"/>
      <c r="H100" s="222"/>
      <c r="I100" s="222"/>
    </row>
    <row r="101" spans="1:9" ht="15.75" customHeight="1">
      <c r="A101" s="58"/>
      <c r="B101" s="223" t="s">
        <v>355</v>
      </c>
      <c r="C101" s="223"/>
      <c r="D101" s="223"/>
      <c r="E101" s="223"/>
      <c r="F101" s="223"/>
      <c r="G101" s="223"/>
      <c r="H101" s="70"/>
      <c r="I101" s="3"/>
    </row>
    <row r="102" spans="1:9">
      <c r="A102" s="64"/>
      <c r="B102" s="224" t="s">
        <v>6</v>
      </c>
      <c r="C102" s="224"/>
      <c r="D102" s="224"/>
      <c r="E102" s="224"/>
      <c r="F102" s="224"/>
      <c r="G102" s="224"/>
      <c r="H102" s="27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25" t="s">
        <v>7</v>
      </c>
      <c r="B104" s="225"/>
      <c r="C104" s="225"/>
      <c r="D104" s="225"/>
      <c r="E104" s="225"/>
      <c r="F104" s="225"/>
      <c r="G104" s="225"/>
      <c r="H104" s="225"/>
      <c r="I104" s="225"/>
    </row>
    <row r="105" spans="1:9" ht="15.75">
      <c r="A105" s="225" t="s">
        <v>8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15.75">
      <c r="A106" s="226" t="s">
        <v>60</v>
      </c>
      <c r="B106" s="226"/>
      <c r="C106" s="226"/>
      <c r="D106" s="226"/>
      <c r="E106" s="226"/>
      <c r="F106" s="226"/>
      <c r="G106" s="226"/>
      <c r="H106" s="226"/>
      <c r="I106" s="226"/>
    </row>
    <row r="107" spans="1:9" ht="15.75">
      <c r="A107" s="11"/>
    </row>
    <row r="108" spans="1:9" ht="15.75">
      <c r="A108" s="227" t="s">
        <v>9</v>
      </c>
      <c r="B108" s="227"/>
      <c r="C108" s="227"/>
      <c r="D108" s="227"/>
      <c r="E108" s="227"/>
      <c r="F108" s="227"/>
      <c r="G108" s="227"/>
      <c r="H108" s="227"/>
      <c r="I108" s="227"/>
    </row>
    <row r="109" spans="1:9" ht="15.75" customHeight="1">
      <c r="A109" s="4"/>
    </row>
    <row r="110" spans="1:9" ht="15.75" customHeight="1">
      <c r="B110" s="61" t="s">
        <v>10</v>
      </c>
      <c r="C110" s="228" t="s">
        <v>134</v>
      </c>
      <c r="D110" s="228"/>
      <c r="E110" s="228"/>
      <c r="F110" s="68"/>
      <c r="I110" s="63"/>
    </row>
    <row r="111" spans="1:9" ht="15.75" customHeight="1">
      <c r="A111" s="64"/>
      <c r="C111" s="224" t="s">
        <v>11</v>
      </c>
      <c r="D111" s="224"/>
      <c r="E111" s="224"/>
      <c r="F111" s="27"/>
      <c r="I111" s="62" t="s">
        <v>12</v>
      </c>
    </row>
    <row r="112" spans="1:9" ht="15.75" customHeight="1">
      <c r="A112" s="28"/>
      <c r="C112" s="12"/>
      <c r="D112" s="12"/>
      <c r="G112" s="12"/>
      <c r="H112" s="12"/>
    </row>
    <row r="113" spans="1:9" ht="15.75">
      <c r="B113" s="61" t="s">
        <v>13</v>
      </c>
      <c r="C113" s="229"/>
      <c r="D113" s="229"/>
      <c r="E113" s="229"/>
      <c r="F113" s="69"/>
      <c r="I113" s="63"/>
    </row>
    <row r="114" spans="1:9">
      <c r="A114" s="64"/>
      <c r="C114" s="218" t="s">
        <v>11</v>
      </c>
      <c r="D114" s="218"/>
      <c r="E114" s="218"/>
      <c r="F114" s="64"/>
      <c r="I114" s="62" t="s">
        <v>12</v>
      </c>
    </row>
    <row r="115" spans="1:9" ht="15.75">
      <c r="A115" s="4" t="s">
        <v>14</v>
      </c>
    </row>
    <row r="116" spans="1:9">
      <c r="A116" s="233" t="s">
        <v>15</v>
      </c>
      <c r="B116" s="233"/>
      <c r="C116" s="233"/>
      <c r="D116" s="233"/>
      <c r="E116" s="233"/>
      <c r="F116" s="233"/>
      <c r="G116" s="233"/>
      <c r="H116" s="233"/>
      <c r="I116" s="233"/>
    </row>
    <row r="117" spans="1:9" ht="45" customHeight="1">
      <c r="A117" s="234" t="s">
        <v>16</v>
      </c>
      <c r="B117" s="234"/>
      <c r="C117" s="234"/>
      <c r="D117" s="234"/>
      <c r="E117" s="234"/>
      <c r="F117" s="234"/>
      <c r="G117" s="234"/>
      <c r="H117" s="234"/>
      <c r="I117" s="234"/>
    </row>
    <row r="118" spans="1:9" ht="30" customHeight="1">
      <c r="A118" s="234" t="s">
        <v>17</v>
      </c>
      <c r="B118" s="234"/>
      <c r="C118" s="234"/>
      <c r="D118" s="234"/>
      <c r="E118" s="234"/>
      <c r="F118" s="234"/>
      <c r="G118" s="234"/>
      <c r="H118" s="234"/>
      <c r="I118" s="234"/>
    </row>
    <row r="119" spans="1:9" ht="30" customHeight="1">
      <c r="A119" s="234" t="s">
        <v>21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15" customHeight="1">
      <c r="A120" s="234" t="s">
        <v>20</v>
      </c>
      <c r="B120" s="234"/>
      <c r="C120" s="234"/>
      <c r="D120" s="234"/>
      <c r="E120" s="234"/>
      <c r="F120" s="234"/>
      <c r="G120" s="234"/>
      <c r="H120" s="234"/>
      <c r="I120" s="234"/>
    </row>
  </sheetData>
  <autoFilter ref="I12:I59"/>
  <mergeCells count="29">
    <mergeCell ref="R64:U64"/>
    <mergeCell ref="A84:I84"/>
    <mergeCell ref="A3:I3"/>
    <mergeCell ref="A4:I4"/>
    <mergeCell ref="A5:I5"/>
    <mergeCell ref="A8:I8"/>
    <mergeCell ref="A10:I10"/>
    <mergeCell ref="A14:I14"/>
    <mergeCell ref="A106:I106"/>
    <mergeCell ref="A15:I15"/>
    <mergeCell ref="A27:I27"/>
    <mergeCell ref="A44:I44"/>
    <mergeCell ref="A55:I55"/>
    <mergeCell ref="A88:I88"/>
    <mergeCell ref="A100:I100"/>
    <mergeCell ref="B101:G101"/>
    <mergeCell ref="B102:G102"/>
    <mergeCell ref="A104:I104"/>
    <mergeCell ref="A105:I10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2"/>
  <sheetViews>
    <sheetView topLeftCell="A87" workbookViewId="0">
      <selection activeCell="I103" sqref="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152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271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44043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.7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196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.7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5</v>
      </c>
      <c r="B29" s="111" t="s">
        <v>104</v>
      </c>
      <c r="C29" s="112" t="s">
        <v>87</v>
      </c>
      <c r="D29" s="111" t="s">
        <v>195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6</v>
      </c>
      <c r="B30" s="111" t="s">
        <v>120</v>
      </c>
      <c r="C30" s="112" t="s">
        <v>87</v>
      </c>
      <c r="D30" s="111" t="s">
        <v>194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7</v>
      </c>
      <c r="B32" s="111" t="s">
        <v>119</v>
      </c>
      <c r="C32" s="112" t="s">
        <v>39</v>
      </c>
      <c r="D32" s="111" t="s">
        <v>199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3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3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141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15" t="s">
        <v>137</v>
      </c>
      <c r="B44" s="216"/>
      <c r="C44" s="216"/>
      <c r="D44" s="216"/>
      <c r="E44" s="216"/>
      <c r="F44" s="216"/>
      <c r="G44" s="216"/>
      <c r="H44" s="216"/>
      <c r="I44" s="217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5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5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5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5"/>
        <v>5.6732994999999988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17</v>
      </c>
      <c r="B49" s="71" t="s">
        <v>55</v>
      </c>
      <c r="C49" s="72" t="s">
        <v>87</v>
      </c>
      <c r="D49" s="71" t="s">
        <v>145</v>
      </c>
      <c r="E49" s="73">
        <v>3988</v>
      </c>
      <c r="F49" s="74">
        <f>SUM(E49*5/1000)</f>
        <v>19.940000000000001</v>
      </c>
      <c r="G49" s="13">
        <v>1142.7</v>
      </c>
      <c r="H49" s="75">
        <f t="shared" si="5"/>
        <v>22.785438000000003</v>
      </c>
      <c r="I49" s="13">
        <f>F49/5*G49</f>
        <v>4557.0876000000007</v>
      </c>
      <c r="J49" s="26"/>
      <c r="L49" s="19"/>
      <c r="M49" s="20"/>
      <c r="N49" s="21"/>
    </row>
    <row r="50" spans="1:22" ht="31.5" hidden="1" customHeight="1">
      <c r="A50" s="32">
        <v>14</v>
      </c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5"/>
        <v>9.6792748</v>
      </c>
      <c r="I50" s="13">
        <f>F50/2*G50</f>
        <v>4839.6373999999996</v>
      </c>
      <c r="J50" s="26"/>
      <c r="L50" s="19"/>
      <c r="M50" s="20"/>
      <c r="N50" s="21"/>
    </row>
    <row r="51" spans="1:22" ht="31.5" hidden="1" customHeight="1">
      <c r="A51" s="32">
        <v>15</v>
      </c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f>F51/2*G51</f>
        <v>819.14699999999993</v>
      </c>
      <c r="J51" s="26"/>
      <c r="L51" s="19"/>
      <c r="M51" s="20"/>
      <c r="N51" s="21"/>
    </row>
    <row r="52" spans="1:22" ht="15.75" hidden="1" customHeight="1">
      <c r="A52" s="32"/>
      <c r="B52" s="71" t="s">
        <v>38</v>
      </c>
      <c r="C52" s="72" t="s">
        <v>39</v>
      </c>
      <c r="D52" s="71" t="s">
        <v>42</v>
      </c>
      <c r="E52" s="73">
        <v>1</v>
      </c>
      <c r="F52" s="74">
        <v>0.02</v>
      </c>
      <c r="G52" s="13">
        <v>5652.13</v>
      </c>
      <c r="H52" s="75">
        <f t="shared" si="5"/>
        <v>0.11304260000000001</v>
      </c>
      <c r="I52" s="13">
        <v>0</v>
      </c>
      <c r="J52" s="26"/>
      <c r="L52" s="19"/>
      <c r="M52" s="20"/>
      <c r="N52" s="21"/>
    </row>
    <row r="53" spans="1:22" ht="15.75" hidden="1" customHeight="1">
      <c r="A53" s="32">
        <v>18</v>
      </c>
      <c r="B53" s="71" t="s">
        <v>41</v>
      </c>
      <c r="C53" s="72" t="s">
        <v>106</v>
      </c>
      <c r="D53" s="71" t="s">
        <v>69</v>
      </c>
      <c r="E53" s="73">
        <v>236</v>
      </c>
      <c r="F53" s="74">
        <f>SUM(E53)*3</f>
        <v>708</v>
      </c>
      <c r="G53" s="13">
        <v>65.67</v>
      </c>
      <c r="H53" s="75">
        <f t="shared" si="5"/>
        <v>46.49436</v>
      </c>
      <c r="I53" s="13">
        <f>E53*G53</f>
        <v>15498.12</v>
      </c>
      <c r="J53" s="26"/>
      <c r="L53" s="19"/>
      <c r="M53" s="20"/>
      <c r="N53" s="21"/>
    </row>
    <row r="54" spans="1:22" ht="15.75" customHeight="1">
      <c r="A54" s="119">
        <v>8</v>
      </c>
      <c r="B54" s="111" t="s">
        <v>172</v>
      </c>
      <c r="C54" s="112" t="s">
        <v>106</v>
      </c>
      <c r="D54" s="111" t="s">
        <v>204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15" t="s">
        <v>138</v>
      </c>
      <c r="B55" s="216"/>
      <c r="C55" s="216"/>
      <c r="D55" s="216"/>
      <c r="E55" s="216"/>
      <c r="F55" s="216"/>
      <c r="G55" s="216"/>
      <c r="H55" s="216"/>
      <c r="I55" s="217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9</v>
      </c>
      <c r="B62" s="80" t="s">
        <v>132</v>
      </c>
      <c r="C62" s="81" t="s">
        <v>25</v>
      </c>
      <c r="D62" s="80" t="s">
        <v>204</v>
      </c>
      <c r="E62" s="82">
        <v>394</v>
      </c>
      <c r="F62" s="85">
        <v>2400</v>
      </c>
      <c r="G62" s="66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141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32">
        <v>10</v>
      </c>
      <c r="B64" s="153" t="s">
        <v>46</v>
      </c>
      <c r="C64" s="154" t="s">
        <v>106</v>
      </c>
      <c r="D64" s="39" t="s">
        <v>272</v>
      </c>
      <c r="E64" s="17">
        <v>12</v>
      </c>
      <c r="F64" s="147">
        <v>12</v>
      </c>
      <c r="G64" s="36">
        <v>303.35000000000002</v>
      </c>
      <c r="H64" s="86">
        <f t="shared" ref="H64:H81" si="6">SUM(F64*G64/1000)</f>
        <v>3.6402000000000001</v>
      </c>
      <c r="I64" s="13">
        <f>G64*3</f>
        <v>910.05000000000007</v>
      </c>
      <c r="J64" s="5"/>
      <c r="K64" s="5"/>
      <c r="L64" s="5"/>
      <c r="M64" s="5"/>
      <c r="N64" s="5"/>
      <c r="O64" s="5"/>
      <c r="P64" s="5"/>
      <c r="Q64" s="5"/>
      <c r="R64" s="218"/>
      <c r="S64" s="218"/>
      <c r="T64" s="218"/>
      <c r="U64" s="218"/>
    </row>
    <row r="65" spans="1:21" ht="15.75" hidden="1" customHeight="1">
      <c r="A65" s="32">
        <v>25</v>
      </c>
      <c r="B65" s="153" t="s">
        <v>47</v>
      </c>
      <c r="C65" s="154" t="s">
        <v>106</v>
      </c>
      <c r="D65" s="39" t="s">
        <v>167</v>
      </c>
      <c r="E65" s="17">
        <v>7</v>
      </c>
      <c r="F65" s="147">
        <v>7</v>
      </c>
      <c r="G65" s="36">
        <v>104.01</v>
      </c>
      <c r="H65" s="86">
        <f t="shared" si="6"/>
        <v>0.72806999999999999</v>
      </c>
      <c r="I65" s="13">
        <f>G65</f>
        <v>104.01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2">
        <v>11</v>
      </c>
      <c r="B66" s="153" t="s">
        <v>48</v>
      </c>
      <c r="C66" s="165" t="s">
        <v>108</v>
      </c>
      <c r="D66" s="39"/>
      <c r="E66" s="146">
        <v>17600</v>
      </c>
      <c r="F66" s="37">
        <f>SUM(E66/100)</f>
        <v>176</v>
      </c>
      <c r="G66" s="36">
        <v>289.37</v>
      </c>
      <c r="H66" s="86">
        <f t="shared" si="6"/>
        <v>50.929120000000005</v>
      </c>
      <c r="I66" s="13">
        <f>F66*G66</f>
        <v>50929.120000000003</v>
      </c>
    </row>
    <row r="67" spans="1:21" ht="15.75" customHeight="1">
      <c r="A67" s="32">
        <v>12</v>
      </c>
      <c r="B67" s="153" t="s">
        <v>49</v>
      </c>
      <c r="C67" s="154" t="s">
        <v>109</v>
      </c>
      <c r="D67" s="39"/>
      <c r="E67" s="146">
        <v>17600</v>
      </c>
      <c r="F67" s="36">
        <f>SUM(E67/1000)</f>
        <v>17.600000000000001</v>
      </c>
      <c r="G67" s="36">
        <v>225.35</v>
      </c>
      <c r="H67" s="86">
        <f t="shared" si="6"/>
        <v>3.9661600000000004</v>
      </c>
      <c r="I67" s="13">
        <f t="shared" ref="I67:I71" si="7">F67*G67</f>
        <v>3966.1600000000003</v>
      </c>
    </row>
    <row r="68" spans="1:21" ht="15.75" customHeight="1">
      <c r="A68" s="32">
        <v>13</v>
      </c>
      <c r="B68" s="153" t="s">
        <v>50</v>
      </c>
      <c r="C68" s="154" t="s">
        <v>75</v>
      </c>
      <c r="D68" s="39"/>
      <c r="E68" s="146">
        <v>4150</v>
      </c>
      <c r="F68" s="36">
        <f>SUM(E68/100)</f>
        <v>41.5</v>
      </c>
      <c r="G68" s="36">
        <v>2829.78</v>
      </c>
      <c r="H68" s="86">
        <f t="shared" si="6"/>
        <v>117.43587000000001</v>
      </c>
      <c r="I68" s="13">
        <f t="shared" si="7"/>
        <v>117435.87000000001</v>
      </c>
    </row>
    <row r="69" spans="1:21" ht="15.75" customHeight="1">
      <c r="A69" s="32">
        <v>14</v>
      </c>
      <c r="B69" s="180" t="s">
        <v>110</v>
      </c>
      <c r="C69" s="154" t="s">
        <v>33</v>
      </c>
      <c r="D69" s="39"/>
      <c r="E69" s="146">
        <v>13</v>
      </c>
      <c r="F69" s="36">
        <f>SUM(E69)</f>
        <v>13</v>
      </c>
      <c r="G69" s="36">
        <v>44.31</v>
      </c>
      <c r="H69" s="86">
        <f t="shared" si="6"/>
        <v>0.57602999999999993</v>
      </c>
      <c r="I69" s="13">
        <f t="shared" si="7"/>
        <v>576.03</v>
      </c>
    </row>
    <row r="70" spans="1:21" ht="15.75" customHeight="1">
      <c r="A70" s="32">
        <v>15</v>
      </c>
      <c r="B70" s="180" t="s">
        <v>111</v>
      </c>
      <c r="C70" s="154" t="s">
        <v>33</v>
      </c>
      <c r="D70" s="39"/>
      <c r="E70" s="146">
        <v>13</v>
      </c>
      <c r="F70" s="36">
        <f>SUM(E70)</f>
        <v>13</v>
      </c>
      <c r="G70" s="36">
        <v>47.79</v>
      </c>
      <c r="H70" s="86">
        <f t="shared" si="6"/>
        <v>0.62126999999999999</v>
      </c>
      <c r="I70" s="13">
        <f t="shared" si="7"/>
        <v>621.27</v>
      </c>
    </row>
    <row r="71" spans="1:21" ht="15.75" hidden="1" customHeight="1">
      <c r="A71" s="32"/>
      <c r="B71" s="39" t="s">
        <v>56</v>
      </c>
      <c r="C71" s="154" t="s">
        <v>57</v>
      </c>
      <c r="D71" s="39" t="s">
        <v>53</v>
      </c>
      <c r="E71" s="17">
        <v>3</v>
      </c>
      <c r="F71" s="147">
        <v>3</v>
      </c>
      <c r="G71" s="36">
        <v>68.040000000000006</v>
      </c>
      <c r="H71" s="86">
        <f t="shared" si="6"/>
        <v>0.20412</v>
      </c>
      <c r="I71" s="13">
        <f t="shared" si="7"/>
        <v>204.12</v>
      </c>
    </row>
    <row r="72" spans="1:21" ht="15.75" customHeight="1">
      <c r="A72" s="32"/>
      <c r="B72" s="173" t="s">
        <v>176</v>
      </c>
      <c r="C72" s="154"/>
      <c r="D72" s="39"/>
      <c r="E72" s="17"/>
      <c r="F72" s="109"/>
      <c r="G72" s="36"/>
      <c r="H72" s="86"/>
      <c r="I72" s="13"/>
    </row>
    <row r="73" spans="1:21" ht="32.25" customHeight="1">
      <c r="A73" s="32">
        <v>16</v>
      </c>
      <c r="B73" s="39" t="s">
        <v>177</v>
      </c>
      <c r="C73" s="156" t="s">
        <v>178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5.75" customHeight="1">
      <c r="A74" s="32"/>
      <c r="B74" s="59" t="s">
        <v>70</v>
      </c>
      <c r="C74" s="16"/>
      <c r="D74" s="14"/>
      <c r="E74" s="18"/>
      <c r="F74" s="13"/>
      <c r="G74" s="13"/>
      <c r="H74" s="86" t="s">
        <v>141</v>
      </c>
      <c r="I74" s="13"/>
    </row>
    <row r="75" spans="1:21" ht="15.75" hidden="1" customHeight="1">
      <c r="A75" s="32">
        <v>17</v>
      </c>
      <c r="B75" s="39" t="s">
        <v>71</v>
      </c>
      <c r="C75" s="154" t="s">
        <v>73</v>
      </c>
      <c r="D75" s="39" t="s">
        <v>144</v>
      </c>
      <c r="E75" s="17">
        <v>7</v>
      </c>
      <c r="F75" s="36">
        <f>E75/10</f>
        <v>0.7</v>
      </c>
      <c r="G75" s="36">
        <v>684.19</v>
      </c>
      <c r="H75" s="86">
        <f t="shared" si="6"/>
        <v>0.478933</v>
      </c>
      <c r="I75" s="13">
        <f>G75*0.1</f>
        <v>68.419000000000011</v>
      </c>
    </row>
    <row r="76" spans="1:21" ht="15.75" hidden="1" customHeight="1">
      <c r="A76" s="32">
        <v>18</v>
      </c>
      <c r="B76" s="39" t="s">
        <v>181</v>
      </c>
      <c r="C76" s="154" t="s">
        <v>180</v>
      </c>
      <c r="D76" s="39" t="s">
        <v>144</v>
      </c>
      <c r="E76" s="17">
        <v>4</v>
      </c>
      <c r="F76" s="36">
        <v>4</v>
      </c>
      <c r="G76" s="36">
        <v>136.19999999999999</v>
      </c>
      <c r="H76" s="86"/>
      <c r="I76" s="13">
        <f>G76*1</f>
        <v>136.19999999999999</v>
      </c>
    </row>
    <row r="77" spans="1:21" ht="15.75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15.7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30" customHeight="1">
      <c r="A79" s="32">
        <v>17</v>
      </c>
      <c r="B79" s="39" t="s">
        <v>183</v>
      </c>
      <c r="C79" s="154" t="s">
        <v>106</v>
      </c>
      <c r="D79" s="39" t="s">
        <v>203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15.75" hidden="1" customHeight="1">
      <c r="A80" s="32"/>
      <c r="B80" s="89" t="s">
        <v>74</v>
      </c>
      <c r="C80" s="16"/>
      <c r="D80" s="14"/>
      <c r="E80" s="18"/>
      <c r="F80" s="13"/>
      <c r="G80" s="13" t="s">
        <v>141</v>
      </c>
      <c r="H80" s="86" t="s">
        <v>141</v>
      </c>
      <c r="I80" s="13"/>
    </row>
    <row r="81" spans="1:9" ht="15.75" hidden="1" customHeight="1">
      <c r="A81" s="32"/>
      <c r="B81" s="47" t="s">
        <v>146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6"/>
        <v>3.311328</v>
      </c>
      <c r="I81" s="13">
        <v>0</v>
      </c>
    </row>
    <row r="82" spans="1:9" ht="15.75" hidden="1" customHeight="1">
      <c r="A82" s="32"/>
      <c r="B82" s="65" t="s">
        <v>91</v>
      </c>
      <c r="C82" s="65"/>
      <c r="D82" s="65"/>
      <c r="E82" s="65"/>
      <c r="F82" s="65"/>
      <c r="G82" s="77"/>
      <c r="H82" s="90">
        <f>SUM(H57:H81)</f>
        <v>201.40668390000002</v>
      </c>
      <c r="I82" s="77"/>
    </row>
    <row r="83" spans="1:9" ht="15.75" hidden="1" customHeight="1">
      <c r="A83" s="32"/>
      <c r="B83" s="94" t="s">
        <v>112</v>
      </c>
      <c r="C83" s="23"/>
      <c r="D83" s="22"/>
      <c r="E83" s="67"/>
      <c r="F83" s="95">
        <v>1</v>
      </c>
      <c r="G83" s="13">
        <v>23072.1</v>
      </c>
      <c r="H83" s="86">
        <f>G83*F83/1000</f>
        <v>23.072099999999999</v>
      </c>
      <c r="I83" s="13">
        <v>0</v>
      </c>
    </row>
    <row r="84" spans="1:9" ht="15.75" customHeight="1">
      <c r="A84" s="219" t="s">
        <v>139</v>
      </c>
      <c r="B84" s="220"/>
      <c r="C84" s="220"/>
      <c r="D84" s="220"/>
      <c r="E84" s="220"/>
      <c r="F84" s="220"/>
      <c r="G84" s="220"/>
      <c r="H84" s="220"/>
      <c r="I84" s="221"/>
    </row>
    <row r="85" spans="1:9" ht="15.75" customHeight="1">
      <c r="A85" s="32">
        <v>18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19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I86+I85+I79+I73+I70+I69+I68+I67+I66+I64+I62+I54+I32+I30+I29+I26+I18+I17+I16</f>
        <v>288948.67033453332</v>
      </c>
    </row>
    <row r="88" spans="1:9" ht="15.75" customHeight="1">
      <c r="A88" s="230" t="s">
        <v>59</v>
      </c>
      <c r="B88" s="231"/>
      <c r="C88" s="231"/>
      <c r="D88" s="231"/>
      <c r="E88" s="231"/>
      <c r="F88" s="231"/>
      <c r="G88" s="231"/>
      <c r="H88" s="231"/>
      <c r="I88" s="232"/>
    </row>
    <row r="89" spans="1:9" ht="34.5" customHeight="1">
      <c r="A89" s="32">
        <v>20</v>
      </c>
      <c r="B89" s="51" t="s">
        <v>190</v>
      </c>
      <c r="C89" s="52" t="s">
        <v>144</v>
      </c>
      <c r="D89" s="197" t="s">
        <v>275</v>
      </c>
      <c r="E89" s="198"/>
      <c r="F89" s="198">
        <v>3</v>
      </c>
      <c r="G89" s="198">
        <v>670.51</v>
      </c>
      <c r="H89" s="86">
        <f>G89*F89/1000</f>
        <v>2.01153</v>
      </c>
      <c r="I89" s="13">
        <f>G89*1</f>
        <v>670.51</v>
      </c>
    </row>
    <row r="90" spans="1:9" ht="32.25" customHeight="1">
      <c r="A90" s="32">
        <v>21</v>
      </c>
      <c r="B90" s="51" t="s">
        <v>215</v>
      </c>
      <c r="C90" s="52" t="s">
        <v>163</v>
      </c>
      <c r="D90" s="197" t="s">
        <v>274</v>
      </c>
      <c r="E90" s="198"/>
      <c r="F90" s="198">
        <v>18</v>
      </c>
      <c r="G90" s="198">
        <v>1523.6</v>
      </c>
      <c r="H90" s="86"/>
      <c r="I90" s="13">
        <f>G90*2</f>
        <v>3047.2</v>
      </c>
    </row>
    <row r="91" spans="1:9" ht="29.25" customHeight="1">
      <c r="A91" s="32">
        <v>22</v>
      </c>
      <c r="B91" s="51" t="s">
        <v>216</v>
      </c>
      <c r="C91" s="52" t="s">
        <v>163</v>
      </c>
      <c r="D91" s="197" t="s">
        <v>274</v>
      </c>
      <c r="E91" s="198"/>
      <c r="F91" s="198">
        <v>3</v>
      </c>
      <c r="G91" s="198">
        <v>1421.68</v>
      </c>
      <c r="H91" s="86"/>
      <c r="I91" s="13">
        <f>G91*2</f>
        <v>2843.36</v>
      </c>
    </row>
    <row r="92" spans="1:9" ht="27.75" customHeight="1">
      <c r="A92" s="32">
        <v>23</v>
      </c>
      <c r="B92" s="51" t="s">
        <v>142</v>
      </c>
      <c r="C92" s="52" t="s">
        <v>143</v>
      </c>
      <c r="D92" s="197" t="s">
        <v>276</v>
      </c>
      <c r="E92" s="198"/>
      <c r="F92" s="198">
        <v>2</v>
      </c>
      <c r="G92" s="198">
        <v>61.58</v>
      </c>
      <c r="H92" s="86"/>
      <c r="I92" s="13">
        <f>G92*1</f>
        <v>61.58</v>
      </c>
    </row>
    <row r="93" spans="1:9" ht="15.75" customHeight="1">
      <c r="A93" s="32">
        <v>24</v>
      </c>
      <c r="B93" s="201" t="s">
        <v>273</v>
      </c>
      <c r="C93" s="202" t="s">
        <v>252</v>
      </c>
      <c r="D93" s="197" t="s">
        <v>277</v>
      </c>
      <c r="E93" s="198"/>
      <c r="F93" s="198">
        <f>0.5/3</f>
        <v>0.16666666666666666</v>
      </c>
      <c r="G93" s="198">
        <v>1274.19</v>
      </c>
      <c r="H93" s="86"/>
      <c r="I93" s="13">
        <f>G93*0.5/3</f>
        <v>212.36500000000001</v>
      </c>
    </row>
    <row r="94" spans="1:9" ht="15.75" customHeight="1">
      <c r="A94" s="32">
        <v>25</v>
      </c>
      <c r="B94" s="51" t="s">
        <v>80</v>
      </c>
      <c r="C94" s="52" t="s">
        <v>106</v>
      </c>
      <c r="D94" s="197"/>
      <c r="E94" s="198"/>
      <c r="F94" s="198">
        <v>2</v>
      </c>
      <c r="G94" s="198">
        <v>215.85</v>
      </c>
      <c r="H94" s="86"/>
      <c r="I94" s="13">
        <f>G94*1</f>
        <v>215.85</v>
      </c>
    </row>
    <row r="95" spans="1:9" ht="15.75" customHeight="1">
      <c r="A95" s="32">
        <v>26</v>
      </c>
      <c r="B95" s="51" t="s">
        <v>279</v>
      </c>
      <c r="C95" s="52" t="s">
        <v>106</v>
      </c>
      <c r="D95" s="197" t="s">
        <v>280</v>
      </c>
      <c r="E95" s="198"/>
      <c r="F95" s="198">
        <v>1</v>
      </c>
      <c r="G95" s="198">
        <v>90</v>
      </c>
      <c r="H95" s="86"/>
      <c r="I95" s="13">
        <v>0</v>
      </c>
    </row>
    <row r="96" spans="1:9" ht="51.75" customHeight="1">
      <c r="A96" s="32">
        <v>27</v>
      </c>
      <c r="B96" s="51" t="s">
        <v>222</v>
      </c>
      <c r="C96" s="52" t="s">
        <v>82</v>
      </c>
      <c r="D96" s="199" t="s">
        <v>281</v>
      </c>
      <c r="E96" s="198"/>
      <c r="F96" s="198">
        <v>13</v>
      </c>
      <c r="G96" s="198">
        <v>222.63</v>
      </c>
      <c r="H96" s="86"/>
      <c r="I96" s="13">
        <f>G96*3</f>
        <v>667.89</v>
      </c>
    </row>
    <row r="97" spans="1:9" ht="18" customHeight="1">
      <c r="A97" s="32">
        <v>28</v>
      </c>
      <c r="B97" s="51" t="s">
        <v>232</v>
      </c>
      <c r="C97" s="52" t="s">
        <v>163</v>
      </c>
      <c r="D97" s="197" t="s">
        <v>356</v>
      </c>
      <c r="E97" s="198"/>
      <c r="F97" s="198">
        <v>65</v>
      </c>
      <c r="G97" s="198">
        <v>284</v>
      </c>
      <c r="H97" s="86"/>
      <c r="I97" s="13">
        <v>0</v>
      </c>
    </row>
    <row r="98" spans="1:9" ht="18" customHeight="1">
      <c r="A98" s="32">
        <v>29</v>
      </c>
      <c r="B98" s="51" t="s">
        <v>185</v>
      </c>
      <c r="C98" s="52" t="s">
        <v>186</v>
      </c>
      <c r="D98" s="197"/>
      <c r="E98" s="198"/>
      <c r="F98" s="198">
        <v>3</v>
      </c>
      <c r="G98" s="198">
        <v>227</v>
      </c>
      <c r="H98" s="86"/>
      <c r="I98" s="13">
        <f>G98*1</f>
        <v>227</v>
      </c>
    </row>
    <row r="99" spans="1:9" ht="15.75" customHeight="1">
      <c r="A99" s="32"/>
      <c r="B99" s="45" t="s">
        <v>51</v>
      </c>
      <c r="C99" s="41"/>
      <c r="D99" s="48"/>
      <c r="E99" s="41">
        <v>1</v>
      </c>
      <c r="F99" s="41"/>
      <c r="G99" s="41"/>
      <c r="H99" s="41"/>
      <c r="I99" s="34">
        <f>SUM(I89:I98)</f>
        <v>7945.7550000000001</v>
      </c>
    </row>
    <row r="100" spans="1:9">
      <c r="A100" s="32"/>
      <c r="B100" s="47" t="s">
        <v>77</v>
      </c>
      <c r="C100" s="15"/>
      <c r="D100" s="15"/>
      <c r="E100" s="42"/>
      <c r="F100" s="42"/>
      <c r="G100" s="43"/>
      <c r="H100" s="43"/>
      <c r="I100" s="17">
        <v>0</v>
      </c>
    </row>
    <row r="101" spans="1:9">
      <c r="A101" s="49"/>
      <c r="B101" s="46" t="s">
        <v>157</v>
      </c>
      <c r="C101" s="35"/>
      <c r="D101" s="35"/>
      <c r="E101" s="35"/>
      <c r="F101" s="35"/>
      <c r="G101" s="35"/>
      <c r="H101" s="35"/>
      <c r="I101" s="44">
        <f>I87+I99</f>
        <v>296894.42533453333</v>
      </c>
    </row>
    <row r="102" spans="1:9" ht="15.75">
      <c r="A102" s="222" t="s">
        <v>357</v>
      </c>
      <c r="B102" s="222"/>
      <c r="C102" s="222"/>
      <c r="D102" s="222"/>
      <c r="E102" s="222"/>
      <c r="F102" s="222"/>
      <c r="G102" s="222"/>
      <c r="H102" s="222"/>
      <c r="I102" s="222"/>
    </row>
    <row r="103" spans="1:9" ht="15.75" customHeight="1">
      <c r="A103" s="58"/>
      <c r="B103" s="223" t="s">
        <v>358</v>
      </c>
      <c r="C103" s="223"/>
      <c r="D103" s="223"/>
      <c r="E103" s="223"/>
      <c r="F103" s="223"/>
      <c r="G103" s="223"/>
      <c r="H103" s="70"/>
      <c r="I103" s="3"/>
    </row>
    <row r="104" spans="1:9">
      <c r="A104" s="64"/>
      <c r="B104" s="224" t="s">
        <v>6</v>
      </c>
      <c r="C104" s="224"/>
      <c r="D104" s="224"/>
      <c r="E104" s="224"/>
      <c r="F104" s="224"/>
      <c r="G104" s="224"/>
      <c r="H104" s="27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225" t="s">
        <v>7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>
      <c r="A107" s="225" t="s">
        <v>8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>
      <c r="A108" s="226" t="s">
        <v>60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11"/>
    </row>
    <row r="110" spans="1:9" ht="15.75">
      <c r="A110" s="227" t="s">
        <v>9</v>
      </c>
      <c r="B110" s="227"/>
      <c r="C110" s="227"/>
      <c r="D110" s="227"/>
      <c r="E110" s="227"/>
      <c r="F110" s="227"/>
      <c r="G110" s="227"/>
      <c r="H110" s="227"/>
      <c r="I110" s="227"/>
    </row>
    <row r="111" spans="1:9" ht="15.75" customHeight="1">
      <c r="A111" s="4"/>
    </row>
    <row r="112" spans="1:9" ht="15.75" customHeight="1">
      <c r="B112" s="61" t="s">
        <v>10</v>
      </c>
      <c r="C112" s="228" t="s">
        <v>134</v>
      </c>
      <c r="D112" s="228"/>
      <c r="E112" s="228"/>
      <c r="F112" s="68"/>
      <c r="I112" s="63"/>
    </row>
    <row r="113" spans="1:9" ht="15.75" customHeight="1">
      <c r="A113" s="64"/>
      <c r="C113" s="224" t="s">
        <v>11</v>
      </c>
      <c r="D113" s="224"/>
      <c r="E113" s="224"/>
      <c r="F113" s="27"/>
      <c r="I113" s="62" t="s">
        <v>12</v>
      </c>
    </row>
    <row r="114" spans="1:9" ht="15.75" customHeight="1">
      <c r="A114" s="28"/>
      <c r="C114" s="12"/>
      <c r="D114" s="12"/>
      <c r="G114" s="12"/>
      <c r="H114" s="12"/>
    </row>
    <row r="115" spans="1:9" ht="15.75">
      <c r="B115" s="61" t="s">
        <v>13</v>
      </c>
      <c r="C115" s="229"/>
      <c r="D115" s="229"/>
      <c r="E115" s="229"/>
      <c r="F115" s="69"/>
      <c r="I115" s="63"/>
    </row>
    <row r="116" spans="1:9">
      <c r="A116" s="64"/>
      <c r="C116" s="218" t="s">
        <v>11</v>
      </c>
      <c r="D116" s="218"/>
      <c r="E116" s="218"/>
      <c r="F116" s="64"/>
      <c r="I116" s="62" t="s">
        <v>12</v>
      </c>
    </row>
    <row r="117" spans="1:9" ht="15.75">
      <c r="A117" s="4" t="s">
        <v>14</v>
      </c>
    </row>
    <row r="118" spans="1:9">
      <c r="A118" s="233" t="s">
        <v>15</v>
      </c>
      <c r="B118" s="233"/>
      <c r="C118" s="233"/>
      <c r="D118" s="233"/>
      <c r="E118" s="233"/>
      <c r="F118" s="233"/>
      <c r="G118" s="233"/>
      <c r="H118" s="233"/>
      <c r="I118" s="233"/>
    </row>
    <row r="119" spans="1:9" ht="45" customHeight="1">
      <c r="A119" s="234" t="s">
        <v>16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30" customHeight="1">
      <c r="A120" s="234" t="s">
        <v>17</v>
      </c>
      <c r="B120" s="234"/>
      <c r="C120" s="234"/>
      <c r="D120" s="234"/>
      <c r="E120" s="234"/>
      <c r="F120" s="234"/>
      <c r="G120" s="234"/>
      <c r="H120" s="234"/>
      <c r="I120" s="234"/>
    </row>
    <row r="121" spans="1:9" ht="30" customHeight="1">
      <c r="A121" s="234" t="s">
        <v>21</v>
      </c>
      <c r="B121" s="234"/>
      <c r="C121" s="234"/>
      <c r="D121" s="234"/>
      <c r="E121" s="234"/>
      <c r="F121" s="234"/>
      <c r="G121" s="234"/>
      <c r="H121" s="234"/>
      <c r="I121" s="234"/>
    </row>
    <row r="122" spans="1:9" ht="15" customHeight="1">
      <c r="A122" s="234" t="s">
        <v>20</v>
      </c>
      <c r="B122" s="234"/>
      <c r="C122" s="234"/>
      <c r="D122" s="234"/>
      <c r="E122" s="234"/>
      <c r="F122" s="234"/>
      <c r="G122" s="234"/>
      <c r="H122" s="234"/>
      <c r="I122" s="234"/>
    </row>
  </sheetData>
  <autoFilter ref="I12:I59"/>
  <mergeCells count="29">
    <mergeCell ref="R64:U64"/>
    <mergeCell ref="A84:I84"/>
    <mergeCell ref="A3:I3"/>
    <mergeCell ref="A4:I4"/>
    <mergeCell ref="A5:I5"/>
    <mergeCell ref="A8:I8"/>
    <mergeCell ref="A10:I10"/>
    <mergeCell ref="A14:I14"/>
    <mergeCell ref="A108:I108"/>
    <mergeCell ref="A15:I15"/>
    <mergeCell ref="A27:I27"/>
    <mergeCell ref="A44:I44"/>
    <mergeCell ref="A55:I55"/>
    <mergeCell ref="A88:I88"/>
    <mergeCell ref="A102:I102"/>
    <mergeCell ref="B103:G103"/>
    <mergeCell ref="B104:G104"/>
    <mergeCell ref="A106:I106"/>
    <mergeCell ref="A107:I10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7"/>
  <sheetViews>
    <sheetView topLeftCell="A81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153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282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44074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.7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196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5</v>
      </c>
      <c r="B29" s="111" t="s">
        <v>104</v>
      </c>
      <c r="C29" s="112" t="s">
        <v>87</v>
      </c>
      <c r="D29" s="111" t="s">
        <v>195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6</v>
      </c>
      <c r="B30" s="111" t="s">
        <v>120</v>
      </c>
      <c r="C30" s="112" t="s">
        <v>87</v>
      </c>
      <c r="D30" s="111" t="s">
        <v>194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7</v>
      </c>
      <c r="B32" s="111" t="s">
        <v>119</v>
      </c>
      <c r="C32" s="112" t="s">
        <v>39</v>
      </c>
      <c r="D32" s="111" t="s">
        <v>199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3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3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141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15" t="s">
        <v>137</v>
      </c>
      <c r="B44" s="216"/>
      <c r="C44" s="216"/>
      <c r="D44" s="216"/>
      <c r="E44" s="216"/>
      <c r="F44" s="216"/>
      <c r="G44" s="216"/>
      <c r="H44" s="216"/>
      <c r="I44" s="217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5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5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5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5"/>
        <v>5.6732994999999988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17</v>
      </c>
      <c r="B49" s="71" t="s">
        <v>55</v>
      </c>
      <c r="C49" s="72" t="s">
        <v>87</v>
      </c>
      <c r="D49" s="71" t="s">
        <v>145</v>
      </c>
      <c r="E49" s="73">
        <v>3988</v>
      </c>
      <c r="F49" s="74">
        <f>SUM(E49*5/1000)</f>
        <v>19.940000000000001</v>
      </c>
      <c r="G49" s="13">
        <v>1142.7</v>
      </c>
      <c r="H49" s="75">
        <f t="shared" si="5"/>
        <v>22.785438000000003</v>
      </c>
      <c r="I49" s="13">
        <f>F49/5*G49</f>
        <v>4557.0876000000007</v>
      </c>
      <c r="J49" s="26"/>
      <c r="L49" s="19"/>
      <c r="M49" s="20"/>
      <c r="N49" s="21"/>
    </row>
    <row r="50" spans="1:22" ht="31.5" hidden="1" customHeight="1">
      <c r="A50" s="32"/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5"/>
        <v>9.6792748</v>
      </c>
      <c r="I50" s="13">
        <v>0</v>
      </c>
      <c r="J50" s="26"/>
      <c r="L50" s="19"/>
      <c r="M50" s="20"/>
      <c r="N50" s="21"/>
    </row>
    <row r="51" spans="1:22" ht="31.5" hidden="1" customHeight="1">
      <c r="A51" s="32"/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v>0</v>
      </c>
      <c r="J51" s="26"/>
      <c r="L51" s="19"/>
      <c r="M51" s="20"/>
      <c r="N51" s="21"/>
    </row>
    <row r="52" spans="1:22" ht="15.75" hidden="1" customHeight="1">
      <c r="A52" s="32"/>
      <c r="B52" s="71" t="s">
        <v>38</v>
      </c>
      <c r="C52" s="72" t="s">
        <v>39</v>
      </c>
      <c r="D52" s="71" t="s">
        <v>42</v>
      </c>
      <c r="E52" s="73">
        <v>1</v>
      </c>
      <c r="F52" s="74">
        <v>0.02</v>
      </c>
      <c r="G52" s="13">
        <v>5652.13</v>
      </c>
      <c r="H52" s="75">
        <f t="shared" si="5"/>
        <v>0.11304260000000001</v>
      </c>
      <c r="I52" s="13">
        <v>0</v>
      </c>
      <c r="J52" s="26"/>
      <c r="L52" s="19"/>
      <c r="M52" s="20"/>
      <c r="N52" s="21"/>
    </row>
    <row r="53" spans="1:22" ht="15.75" hidden="1" customHeight="1">
      <c r="A53" s="32">
        <v>14</v>
      </c>
      <c r="B53" s="71" t="s">
        <v>41</v>
      </c>
      <c r="C53" s="72" t="s">
        <v>106</v>
      </c>
      <c r="D53" s="71" t="s">
        <v>69</v>
      </c>
      <c r="E53" s="73">
        <v>236</v>
      </c>
      <c r="F53" s="74">
        <f>SUM(E53)*3</f>
        <v>708</v>
      </c>
      <c r="G53" s="13">
        <v>65.67</v>
      </c>
      <c r="H53" s="75">
        <f t="shared" si="5"/>
        <v>46.49436</v>
      </c>
      <c r="I53" s="13">
        <f>E53*G53</f>
        <v>15498.12</v>
      </c>
      <c r="J53" s="26"/>
      <c r="L53" s="19"/>
      <c r="M53" s="20"/>
      <c r="N53" s="21"/>
    </row>
    <row r="54" spans="1:22" ht="15.75" customHeight="1">
      <c r="A54" s="119">
        <v>8</v>
      </c>
      <c r="B54" s="111" t="s">
        <v>172</v>
      </c>
      <c r="C54" s="112" t="s">
        <v>106</v>
      </c>
      <c r="D54" s="111" t="s">
        <v>204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15" t="s">
        <v>138</v>
      </c>
      <c r="B55" s="216"/>
      <c r="C55" s="216"/>
      <c r="D55" s="216"/>
      <c r="E55" s="216"/>
      <c r="F55" s="216"/>
      <c r="G55" s="216"/>
      <c r="H55" s="216"/>
      <c r="I55" s="217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hidden="1" customHeight="1">
      <c r="A60" s="32">
        <v>9</v>
      </c>
      <c r="B60" s="105" t="s">
        <v>174</v>
      </c>
      <c r="C60" s="106" t="s">
        <v>175</v>
      </c>
      <c r="D60" s="105" t="s">
        <v>209</v>
      </c>
      <c r="E60" s="107"/>
      <c r="F60" s="110">
        <v>5</v>
      </c>
      <c r="G60" s="36">
        <v>1645</v>
      </c>
      <c r="H60" s="84"/>
      <c r="I60" s="13">
        <f>G60*3</f>
        <v>4935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9</v>
      </c>
      <c r="B63" s="80" t="s">
        <v>132</v>
      </c>
      <c r="C63" s="81" t="s">
        <v>25</v>
      </c>
      <c r="D63" s="80" t="s">
        <v>30</v>
      </c>
      <c r="E63" s="82">
        <v>394</v>
      </c>
      <c r="F63" s="85">
        <v>2400</v>
      </c>
      <c r="G63" s="66">
        <v>1.4</v>
      </c>
      <c r="H63" s="83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93" t="s">
        <v>45</v>
      </c>
      <c r="C64" s="81"/>
      <c r="D64" s="80"/>
      <c r="E64" s="82"/>
      <c r="F64" s="85"/>
      <c r="G64" s="85"/>
      <c r="H64" s="83" t="s">
        <v>141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10</v>
      </c>
      <c r="B65" s="153" t="s">
        <v>46</v>
      </c>
      <c r="C65" s="154" t="s">
        <v>106</v>
      </c>
      <c r="D65" s="39" t="s">
        <v>297</v>
      </c>
      <c r="E65" s="17">
        <v>12</v>
      </c>
      <c r="F65" s="147">
        <v>12</v>
      </c>
      <c r="G65" s="36">
        <v>303.35000000000002</v>
      </c>
      <c r="H65" s="86">
        <f t="shared" ref="H65" si="6">SUM(F65*G65/1000)</f>
        <v>3.6402000000000001</v>
      </c>
      <c r="I65" s="13">
        <f>G65*2</f>
        <v>606.70000000000005</v>
      </c>
      <c r="J65" s="5"/>
      <c r="K65" s="5"/>
      <c r="L65" s="5"/>
      <c r="M65" s="5"/>
      <c r="N65" s="5"/>
      <c r="O65" s="5"/>
      <c r="P65" s="5"/>
      <c r="Q65" s="5"/>
      <c r="R65" s="218"/>
      <c r="S65" s="218"/>
      <c r="T65" s="218"/>
      <c r="U65" s="218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ref="H66:H78" si="7">SUM(F66*G66/1000)</f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7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7"/>
        <v>4.4505465599999994</v>
      </c>
      <c r="I68" s="13">
        <f t="shared" ref="I68:I72" si="8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7"/>
        <v>94.395665000000008</v>
      </c>
      <c r="I69" s="13">
        <f t="shared" si="8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7"/>
        <v>2.6512199999999999</v>
      </c>
      <c r="I70" s="13">
        <f t="shared" si="8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7"/>
        <v>2.4733800000000001</v>
      </c>
      <c r="I71" s="13">
        <f t="shared" si="8"/>
        <v>2473.38</v>
      </c>
    </row>
    <row r="72" spans="1:21" ht="15.7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7"/>
        <v>0.24940000000000001</v>
      </c>
      <c r="I72" s="13">
        <f t="shared" si="8"/>
        <v>249.4</v>
      </c>
    </row>
    <row r="73" spans="1:21" ht="15.75" hidden="1" customHeight="1">
      <c r="A73" s="32"/>
      <c r="B73" s="59" t="s">
        <v>70</v>
      </c>
      <c r="C73" s="16"/>
      <c r="D73" s="14"/>
      <c r="E73" s="18"/>
      <c r="F73" s="13"/>
      <c r="G73" s="13"/>
      <c r="H73" s="86" t="s">
        <v>141</v>
      </c>
      <c r="I73" s="13"/>
    </row>
    <row r="74" spans="1:21" ht="15.75" hidden="1" customHeight="1">
      <c r="A74" s="32">
        <v>17</v>
      </c>
      <c r="B74" s="14" t="s">
        <v>71</v>
      </c>
      <c r="C74" s="16" t="s">
        <v>73</v>
      </c>
      <c r="D74" s="14"/>
      <c r="E74" s="18">
        <v>10</v>
      </c>
      <c r="F74" s="13">
        <v>1</v>
      </c>
      <c r="G74" s="13">
        <v>501.62</v>
      </c>
      <c r="H74" s="86">
        <f t="shared" si="7"/>
        <v>0.50161999999999995</v>
      </c>
      <c r="I74" s="13">
        <f>G74*0.1</f>
        <v>50.162000000000006</v>
      </c>
    </row>
    <row r="75" spans="1:21" ht="15.75" hidden="1" customHeight="1">
      <c r="A75" s="32"/>
      <c r="B75" s="14" t="s">
        <v>72</v>
      </c>
      <c r="C75" s="16" t="s">
        <v>31</v>
      </c>
      <c r="D75" s="14"/>
      <c r="E75" s="18">
        <v>3</v>
      </c>
      <c r="F75" s="66">
        <v>3</v>
      </c>
      <c r="G75" s="13">
        <v>852.99</v>
      </c>
      <c r="H75" s="86">
        <f>F75*G75/1000</f>
        <v>2.5589700000000004</v>
      </c>
      <c r="I75" s="13">
        <v>0</v>
      </c>
    </row>
    <row r="76" spans="1:21" ht="15.75" hidden="1" customHeight="1">
      <c r="A76" s="32"/>
      <c r="B76" s="14" t="s">
        <v>113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86">
        <f>G76*F76/1000</f>
        <v>0.35851</v>
      </c>
      <c r="I76" s="13">
        <v>0</v>
      </c>
    </row>
    <row r="77" spans="1:21" ht="15.75" hidden="1" customHeight="1">
      <c r="A77" s="32"/>
      <c r="B77" s="89" t="s">
        <v>74</v>
      </c>
      <c r="C77" s="16"/>
      <c r="D77" s="14"/>
      <c r="E77" s="18"/>
      <c r="F77" s="13"/>
      <c r="G77" s="13" t="s">
        <v>141</v>
      </c>
      <c r="H77" s="86" t="s">
        <v>141</v>
      </c>
      <c r="I77" s="13"/>
    </row>
    <row r="78" spans="1:21" ht="15.75" hidden="1" customHeight="1">
      <c r="A78" s="32"/>
      <c r="B78" s="47" t="s">
        <v>146</v>
      </c>
      <c r="C78" s="16" t="s">
        <v>75</v>
      </c>
      <c r="D78" s="14"/>
      <c r="E78" s="18"/>
      <c r="F78" s="13">
        <v>1.2</v>
      </c>
      <c r="G78" s="13">
        <v>2759.44</v>
      </c>
      <c r="H78" s="86">
        <f t="shared" si="7"/>
        <v>3.311328</v>
      </c>
      <c r="I78" s="13">
        <v>0</v>
      </c>
    </row>
    <row r="79" spans="1:21" ht="15.75" hidden="1" customHeight="1">
      <c r="A79" s="32"/>
      <c r="B79" s="65" t="s">
        <v>91</v>
      </c>
      <c r="C79" s="65"/>
      <c r="D79" s="65"/>
      <c r="E79" s="65"/>
      <c r="F79" s="65"/>
      <c r="G79" s="77"/>
      <c r="H79" s="90">
        <f>SUM(H57:H78)</f>
        <v>189.10164405999998</v>
      </c>
      <c r="I79" s="77"/>
    </row>
    <row r="80" spans="1:21" ht="15.75" hidden="1" customHeight="1">
      <c r="A80" s="32"/>
      <c r="B80" s="94" t="s">
        <v>112</v>
      </c>
      <c r="C80" s="23"/>
      <c r="D80" s="22"/>
      <c r="E80" s="67"/>
      <c r="F80" s="95">
        <v>1</v>
      </c>
      <c r="G80" s="13">
        <v>23072.1</v>
      </c>
      <c r="H80" s="86">
        <f>G80*F80/1000</f>
        <v>23.072099999999999</v>
      </c>
      <c r="I80" s="13">
        <v>0</v>
      </c>
    </row>
    <row r="81" spans="1:9" ht="15.75" customHeight="1">
      <c r="A81" s="190"/>
      <c r="B81" s="173" t="s">
        <v>176</v>
      </c>
      <c r="C81" s="154"/>
      <c r="D81" s="39"/>
      <c r="E81" s="17"/>
      <c r="F81" s="109"/>
      <c r="G81" s="36"/>
      <c r="H81" s="86"/>
      <c r="I81" s="13"/>
    </row>
    <row r="82" spans="1:9" ht="15.75" customHeight="1">
      <c r="A82" s="190">
        <v>11</v>
      </c>
      <c r="B82" s="39" t="s">
        <v>177</v>
      </c>
      <c r="C82" s="156" t="s">
        <v>178</v>
      </c>
      <c r="D82" s="39"/>
      <c r="E82" s="17">
        <v>6980.3</v>
      </c>
      <c r="F82" s="36">
        <f>E82*12</f>
        <v>83763.600000000006</v>
      </c>
      <c r="G82" s="36">
        <v>2.37</v>
      </c>
      <c r="H82" s="86"/>
      <c r="I82" s="13">
        <f>G82*F82/12</f>
        <v>16543.311000000002</v>
      </c>
    </row>
    <row r="83" spans="1:9" ht="15.75" customHeight="1">
      <c r="A83" s="190"/>
      <c r="B83" s="189" t="s">
        <v>70</v>
      </c>
      <c r="C83" s="194"/>
      <c r="D83" s="193"/>
      <c r="E83" s="195"/>
      <c r="F83" s="196"/>
      <c r="G83" s="196"/>
      <c r="H83" s="191"/>
      <c r="I83" s="192"/>
    </row>
    <row r="84" spans="1:9" ht="30.75" customHeight="1">
      <c r="A84" s="190">
        <v>12</v>
      </c>
      <c r="B84" s="39" t="s">
        <v>183</v>
      </c>
      <c r="C84" s="154" t="s">
        <v>106</v>
      </c>
      <c r="D84" s="39" t="s">
        <v>203</v>
      </c>
      <c r="E84" s="17">
        <v>2</v>
      </c>
      <c r="F84" s="36">
        <v>24</v>
      </c>
      <c r="G84" s="36">
        <v>55.55</v>
      </c>
      <c r="H84" s="86"/>
      <c r="I84" s="13">
        <f>G84*2</f>
        <v>111.1</v>
      </c>
    </row>
    <row r="85" spans="1:9" ht="15.75" customHeight="1">
      <c r="A85" s="219" t="s">
        <v>139</v>
      </c>
      <c r="B85" s="220"/>
      <c r="C85" s="220"/>
      <c r="D85" s="220"/>
      <c r="E85" s="220"/>
      <c r="F85" s="220"/>
      <c r="G85" s="220"/>
      <c r="H85" s="220"/>
      <c r="I85" s="221"/>
    </row>
    <row r="86" spans="1:9" ht="15.75" customHeight="1">
      <c r="A86" s="32">
        <v>13</v>
      </c>
      <c r="B86" s="111" t="s">
        <v>114</v>
      </c>
      <c r="C86" s="154" t="s">
        <v>54</v>
      </c>
      <c r="D86" s="50"/>
      <c r="E86" s="36">
        <v>6980.3</v>
      </c>
      <c r="F86" s="36">
        <f>SUM(E86*12)</f>
        <v>83763.600000000006</v>
      </c>
      <c r="G86" s="36">
        <v>3.22</v>
      </c>
      <c r="H86" s="86">
        <f>SUM(F86*G86/1000)</f>
        <v>269.71879200000001</v>
      </c>
      <c r="I86" s="13">
        <f>F86/12*G86</f>
        <v>22476.566000000003</v>
      </c>
    </row>
    <row r="87" spans="1:9" ht="31.5" customHeight="1">
      <c r="A87" s="32">
        <v>14</v>
      </c>
      <c r="B87" s="39" t="s">
        <v>76</v>
      </c>
      <c r="C87" s="154"/>
      <c r="D87" s="103"/>
      <c r="E87" s="146">
        <f>E86</f>
        <v>6980.3</v>
      </c>
      <c r="F87" s="36">
        <f>E87*12</f>
        <v>83763.600000000006</v>
      </c>
      <c r="G87" s="36">
        <v>3.64</v>
      </c>
      <c r="H87" s="86">
        <f>F87*G87/1000</f>
        <v>304.89950400000004</v>
      </c>
      <c r="I87" s="13">
        <f>F87/12*G87</f>
        <v>25408.292000000001</v>
      </c>
    </row>
    <row r="88" spans="1:9" ht="15.75" customHeight="1">
      <c r="A88" s="32"/>
      <c r="B88" s="40" t="s">
        <v>78</v>
      </c>
      <c r="C88" s="89"/>
      <c r="D88" s="88"/>
      <c r="E88" s="77"/>
      <c r="F88" s="77"/>
      <c r="G88" s="77"/>
      <c r="H88" s="90">
        <f>H87</f>
        <v>304.89950400000004</v>
      </c>
      <c r="I88" s="77">
        <f>I87+I86+I84+I82+I63+I54+I32+I30+I29+I26+I18+I17+I16+I65</f>
        <v>115116.87033453333</v>
      </c>
    </row>
    <row r="89" spans="1:9" ht="15.75" customHeight="1">
      <c r="A89" s="230" t="s">
        <v>59</v>
      </c>
      <c r="B89" s="231"/>
      <c r="C89" s="231"/>
      <c r="D89" s="231"/>
      <c r="E89" s="231"/>
      <c r="F89" s="231"/>
      <c r="G89" s="231"/>
      <c r="H89" s="231"/>
      <c r="I89" s="232"/>
    </row>
    <row r="90" spans="1:9" ht="35.25" customHeight="1">
      <c r="A90" s="32">
        <v>15</v>
      </c>
      <c r="B90" s="51" t="s">
        <v>247</v>
      </c>
      <c r="C90" s="52" t="s">
        <v>37</v>
      </c>
      <c r="D90" s="197"/>
      <c r="E90" s="198"/>
      <c r="F90" s="198">
        <v>0.03</v>
      </c>
      <c r="G90" s="198">
        <v>4070.89</v>
      </c>
      <c r="H90" s="86">
        <f t="shared" ref="H90" si="9">G90*F90/1000</f>
        <v>0.12212669999999999</v>
      </c>
      <c r="I90" s="13">
        <v>0</v>
      </c>
    </row>
    <row r="91" spans="1:9" ht="18" customHeight="1">
      <c r="A91" s="32">
        <v>16</v>
      </c>
      <c r="B91" s="51" t="s">
        <v>283</v>
      </c>
      <c r="C91" s="52" t="s">
        <v>284</v>
      </c>
      <c r="D91" s="197"/>
      <c r="E91" s="198"/>
      <c r="F91" s="198">
        <v>0.1</v>
      </c>
      <c r="G91" s="198">
        <v>667.05</v>
      </c>
      <c r="H91" s="102">
        <f>G91*F91/1000</f>
        <v>6.6705E-2</v>
      </c>
      <c r="I91" s="13">
        <f>G91*0.1</f>
        <v>66.704999999999998</v>
      </c>
    </row>
    <row r="92" spans="1:9" ht="18" customHeight="1">
      <c r="A92" s="32">
        <v>17</v>
      </c>
      <c r="B92" s="51" t="s">
        <v>222</v>
      </c>
      <c r="C92" s="52" t="s">
        <v>82</v>
      </c>
      <c r="D92" s="197" t="s">
        <v>285</v>
      </c>
      <c r="E92" s="198"/>
      <c r="F92" s="198">
        <v>14</v>
      </c>
      <c r="G92" s="198">
        <v>222.63</v>
      </c>
      <c r="H92" s="102"/>
      <c r="I92" s="13">
        <f>G92*1</f>
        <v>222.63</v>
      </c>
    </row>
    <row r="93" spans="1:9" ht="47.25" customHeight="1">
      <c r="A93" s="32">
        <v>18</v>
      </c>
      <c r="B93" s="51" t="s">
        <v>215</v>
      </c>
      <c r="C93" s="52" t="s">
        <v>163</v>
      </c>
      <c r="D93" s="199" t="s">
        <v>298</v>
      </c>
      <c r="E93" s="198"/>
      <c r="F93" s="198">
        <v>20</v>
      </c>
      <c r="G93" s="198">
        <v>1523.6</v>
      </c>
      <c r="H93" s="102"/>
      <c r="I93" s="13">
        <f>G93*5</f>
        <v>7618</v>
      </c>
    </row>
    <row r="94" spans="1:9" ht="15.75" customHeight="1">
      <c r="A94" s="32"/>
      <c r="B94" s="45" t="s">
        <v>51</v>
      </c>
      <c r="C94" s="41"/>
      <c r="D94" s="48"/>
      <c r="E94" s="41">
        <v>1</v>
      </c>
      <c r="F94" s="41"/>
      <c r="G94" s="41"/>
      <c r="H94" s="41"/>
      <c r="I94" s="34">
        <f>SUM(I90:I93)</f>
        <v>7907.335</v>
      </c>
    </row>
    <row r="95" spans="1:9">
      <c r="A95" s="32"/>
      <c r="B95" s="47" t="s">
        <v>77</v>
      </c>
      <c r="C95" s="15"/>
      <c r="D95" s="15"/>
      <c r="E95" s="42"/>
      <c r="F95" s="42"/>
      <c r="G95" s="43"/>
      <c r="H95" s="43"/>
      <c r="I95" s="17">
        <v>0</v>
      </c>
    </row>
    <row r="96" spans="1:9">
      <c r="A96" s="49"/>
      <c r="B96" s="46" t="s">
        <v>157</v>
      </c>
      <c r="C96" s="35"/>
      <c r="D96" s="35"/>
      <c r="E96" s="35"/>
      <c r="F96" s="35"/>
      <c r="G96" s="35"/>
      <c r="H96" s="35"/>
      <c r="I96" s="44">
        <f>I88+I94</f>
        <v>123024.20533453334</v>
      </c>
    </row>
    <row r="97" spans="1:9" ht="15.75">
      <c r="A97" s="222" t="s">
        <v>359</v>
      </c>
      <c r="B97" s="222"/>
      <c r="C97" s="222"/>
      <c r="D97" s="222"/>
      <c r="E97" s="222"/>
      <c r="F97" s="222"/>
      <c r="G97" s="222"/>
      <c r="H97" s="222"/>
      <c r="I97" s="222"/>
    </row>
    <row r="98" spans="1:9" ht="15.75" customHeight="1">
      <c r="A98" s="58"/>
      <c r="B98" s="223" t="s">
        <v>360</v>
      </c>
      <c r="C98" s="223"/>
      <c r="D98" s="223"/>
      <c r="E98" s="223"/>
      <c r="F98" s="223"/>
      <c r="G98" s="223"/>
      <c r="H98" s="70"/>
      <c r="I98" s="3"/>
    </row>
    <row r="99" spans="1:9">
      <c r="A99" s="64"/>
      <c r="B99" s="224" t="s">
        <v>6</v>
      </c>
      <c r="C99" s="224"/>
      <c r="D99" s="224"/>
      <c r="E99" s="224"/>
      <c r="F99" s="224"/>
      <c r="G99" s="224"/>
      <c r="H99" s="27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225" t="s">
        <v>7</v>
      </c>
      <c r="B101" s="225"/>
      <c r="C101" s="225"/>
      <c r="D101" s="225"/>
      <c r="E101" s="225"/>
      <c r="F101" s="225"/>
      <c r="G101" s="225"/>
      <c r="H101" s="225"/>
      <c r="I101" s="225"/>
    </row>
    <row r="102" spans="1:9" ht="15.75">
      <c r="A102" s="225" t="s">
        <v>8</v>
      </c>
      <c r="B102" s="225"/>
      <c r="C102" s="225"/>
      <c r="D102" s="225"/>
      <c r="E102" s="225"/>
      <c r="F102" s="225"/>
      <c r="G102" s="225"/>
      <c r="H102" s="225"/>
      <c r="I102" s="225"/>
    </row>
    <row r="103" spans="1:9" ht="15.75">
      <c r="A103" s="226" t="s">
        <v>60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15.75">
      <c r="A104" s="11"/>
    </row>
    <row r="105" spans="1:9" ht="15.75">
      <c r="A105" s="227" t="s">
        <v>9</v>
      </c>
      <c r="B105" s="227"/>
      <c r="C105" s="227"/>
      <c r="D105" s="227"/>
      <c r="E105" s="227"/>
      <c r="F105" s="227"/>
      <c r="G105" s="227"/>
      <c r="H105" s="227"/>
      <c r="I105" s="227"/>
    </row>
    <row r="106" spans="1:9" ht="15.75" customHeight="1">
      <c r="A106" s="4"/>
    </row>
    <row r="107" spans="1:9" ht="15.75" customHeight="1">
      <c r="B107" s="61" t="s">
        <v>10</v>
      </c>
      <c r="C107" s="228" t="s">
        <v>134</v>
      </c>
      <c r="D107" s="228"/>
      <c r="E107" s="228"/>
      <c r="F107" s="68"/>
      <c r="I107" s="63"/>
    </row>
    <row r="108" spans="1:9" ht="15.75" customHeight="1">
      <c r="A108" s="64"/>
      <c r="C108" s="224" t="s">
        <v>11</v>
      </c>
      <c r="D108" s="224"/>
      <c r="E108" s="224"/>
      <c r="F108" s="27"/>
      <c r="I108" s="62" t="s">
        <v>12</v>
      </c>
    </row>
    <row r="109" spans="1:9" ht="15.75" customHeight="1">
      <c r="A109" s="28"/>
      <c r="C109" s="12"/>
      <c r="D109" s="12"/>
      <c r="G109" s="12"/>
      <c r="H109" s="12"/>
    </row>
    <row r="110" spans="1:9" ht="15.75">
      <c r="B110" s="61" t="s">
        <v>13</v>
      </c>
      <c r="C110" s="229"/>
      <c r="D110" s="229"/>
      <c r="E110" s="229"/>
      <c r="F110" s="69"/>
      <c r="I110" s="63"/>
    </row>
    <row r="111" spans="1:9">
      <c r="A111" s="64"/>
      <c r="C111" s="218" t="s">
        <v>11</v>
      </c>
      <c r="D111" s="218"/>
      <c r="E111" s="218"/>
      <c r="F111" s="64"/>
      <c r="I111" s="62" t="s">
        <v>12</v>
      </c>
    </row>
    <row r="112" spans="1:9" ht="15.75">
      <c r="A112" s="4" t="s">
        <v>14</v>
      </c>
    </row>
    <row r="113" spans="1:9">
      <c r="A113" s="233" t="s">
        <v>15</v>
      </c>
      <c r="B113" s="233"/>
      <c r="C113" s="233"/>
      <c r="D113" s="233"/>
      <c r="E113" s="233"/>
      <c r="F113" s="233"/>
      <c r="G113" s="233"/>
      <c r="H113" s="233"/>
      <c r="I113" s="233"/>
    </row>
    <row r="114" spans="1:9" ht="45" customHeight="1">
      <c r="A114" s="234" t="s">
        <v>16</v>
      </c>
      <c r="B114" s="234"/>
      <c r="C114" s="234"/>
      <c r="D114" s="234"/>
      <c r="E114" s="234"/>
      <c r="F114" s="234"/>
      <c r="G114" s="234"/>
      <c r="H114" s="234"/>
      <c r="I114" s="234"/>
    </row>
    <row r="115" spans="1:9" ht="30" customHeight="1">
      <c r="A115" s="234" t="s">
        <v>17</v>
      </c>
      <c r="B115" s="234"/>
      <c r="C115" s="234"/>
      <c r="D115" s="234"/>
      <c r="E115" s="234"/>
      <c r="F115" s="234"/>
      <c r="G115" s="234"/>
      <c r="H115" s="234"/>
      <c r="I115" s="234"/>
    </row>
    <row r="116" spans="1:9" ht="30" customHeight="1">
      <c r="A116" s="234" t="s">
        <v>21</v>
      </c>
      <c r="B116" s="234"/>
      <c r="C116" s="234"/>
      <c r="D116" s="234"/>
      <c r="E116" s="234"/>
      <c r="F116" s="234"/>
      <c r="G116" s="234"/>
      <c r="H116" s="234"/>
      <c r="I116" s="234"/>
    </row>
    <row r="117" spans="1:9" ht="15" customHeight="1">
      <c r="A117" s="234" t="s">
        <v>20</v>
      </c>
      <c r="B117" s="234"/>
      <c r="C117" s="234"/>
      <c r="D117" s="234"/>
      <c r="E117" s="234"/>
      <c r="F117" s="234"/>
      <c r="G117" s="234"/>
      <c r="H117" s="234"/>
      <c r="I117" s="234"/>
    </row>
  </sheetData>
  <autoFilter ref="I12:I59"/>
  <mergeCells count="29">
    <mergeCell ref="R65:U65"/>
    <mergeCell ref="A85:I85"/>
    <mergeCell ref="A3:I3"/>
    <mergeCell ref="A4:I4"/>
    <mergeCell ref="A5:I5"/>
    <mergeCell ref="A8:I8"/>
    <mergeCell ref="A10:I10"/>
    <mergeCell ref="A14:I14"/>
    <mergeCell ref="A103:I103"/>
    <mergeCell ref="A15:I15"/>
    <mergeCell ref="A27:I27"/>
    <mergeCell ref="A44:I44"/>
    <mergeCell ref="A55:I55"/>
    <mergeCell ref="A89:I89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1"/>
  <sheetViews>
    <sheetView topLeftCell="A87" workbookViewId="0">
      <selection activeCell="I104" sqref="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165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09" t="s">
        <v>154</v>
      </c>
      <c r="B3" s="209"/>
      <c r="C3" s="209"/>
      <c r="D3" s="209"/>
      <c r="E3" s="209"/>
      <c r="F3" s="209"/>
      <c r="G3" s="209"/>
      <c r="H3" s="209"/>
      <c r="I3" s="209"/>
      <c r="J3" s="3"/>
      <c r="K3" s="3"/>
      <c r="L3" s="3"/>
    </row>
    <row r="4" spans="1:13" ht="31.5" customHeight="1">
      <c r="A4" s="210" t="s">
        <v>133</v>
      </c>
      <c r="B4" s="210"/>
      <c r="C4" s="210"/>
      <c r="D4" s="210"/>
      <c r="E4" s="210"/>
      <c r="F4" s="210"/>
      <c r="G4" s="210"/>
      <c r="H4" s="210"/>
      <c r="I4" s="210"/>
    </row>
    <row r="5" spans="1:13" ht="15.75">
      <c r="A5" s="209" t="s">
        <v>287</v>
      </c>
      <c r="B5" s="211"/>
      <c r="C5" s="211"/>
      <c r="D5" s="211"/>
      <c r="E5" s="211"/>
      <c r="F5" s="211"/>
      <c r="G5" s="211"/>
      <c r="H5" s="211"/>
      <c r="I5" s="211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44104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12" t="s">
        <v>188</v>
      </c>
      <c r="B8" s="212"/>
      <c r="C8" s="212"/>
      <c r="D8" s="212"/>
      <c r="E8" s="212"/>
      <c r="F8" s="212"/>
      <c r="G8" s="212"/>
      <c r="H8" s="212"/>
      <c r="I8" s="21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13" t="s">
        <v>156</v>
      </c>
      <c r="B10" s="213"/>
      <c r="C10" s="213"/>
      <c r="D10" s="213"/>
      <c r="E10" s="213"/>
      <c r="F10" s="213"/>
      <c r="G10" s="213"/>
      <c r="H10" s="213"/>
      <c r="I10" s="213"/>
      <c r="J10" s="2"/>
      <c r="K10" s="2"/>
      <c r="L10" s="2"/>
      <c r="M10" s="2"/>
    </row>
    <row r="11" spans="1:13" ht="15.75" customHeight="1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8"/>
      <c r="K14" s="8"/>
      <c r="L14" s="8"/>
      <c r="M14" s="8"/>
    </row>
    <row r="15" spans="1:13" ht="15.75" customHeight="1">
      <c r="A15" s="214" t="s">
        <v>4</v>
      </c>
      <c r="B15" s="214"/>
      <c r="C15" s="214"/>
      <c r="D15" s="214"/>
      <c r="E15" s="214"/>
      <c r="F15" s="214"/>
      <c r="G15" s="214"/>
      <c r="H15" s="214"/>
      <c r="I15" s="214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194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195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196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11" t="s">
        <v>95</v>
      </c>
      <c r="C20" s="112" t="s">
        <v>85</v>
      </c>
      <c r="D20" s="111" t="s">
        <v>203</v>
      </c>
      <c r="E20" s="146">
        <v>30.6</v>
      </c>
      <c r="F20" s="147">
        <f>SUM(E20*2/100)</f>
        <v>0.61199999999999999</v>
      </c>
      <c r="G20" s="147">
        <v>297.19</v>
      </c>
      <c r="H20" s="75">
        <f t="shared" ref="H20:H21" si="1">SUM(F20*G20/1000)</f>
        <v>0.18188028000000001</v>
      </c>
      <c r="I20" s="13">
        <f>F20/2*G20</f>
        <v>90.94014</v>
      </c>
      <c r="J20" s="25"/>
      <c r="K20" s="8"/>
      <c r="L20" s="8"/>
      <c r="M20" s="8"/>
    </row>
    <row r="21" spans="1:13" ht="15.75" customHeight="1">
      <c r="A21" s="32">
        <v>5</v>
      </c>
      <c r="B21" s="111" t="s">
        <v>96</v>
      </c>
      <c r="C21" s="112" t="s">
        <v>85</v>
      </c>
      <c r="D21" s="111" t="s">
        <v>203</v>
      </c>
      <c r="E21" s="146">
        <v>10.06</v>
      </c>
      <c r="F21" s="147">
        <f>SUM(E21*2/100)</f>
        <v>0.20120000000000002</v>
      </c>
      <c r="G21" s="147">
        <v>294.77999999999997</v>
      </c>
      <c r="H21" s="75">
        <f t="shared" si="1"/>
        <v>5.9309736000000002E-2</v>
      </c>
      <c r="I21" s="13">
        <f>F21/2*G21</f>
        <v>29.654868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6</v>
      </c>
      <c r="B26" s="111" t="s">
        <v>193</v>
      </c>
      <c r="C26" s="112" t="s">
        <v>25</v>
      </c>
      <c r="D26" s="111" t="s">
        <v>197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.75" customHeight="1">
      <c r="A27" s="214" t="s">
        <v>83</v>
      </c>
      <c r="B27" s="214"/>
      <c r="C27" s="214"/>
      <c r="D27" s="214"/>
      <c r="E27" s="214"/>
      <c r="F27" s="214"/>
      <c r="G27" s="214"/>
      <c r="H27" s="214"/>
      <c r="I27" s="214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7</v>
      </c>
      <c r="B29" s="111" t="s">
        <v>104</v>
      </c>
      <c r="C29" s="112" t="s">
        <v>87</v>
      </c>
      <c r="D29" s="111" t="s">
        <v>195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2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8</v>
      </c>
      <c r="B30" s="111" t="s">
        <v>120</v>
      </c>
      <c r="C30" s="112" t="s">
        <v>87</v>
      </c>
      <c r="D30" s="111" t="s">
        <v>194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2"/>
        <v>4.2099571799999991</v>
      </c>
      <c r="I30" s="13">
        <f t="shared" ref="I30:I32" si="3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2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9</v>
      </c>
      <c r="B32" s="111" t="s">
        <v>119</v>
      </c>
      <c r="C32" s="112" t="s">
        <v>39</v>
      </c>
      <c r="D32" s="111" t="s">
        <v>199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3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4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4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141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5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5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5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5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5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.75" customHeight="1">
      <c r="A44" s="215" t="s">
        <v>137</v>
      </c>
      <c r="B44" s="216"/>
      <c r="C44" s="216"/>
      <c r="D44" s="216"/>
      <c r="E44" s="216"/>
      <c r="F44" s="216"/>
      <c r="G44" s="216"/>
      <c r="H44" s="216"/>
      <c r="I44" s="217"/>
      <c r="J44" s="26"/>
      <c r="L44" s="19"/>
      <c r="M44" s="20"/>
      <c r="N44" s="21"/>
    </row>
    <row r="45" spans="1:14" ht="15.75" customHeight="1">
      <c r="A45" s="32">
        <v>10</v>
      </c>
      <c r="B45" s="111" t="s">
        <v>126</v>
      </c>
      <c r="C45" s="112" t="s">
        <v>87</v>
      </c>
      <c r="D45" s="111" t="s">
        <v>203</v>
      </c>
      <c r="E45" s="146">
        <v>1895</v>
      </c>
      <c r="F45" s="147">
        <f>SUM(E45*2/1000)</f>
        <v>3.79</v>
      </c>
      <c r="G45" s="36">
        <v>1158.7</v>
      </c>
      <c r="H45" s="75">
        <f t="shared" ref="H45:H53" si="6">SUM(F45*G45/1000)</f>
        <v>4.3914729999999995</v>
      </c>
      <c r="I45" s="13">
        <f t="shared" ref="I45:I47" si="7">F45/2*G45</f>
        <v>2195.7365</v>
      </c>
      <c r="J45" s="26"/>
      <c r="L45" s="19"/>
      <c r="M45" s="20"/>
      <c r="N45" s="21"/>
    </row>
    <row r="46" spans="1:14" ht="15.75" customHeight="1">
      <c r="A46" s="32">
        <v>11</v>
      </c>
      <c r="B46" s="111" t="s">
        <v>34</v>
      </c>
      <c r="C46" s="112" t="s">
        <v>87</v>
      </c>
      <c r="D46" s="111" t="s">
        <v>203</v>
      </c>
      <c r="E46" s="146">
        <v>118.2</v>
      </c>
      <c r="F46" s="147">
        <f>E46*2/1000</f>
        <v>0.2364</v>
      </c>
      <c r="G46" s="36">
        <v>790.38</v>
      </c>
      <c r="H46" s="75">
        <f t="shared" si="6"/>
        <v>0.18684583199999999</v>
      </c>
      <c r="I46" s="13">
        <f t="shared" si="7"/>
        <v>93.422916000000001</v>
      </c>
      <c r="J46" s="26"/>
      <c r="L46" s="19"/>
      <c r="M46" s="20"/>
      <c r="N46" s="21"/>
    </row>
    <row r="47" spans="1:14" ht="15.75" customHeight="1">
      <c r="A47" s="32">
        <v>12</v>
      </c>
      <c r="B47" s="111" t="s">
        <v>35</v>
      </c>
      <c r="C47" s="112" t="s">
        <v>87</v>
      </c>
      <c r="D47" s="111" t="s">
        <v>203</v>
      </c>
      <c r="E47" s="146">
        <v>4675</v>
      </c>
      <c r="F47" s="147">
        <f>SUM(E47*2/1000)</f>
        <v>9.35</v>
      </c>
      <c r="G47" s="36">
        <v>790.38</v>
      </c>
      <c r="H47" s="75">
        <f t="shared" si="6"/>
        <v>7.390053</v>
      </c>
      <c r="I47" s="13">
        <f t="shared" si="7"/>
        <v>3695.0264999999999</v>
      </c>
      <c r="J47" s="26"/>
      <c r="L47" s="19"/>
      <c r="M47" s="20"/>
      <c r="N47" s="21"/>
    </row>
    <row r="48" spans="1:14" ht="15.75" customHeight="1">
      <c r="A48" s="32">
        <v>13</v>
      </c>
      <c r="B48" s="111" t="s">
        <v>36</v>
      </c>
      <c r="C48" s="112" t="s">
        <v>87</v>
      </c>
      <c r="D48" s="111" t="s">
        <v>203</v>
      </c>
      <c r="E48" s="146">
        <v>4675</v>
      </c>
      <c r="F48" s="147">
        <f>SUM(E48*2/1000)</f>
        <v>9.35</v>
      </c>
      <c r="G48" s="36">
        <v>827.65</v>
      </c>
      <c r="H48" s="75">
        <f t="shared" si="6"/>
        <v>7.7385274999999991</v>
      </c>
      <c r="I48" s="13">
        <f>F48/2*G48</f>
        <v>3869.2637499999996</v>
      </c>
      <c r="J48" s="26"/>
      <c r="L48" s="19"/>
      <c r="M48" s="20"/>
      <c r="N48" s="21"/>
    </row>
    <row r="49" spans="1:22" ht="15.75" customHeight="1">
      <c r="A49" s="32">
        <v>14</v>
      </c>
      <c r="B49" s="111" t="s">
        <v>55</v>
      </c>
      <c r="C49" s="112" t="s">
        <v>87</v>
      </c>
      <c r="D49" s="111" t="s">
        <v>203</v>
      </c>
      <c r="E49" s="146">
        <v>3988</v>
      </c>
      <c r="F49" s="147">
        <f>SUM(E49*5/1000)</f>
        <v>19.940000000000001</v>
      </c>
      <c r="G49" s="36">
        <v>1655.27</v>
      </c>
      <c r="H49" s="75">
        <f t="shared" si="6"/>
        <v>33.006083799999999</v>
      </c>
      <c r="I49" s="13">
        <f>F49/5*G49</f>
        <v>6601.2167600000002</v>
      </c>
      <c r="J49" s="26"/>
      <c r="L49" s="19"/>
      <c r="M49" s="20"/>
      <c r="N49" s="21"/>
    </row>
    <row r="50" spans="1:22" ht="31.5" customHeight="1">
      <c r="A50" s="32">
        <v>15</v>
      </c>
      <c r="B50" s="111" t="s">
        <v>89</v>
      </c>
      <c r="C50" s="112" t="s">
        <v>87</v>
      </c>
      <c r="D50" s="111" t="s">
        <v>203</v>
      </c>
      <c r="E50" s="146">
        <v>3988</v>
      </c>
      <c r="F50" s="147">
        <f>SUM(E50*2/1000)</f>
        <v>7.976</v>
      </c>
      <c r="G50" s="36">
        <v>1655.27</v>
      </c>
      <c r="H50" s="75">
        <f t="shared" si="6"/>
        <v>13.202433520000001</v>
      </c>
      <c r="I50" s="13">
        <f t="shared" ref="I50:I52" si="8">F50/2*G50</f>
        <v>6601.2167600000002</v>
      </c>
      <c r="J50" s="26"/>
      <c r="L50" s="19"/>
      <c r="M50" s="20"/>
      <c r="N50" s="21"/>
    </row>
    <row r="51" spans="1:22" ht="31.5" customHeight="1">
      <c r="A51" s="32">
        <v>16</v>
      </c>
      <c r="B51" s="111" t="s">
        <v>90</v>
      </c>
      <c r="C51" s="112" t="s">
        <v>37</v>
      </c>
      <c r="D51" s="111" t="s">
        <v>203</v>
      </c>
      <c r="E51" s="146">
        <v>30</v>
      </c>
      <c r="F51" s="147">
        <f>SUM(E51*2/100)</f>
        <v>0.6</v>
      </c>
      <c r="G51" s="36">
        <v>3724.37</v>
      </c>
      <c r="H51" s="75">
        <f>SUM(F51*G51/1000)</f>
        <v>2.2346219999999999</v>
      </c>
      <c r="I51" s="13">
        <f t="shared" si="8"/>
        <v>1117.3109999999999</v>
      </c>
      <c r="J51" s="26"/>
      <c r="L51" s="19"/>
      <c r="M51" s="20"/>
      <c r="N51" s="21"/>
    </row>
    <row r="52" spans="1:22" ht="15.75" customHeight="1">
      <c r="A52" s="32">
        <v>17</v>
      </c>
      <c r="B52" s="111" t="s">
        <v>38</v>
      </c>
      <c r="C52" s="112" t="s">
        <v>39</v>
      </c>
      <c r="D52" s="111" t="s">
        <v>203</v>
      </c>
      <c r="E52" s="146">
        <v>1</v>
      </c>
      <c r="F52" s="147">
        <v>0.02</v>
      </c>
      <c r="G52" s="36">
        <v>7709.44</v>
      </c>
      <c r="H52" s="75">
        <f t="shared" si="6"/>
        <v>0.15418879999999999</v>
      </c>
      <c r="I52" s="13">
        <f t="shared" si="8"/>
        <v>77.094399999999993</v>
      </c>
      <c r="J52" s="26"/>
      <c r="L52" s="19"/>
      <c r="M52" s="20"/>
      <c r="N52" s="21"/>
    </row>
    <row r="53" spans="1:22" ht="15.75" customHeight="1">
      <c r="A53" s="32">
        <v>18</v>
      </c>
      <c r="B53" s="111" t="s">
        <v>41</v>
      </c>
      <c r="C53" s="112" t="s">
        <v>106</v>
      </c>
      <c r="D53" s="188">
        <v>44077</v>
      </c>
      <c r="E53" s="146">
        <v>240</v>
      </c>
      <c r="F53" s="147">
        <f>SUM(E53)*1</f>
        <v>240</v>
      </c>
      <c r="G53" s="37">
        <v>89.59</v>
      </c>
      <c r="H53" s="75">
        <f t="shared" si="6"/>
        <v>21.501600000000003</v>
      </c>
      <c r="I53" s="13">
        <f>E53*G53/3</f>
        <v>7167.2000000000007</v>
      </c>
      <c r="J53" s="26"/>
      <c r="L53" s="19"/>
      <c r="M53" s="20"/>
      <c r="N53" s="21"/>
    </row>
    <row r="54" spans="1:22" ht="15.75" customHeight="1">
      <c r="A54" s="119">
        <v>19</v>
      </c>
      <c r="B54" s="111" t="s">
        <v>172</v>
      </c>
      <c r="C54" s="112" t="s">
        <v>106</v>
      </c>
      <c r="D54" s="111" t="s">
        <v>204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15" t="s">
        <v>138</v>
      </c>
      <c r="B55" s="216"/>
      <c r="C55" s="216"/>
      <c r="D55" s="216"/>
      <c r="E55" s="216"/>
      <c r="F55" s="216"/>
      <c r="G55" s="216"/>
      <c r="H55" s="216"/>
      <c r="I55" s="217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20</v>
      </c>
      <c r="B62" s="80" t="s">
        <v>132</v>
      </c>
      <c r="C62" s="81" t="s">
        <v>25</v>
      </c>
      <c r="D62" s="80" t="s">
        <v>204</v>
      </c>
      <c r="E62" s="82">
        <v>394</v>
      </c>
      <c r="F62" s="85">
        <v>2400</v>
      </c>
      <c r="G62" s="66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141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4.25" customHeight="1">
      <c r="A64" s="32">
        <v>21</v>
      </c>
      <c r="B64" s="153" t="s">
        <v>46</v>
      </c>
      <c r="C64" s="154" t="s">
        <v>106</v>
      </c>
      <c r="D64" s="39" t="s">
        <v>200</v>
      </c>
      <c r="E64" s="17">
        <v>12</v>
      </c>
      <c r="F64" s="147">
        <v>12</v>
      </c>
      <c r="G64" s="36">
        <v>303.35000000000002</v>
      </c>
      <c r="H64" s="86">
        <f t="shared" ref="H64:H78" si="9">SUM(F64*G64/1000)</f>
        <v>3.6402000000000001</v>
      </c>
      <c r="I64" s="13">
        <f>G64*6</f>
        <v>1820.1000000000001</v>
      </c>
      <c r="J64" s="5"/>
      <c r="K64" s="5"/>
      <c r="L64" s="5"/>
      <c r="M64" s="5"/>
      <c r="N64" s="5"/>
      <c r="O64" s="5"/>
      <c r="P64" s="5"/>
      <c r="Q64" s="5"/>
      <c r="R64" s="218"/>
      <c r="S64" s="218"/>
      <c r="T64" s="218"/>
      <c r="U64" s="218"/>
    </row>
    <row r="65" spans="1:21" ht="18" hidden="1" customHeight="1">
      <c r="A65" s="32">
        <v>25</v>
      </c>
      <c r="B65" s="14" t="s">
        <v>47</v>
      </c>
      <c r="C65" s="16" t="s">
        <v>106</v>
      </c>
      <c r="D65" s="71" t="s">
        <v>65</v>
      </c>
      <c r="E65" s="18">
        <v>10</v>
      </c>
      <c r="F65" s="74">
        <v>10</v>
      </c>
      <c r="G65" s="13">
        <v>76.25</v>
      </c>
      <c r="H65" s="86">
        <f t="shared" si="9"/>
        <v>0.76249999999999996</v>
      </c>
      <c r="I65" s="13">
        <f>G65</f>
        <v>76.25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9.5" hidden="1" customHeight="1">
      <c r="A66" s="32"/>
      <c r="B66" s="14" t="s">
        <v>48</v>
      </c>
      <c r="C66" s="16" t="s">
        <v>108</v>
      </c>
      <c r="D66" s="14" t="s">
        <v>53</v>
      </c>
      <c r="E66" s="73">
        <v>28608</v>
      </c>
      <c r="F66" s="13">
        <f>SUM(E66/100)</f>
        <v>286.08</v>
      </c>
      <c r="G66" s="13">
        <v>199.77</v>
      </c>
      <c r="H66" s="86">
        <f t="shared" si="9"/>
        <v>57.150201600000003</v>
      </c>
      <c r="I66" s="13">
        <f>F66*G66</f>
        <v>57150.2016</v>
      </c>
    </row>
    <row r="67" spans="1:21" ht="18.75" hidden="1" customHeight="1">
      <c r="A67" s="32"/>
      <c r="B67" s="14" t="s">
        <v>49</v>
      </c>
      <c r="C67" s="16" t="s">
        <v>109</v>
      </c>
      <c r="D67" s="14"/>
      <c r="E67" s="73">
        <v>28608</v>
      </c>
      <c r="F67" s="13">
        <f>SUM(E67/1000)</f>
        <v>28.608000000000001</v>
      </c>
      <c r="G67" s="13">
        <v>155.57</v>
      </c>
      <c r="H67" s="86">
        <f t="shared" si="9"/>
        <v>4.4505465599999994</v>
      </c>
      <c r="I67" s="13">
        <f t="shared" ref="I67:I71" si="10">F67*G67</f>
        <v>4450.5465599999998</v>
      </c>
    </row>
    <row r="68" spans="1:21" ht="19.5" hidden="1" customHeight="1">
      <c r="A68" s="32"/>
      <c r="B68" s="14" t="s">
        <v>50</v>
      </c>
      <c r="C68" s="16" t="s">
        <v>75</v>
      </c>
      <c r="D68" s="14" t="s">
        <v>53</v>
      </c>
      <c r="E68" s="73">
        <v>4550</v>
      </c>
      <c r="F68" s="13">
        <f>SUM(E68/100)</f>
        <v>45.5</v>
      </c>
      <c r="G68" s="13">
        <v>2074.63</v>
      </c>
      <c r="H68" s="86">
        <f t="shared" si="9"/>
        <v>94.395665000000008</v>
      </c>
      <c r="I68" s="13">
        <f t="shared" si="10"/>
        <v>94395.665000000008</v>
      </c>
    </row>
    <row r="69" spans="1:21" ht="18.75" hidden="1" customHeight="1">
      <c r="A69" s="32"/>
      <c r="B69" s="87" t="s">
        <v>110</v>
      </c>
      <c r="C69" s="16" t="s">
        <v>33</v>
      </c>
      <c r="D69" s="14"/>
      <c r="E69" s="73">
        <v>58.5</v>
      </c>
      <c r="F69" s="13">
        <f>SUM(E69)</f>
        <v>58.5</v>
      </c>
      <c r="G69" s="13">
        <v>45.32</v>
      </c>
      <c r="H69" s="86">
        <f t="shared" si="9"/>
        <v>2.6512199999999999</v>
      </c>
      <c r="I69" s="13">
        <f t="shared" si="10"/>
        <v>2651.22</v>
      </c>
    </row>
    <row r="70" spans="1:21" ht="16.5" hidden="1" customHeight="1">
      <c r="A70" s="32"/>
      <c r="B70" s="87" t="s">
        <v>111</v>
      </c>
      <c r="C70" s="16" t="s">
        <v>33</v>
      </c>
      <c r="D70" s="14"/>
      <c r="E70" s="73">
        <v>58.5</v>
      </c>
      <c r="F70" s="13">
        <f>SUM(E70)</f>
        <v>58.5</v>
      </c>
      <c r="G70" s="13">
        <v>42.28</v>
      </c>
      <c r="H70" s="86">
        <f t="shared" si="9"/>
        <v>2.4733800000000001</v>
      </c>
      <c r="I70" s="13">
        <f t="shared" si="10"/>
        <v>2473.38</v>
      </c>
    </row>
    <row r="71" spans="1:21" ht="15.75" customHeight="1">
      <c r="A71" s="32">
        <v>22</v>
      </c>
      <c r="B71" s="14" t="s">
        <v>56</v>
      </c>
      <c r="C71" s="16" t="s">
        <v>57</v>
      </c>
      <c r="D71" s="14" t="s">
        <v>204</v>
      </c>
      <c r="E71" s="18">
        <v>5</v>
      </c>
      <c r="F71" s="74">
        <v>3</v>
      </c>
      <c r="G71" s="125">
        <v>68.040000000000006</v>
      </c>
      <c r="H71" s="86">
        <f t="shared" si="9"/>
        <v>0.20412</v>
      </c>
      <c r="I71" s="13">
        <f t="shared" si="10"/>
        <v>204.12</v>
      </c>
    </row>
    <row r="72" spans="1:21" ht="15.75" customHeight="1">
      <c r="A72" s="32"/>
      <c r="B72" s="59" t="s">
        <v>70</v>
      </c>
      <c r="C72" s="16"/>
      <c r="D72" s="14"/>
      <c r="E72" s="18"/>
      <c r="F72" s="13"/>
      <c r="G72" s="13"/>
      <c r="H72" s="86" t="s">
        <v>141</v>
      </c>
      <c r="I72" s="13"/>
    </row>
    <row r="73" spans="1:21" ht="15.75" hidden="1" customHeight="1">
      <c r="A73" s="32"/>
      <c r="B73" s="14" t="s">
        <v>71</v>
      </c>
      <c r="C73" s="16" t="s">
        <v>73</v>
      </c>
      <c r="D73" s="14"/>
      <c r="E73" s="18">
        <v>10</v>
      </c>
      <c r="F73" s="13">
        <v>1</v>
      </c>
      <c r="G73" s="13">
        <v>501.62</v>
      </c>
      <c r="H73" s="86">
        <f t="shared" si="9"/>
        <v>0.50161999999999995</v>
      </c>
      <c r="I73" s="13">
        <v>0</v>
      </c>
    </row>
    <row r="74" spans="1:21" ht="15.75" hidden="1" customHeight="1">
      <c r="A74" s="32"/>
      <c r="B74" s="14" t="s">
        <v>72</v>
      </c>
      <c r="C74" s="16" t="s">
        <v>31</v>
      </c>
      <c r="D74" s="14"/>
      <c r="E74" s="18">
        <v>3</v>
      </c>
      <c r="F74" s="66">
        <v>3</v>
      </c>
      <c r="G74" s="13">
        <v>852.99</v>
      </c>
      <c r="H74" s="86">
        <f>F74*G74/1000</f>
        <v>2.5589700000000004</v>
      </c>
      <c r="I74" s="13">
        <v>0</v>
      </c>
    </row>
    <row r="75" spans="1:21" ht="15.75" hidden="1" customHeight="1">
      <c r="A75" s="32"/>
      <c r="B75" s="14" t="s">
        <v>113</v>
      </c>
      <c r="C75" s="16" t="s">
        <v>31</v>
      </c>
      <c r="D75" s="14"/>
      <c r="E75" s="18">
        <v>1</v>
      </c>
      <c r="F75" s="13">
        <v>1</v>
      </c>
      <c r="G75" s="13">
        <v>358.51</v>
      </c>
      <c r="H75" s="86">
        <f>G75*F75/1000</f>
        <v>0.35851</v>
      </c>
      <c r="I75" s="13">
        <v>0</v>
      </c>
    </row>
    <row r="76" spans="1:21" ht="15.75" customHeight="1">
      <c r="A76" s="32">
        <v>23</v>
      </c>
      <c r="B76" s="39" t="s">
        <v>183</v>
      </c>
      <c r="C76" s="154" t="s">
        <v>106</v>
      </c>
      <c r="D76" s="39" t="s">
        <v>203</v>
      </c>
      <c r="E76" s="17">
        <v>2</v>
      </c>
      <c r="F76" s="36">
        <v>24</v>
      </c>
      <c r="G76" s="36">
        <v>55.55</v>
      </c>
      <c r="H76" s="86"/>
      <c r="I76" s="13">
        <f>G76*2</f>
        <v>111.1</v>
      </c>
    </row>
    <row r="77" spans="1:21" ht="15.75" hidden="1" customHeight="1">
      <c r="A77" s="32"/>
      <c r="B77" s="89" t="s">
        <v>74</v>
      </c>
      <c r="C77" s="16"/>
      <c r="D77" s="14"/>
      <c r="E77" s="18"/>
      <c r="F77" s="13"/>
      <c r="G77" s="13" t="s">
        <v>141</v>
      </c>
      <c r="H77" s="86" t="s">
        <v>141</v>
      </c>
      <c r="I77" s="13"/>
    </row>
    <row r="78" spans="1:21" ht="15.75" hidden="1" customHeight="1">
      <c r="A78" s="32"/>
      <c r="B78" s="47" t="s">
        <v>146</v>
      </c>
      <c r="C78" s="16" t="s">
        <v>75</v>
      </c>
      <c r="D78" s="14"/>
      <c r="E78" s="18"/>
      <c r="F78" s="13">
        <v>1.2</v>
      </c>
      <c r="G78" s="13">
        <v>2759.44</v>
      </c>
      <c r="H78" s="86">
        <f t="shared" si="9"/>
        <v>3.311328</v>
      </c>
      <c r="I78" s="13">
        <v>0</v>
      </c>
    </row>
    <row r="79" spans="1:21" ht="15.75" hidden="1" customHeight="1">
      <c r="A79" s="32"/>
      <c r="B79" s="65" t="s">
        <v>91</v>
      </c>
      <c r="C79" s="65"/>
      <c r="D79" s="65"/>
      <c r="E79" s="65"/>
      <c r="F79" s="65"/>
      <c r="G79" s="77"/>
      <c r="H79" s="90">
        <f>SUM(H57:H78)</f>
        <v>189.05636405999996</v>
      </c>
      <c r="I79" s="77"/>
    </row>
    <row r="80" spans="1:21" ht="15.75" hidden="1" customHeight="1">
      <c r="A80" s="32"/>
      <c r="B80" s="94" t="s">
        <v>112</v>
      </c>
      <c r="C80" s="23"/>
      <c r="D80" s="22"/>
      <c r="E80" s="67"/>
      <c r="F80" s="95">
        <v>1</v>
      </c>
      <c r="G80" s="13">
        <v>23072.1</v>
      </c>
      <c r="H80" s="86">
        <f>G80*F80/1000</f>
        <v>23.072099999999999</v>
      </c>
      <c r="I80" s="13">
        <v>0</v>
      </c>
    </row>
    <row r="81" spans="1:9" ht="15.75" customHeight="1">
      <c r="A81" s="190"/>
      <c r="B81" s="173" t="s">
        <v>176</v>
      </c>
      <c r="C81" s="154"/>
      <c r="D81" s="39"/>
      <c r="E81" s="17"/>
      <c r="F81" s="109"/>
      <c r="G81" s="36"/>
      <c r="H81" s="86"/>
      <c r="I81" s="13"/>
    </row>
    <row r="82" spans="1:9" ht="15.75" customHeight="1">
      <c r="A82" s="190">
        <v>24</v>
      </c>
      <c r="B82" s="39" t="s">
        <v>177</v>
      </c>
      <c r="C82" s="156" t="s">
        <v>178</v>
      </c>
      <c r="D82" s="39"/>
      <c r="E82" s="17">
        <v>6980.3</v>
      </c>
      <c r="F82" s="36">
        <f>E82*12</f>
        <v>83763.600000000006</v>
      </c>
      <c r="G82" s="36">
        <v>2.37</v>
      </c>
      <c r="H82" s="86"/>
      <c r="I82" s="13">
        <f>G82*F82/12</f>
        <v>16543.311000000002</v>
      </c>
    </row>
    <row r="83" spans="1:9" ht="15.75" customHeight="1">
      <c r="A83" s="219" t="s">
        <v>139</v>
      </c>
      <c r="B83" s="220"/>
      <c r="C83" s="220"/>
      <c r="D83" s="220"/>
      <c r="E83" s="220"/>
      <c r="F83" s="220"/>
      <c r="G83" s="220"/>
      <c r="H83" s="220"/>
      <c r="I83" s="221"/>
    </row>
    <row r="84" spans="1:9" ht="15.75" customHeight="1">
      <c r="A84" s="32">
        <v>25</v>
      </c>
      <c r="B84" s="111" t="s">
        <v>114</v>
      </c>
      <c r="C84" s="154" t="s">
        <v>54</v>
      </c>
      <c r="D84" s="50"/>
      <c r="E84" s="36">
        <v>6980.3</v>
      </c>
      <c r="F84" s="36">
        <f>SUM(E84*12)</f>
        <v>83763.600000000006</v>
      </c>
      <c r="G84" s="36">
        <v>3.22</v>
      </c>
      <c r="H84" s="86">
        <f>SUM(F84*G84/1000)</f>
        <v>269.71879200000001</v>
      </c>
      <c r="I84" s="13">
        <f>F84/12*G84</f>
        <v>22476.566000000003</v>
      </c>
    </row>
    <row r="85" spans="1:9" ht="31.5" customHeight="1">
      <c r="A85" s="32">
        <v>26</v>
      </c>
      <c r="B85" s="39" t="s">
        <v>76</v>
      </c>
      <c r="C85" s="154"/>
      <c r="D85" s="103"/>
      <c r="E85" s="146">
        <f>E84</f>
        <v>6980.3</v>
      </c>
      <c r="F85" s="36">
        <f>E85*12</f>
        <v>83763.600000000006</v>
      </c>
      <c r="G85" s="36">
        <v>3.64</v>
      </c>
      <c r="H85" s="86">
        <f>F85*G85/1000</f>
        <v>304.89950400000004</v>
      </c>
      <c r="I85" s="13">
        <f>F85/12*G85</f>
        <v>25408.292000000001</v>
      </c>
    </row>
    <row r="86" spans="1:9" ht="15.75" customHeight="1">
      <c r="A86" s="32"/>
      <c r="B86" s="40" t="s">
        <v>78</v>
      </c>
      <c r="C86" s="89"/>
      <c r="D86" s="88"/>
      <c r="E86" s="77"/>
      <c r="F86" s="77"/>
      <c r="G86" s="77"/>
      <c r="H86" s="90">
        <f>H85</f>
        <v>304.89950400000004</v>
      </c>
      <c r="I86" s="77">
        <f>I85+I84+I82+I76+I71+I64+I62+I54+I53+I52+I51+I50+I49+I48+I47+I46+I45+I32+I30+I29+I26+I21+I20+I18+I17+I16</f>
        <v>148072.47392853335</v>
      </c>
    </row>
    <row r="87" spans="1:9" ht="15.75" customHeight="1">
      <c r="A87" s="230" t="s">
        <v>59</v>
      </c>
      <c r="B87" s="231"/>
      <c r="C87" s="231"/>
      <c r="D87" s="231"/>
      <c r="E87" s="231"/>
      <c r="F87" s="231"/>
      <c r="G87" s="231"/>
      <c r="H87" s="231"/>
      <c r="I87" s="232"/>
    </row>
    <row r="88" spans="1:9" ht="15.75" customHeight="1">
      <c r="A88" s="32">
        <v>27</v>
      </c>
      <c r="B88" s="51" t="s">
        <v>222</v>
      </c>
      <c r="C88" s="52" t="s">
        <v>82</v>
      </c>
      <c r="D88" s="197" t="s">
        <v>292</v>
      </c>
      <c r="E88" s="198"/>
      <c r="F88" s="198">
        <v>15</v>
      </c>
      <c r="G88" s="198">
        <v>222.63</v>
      </c>
      <c r="H88" s="86">
        <f>G88*F88/1000</f>
        <v>3.3394499999999998</v>
      </c>
      <c r="I88" s="13">
        <f>G88*1</f>
        <v>222.63</v>
      </c>
    </row>
    <row r="89" spans="1:9" ht="15.75" customHeight="1">
      <c r="A89" s="32">
        <v>28</v>
      </c>
      <c r="B89" s="51" t="s">
        <v>232</v>
      </c>
      <c r="C89" s="52" t="s">
        <v>163</v>
      </c>
      <c r="D89" s="197" t="s">
        <v>361</v>
      </c>
      <c r="E89" s="198"/>
      <c r="F89" s="198">
        <v>100</v>
      </c>
      <c r="G89" s="198">
        <v>284</v>
      </c>
      <c r="H89" s="86"/>
      <c r="I89" s="13">
        <v>0</v>
      </c>
    </row>
    <row r="90" spans="1:9" ht="15.75" customHeight="1">
      <c r="A90" s="32">
        <v>29</v>
      </c>
      <c r="B90" s="51" t="s">
        <v>185</v>
      </c>
      <c r="C90" s="52" t="s">
        <v>186</v>
      </c>
      <c r="D90" s="197"/>
      <c r="E90" s="198"/>
      <c r="F90" s="198">
        <v>4</v>
      </c>
      <c r="G90" s="198">
        <v>227</v>
      </c>
      <c r="H90" s="86"/>
      <c r="I90" s="13">
        <f>G90*1</f>
        <v>227</v>
      </c>
    </row>
    <row r="91" spans="1:9" ht="15.75" customHeight="1">
      <c r="A91" s="32">
        <v>30</v>
      </c>
      <c r="B91" s="51" t="s">
        <v>288</v>
      </c>
      <c r="C91" s="52" t="s">
        <v>158</v>
      </c>
      <c r="D91" s="197" t="s">
        <v>296</v>
      </c>
      <c r="E91" s="198"/>
      <c r="F91" s="198">
        <v>0.3</v>
      </c>
      <c r="G91" s="198">
        <v>4643.3500000000004</v>
      </c>
      <c r="H91" s="86"/>
      <c r="I91" s="13">
        <f>G91*0.3</f>
        <v>1393.0050000000001</v>
      </c>
    </row>
    <row r="92" spans="1:9" ht="33.75" customHeight="1">
      <c r="A92" s="32">
        <v>31</v>
      </c>
      <c r="B92" s="51" t="s">
        <v>142</v>
      </c>
      <c r="C92" s="52" t="s">
        <v>143</v>
      </c>
      <c r="D92" s="199" t="s">
        <v>295</v>
      </c>
      <c r="E92" s="198"/>
      <c r="F92" s="198">
        <v>4</v>
      </c>
      <c r="G92" s="198">
        <v>61.58</v>
      </c>
      <c r="H92" s="86"/>
      <c r="I92" s="13">
        <f>G92*2</f>
        <v>123.16</v>
      </c>
    </row>
    <row r="93" spans="1:9" ht="30" customHeight="1">
      <c r="A93" s="32">
        <v>32</v>
      </c>
      <c r="B93" s="51" t="s">
        <v>247</v>
      </c>
      <c r="C93" s="52" t="s">
        <v>37</v>
      </c>
      <c r="D93" s="197" t="s">
        <v>203</v>
      </c>
      <c r="E93" s="198"/>
      <c r="F93" s="198">
        <v>0.04</v>
      </c>
      <c r="G93" s="198">
        <v>4070.89</v>
      </c>
      <c r="H93" s="86"/>
      <c r="I93" s="13">
        <v>0</v>
      </c>
    </row>
    <row r="94" spans="1:9" ht="15.75" customHeight="1">
      <c r="A94" s="32">
        <v>33</v>
      </c>
      <c r="B94" s="51" t="s">
        <v>289</v>
      </c>
      <c r="C94" s="52" t="s">
        <v>106</v>
      </c>
      <c r="D94" s="197" t="s">
        <v>294</v>
      </c>
      <c r="E94" s="198"/>
      <c r="F94" s="198">
        <v>2</v>
      </c>
      <c r="G94" s="198">
        <v>348.27</v>
      </c>
      <c r="H94" s="86"/>
      <c r="I94" s="13">
        <f>G94*2</f>
        <v>696.54</v>
      </c>
    </row>
    <row r="95" spans="1:9" ht="15.75" customHeight="1">
      <c r="A95" s="32">
        <v>34</v>
      </c>
      <c r="B95" s="51" t="s">
        <v>290</v>
      </c>
      <c r="C95" s="52" t="s">
        <v>291</v>
      </c>
      <c r="D95" s="197" t="s">
        <v>293</v>
      </c>
      <c r="E95" s="198"/>
      <c r="F95" s="198">
        <v>1</v>
      </c>
      <c r="G95" s="198">
        <v>754.11</v>
      </c>
      <c r="H95" s="86"/>
      <c r="I95" s="13">
        <v>0</v>
      </c>
    </row>
    <row r="96" spans="1:9" ht="15.75" customHeight="1">
      <c r="A96" s="32">
        <v>35</v>
      </c>
      <c r="B96" s="51" t="s">
        <v>80</v>
      </c>
      <c r="C96" s="52" t="s">
        <v>106</v>
      </c>
      <c r="D96" s="197"/>
      <c r="E96" s="198"/>
      <c r="F96" s="198">
        <v>4</v>
      </c>
      <c r="G96" s="198">
        <v>215.85</v>
      </c>
      <c r="H96" s="86"/>
      <c r="I96" s="13">
        <f>G96*2</f>
        <v>431.7</v>
      </c>
    </row>
    <row r="97" spans="1:9" ht="15.75" customHeight="1">
      <c r="A97" s="32">
        <v>36</v>
      </c>
      <c r="B97" s="51" t="s">
        <v>192</v>
      </c>
      <c r="C97" s="52" t="s">
        <v>39</v>
      </c>
      <c r="D97" s="197" t="s">
        <v>203</v>
      </c>
      <c r="E97" s="198"/>
      <c r="F97" s="198">
        <v>0.08</v>
      </c>
      <c r="G97" s="198">
        <v>27139.18</v>
      </c>
      <c r="H97" s="86"/>
      <c r="I97" s="13">
        <v>0</v>
      </c>
    </row>
    <row r="98" spans="1:9" ht="15.75" customHeight="1">
      <c r="A98" s="32"/>
      <c r="B98" s="45" t="s">
        <v>51</v>
      </c>
      <c r="C98" s="41"/>
      <c r="D98" s="48"/>
      <c r="E98" s="41">
        <v>1</v>
      </c>
      <c r="F98" s="41"/>
      <c r="G98" s="41"/>
      <c r="H98" s="41"/>
      <c r="I98" s="34">
        <f>SUM(I88:I97)</f>
        <v>3094.0349999999999</v>
      </c>
    </row>
    <row r="99" spans="1:9">
      <c r="A99" s="32"/>
      <c r="B99" s="47" t="s">
        <v>77</v>
      </c>
      <c r="C99" s="15"/>
      <c r="D99" s="15"/>
      <c r="E99" s="42"/>
      <c r="F99" s="42"/>
      <c r="G99" s="43"/>
      <c r="H99" s="43"/>
      <c r="I99" s="17">
        <v>0</v>
      </c>
    </row>
    <row r="100" spans="1:9">
      <c r="A100" s="49"/>
      <c r="B100" s="46" t="s">
        <v>157</v>
      </c>
      <c r="C100" s="35"/>
      <c r="D100" s="35"/>
      <c r="E100" s="35"/>
      <c r="F100" s="35"/>
      <c r="G100" s="35"/>
      <c r="H100" s="35"/>
      <c r="I100" s="44">
        <f>I86+I98</f>
        <v>151166.50892853335</v>
      </c>
    </row>
    <row r="101" spans="1:9" ht="15.75">
      <c r="A101" s="222" t="s">
        <v>362</v>
      </c>
      <c r="B101" s="222"/>
      <c r="C101" s="222"/>
      <c r="D101" s="222"/>
      <c r="E101" s="222"/>
      <c r="F101" s="222"/>
      <c r="G101" s="222"/>
      <c r="H101" s="222"/>
      <c r="I101" s="222"/>
    </row>
    <row r="102" spans="1:9" ht="15.75" customHeight="1">
      <c r="A102" s="58"/>
      <c r="B102" s="223" t="s">
        <v>363</v>
      </c>
      <c r="C102" s="223"/>
      <c r="D102" s="223"/>
      <c r="E102" s="223"/>
      <c r="F102" s="223"/>
      <c r="G102" s="223"/>
      <c r="H102" s="70"/>
      <c r="I102" s="3"/>
    </row>
    <row r="103" spans="1:9">
      <c r="A103" s="64"/>
      <c r="B103" s="224" t="s">
        <v>6</v>
      </c>
      <c r="C103" s="224"/>
      <c r="D103" s="224"/>
      <c r="E103" s="224"/>
      <c r="F103" s="224"/>
      <c r="G103" s="224"/>
      <c r="H103" s="27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25" t="s">
        <v>7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15.75">
      <c r="A106" s="225" t="s">
        <v>8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>
      <c r="A107" s="226" t="s">
        <v>60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11"/>
    </row>
    <row r="109" spans="1:9" ht="15.75">
      <c r="A109" s="227" t="s">
        <v>9</v>
      </c>
      <c r="B109" s="227"/>
      <c r="C109" s="227"/>
      <c r="D109" s="227"/>
      <c r="E109" s="227"/>
      <c r="F109" s="227"/>
      <c r="G109" s="227"/>
      <c r="H109" s="227"/>
      <c r="I109" s="227"/>
    </row>
    <row r="110" spans="1:9" ht="15.75" customHeight="1">
      <c r="A110" s="4"/>
    </row>
    <row r="111" spans="1:9" ht="15.75" customHeight="1">
      <c r="B111" s="61" t="s">
        <v>10</v>
      </c>
      <c r="C111" s="228" t="s">
        <v>134</v>
      </c>
      <c r="D111" s="228"/>
      <c r="E111" s="228"/>
      <c r="F111" s="68"/>
      <c r="I111" s="63"/>
    </row>
    <row r="112" spans="1:9" ht="15.75" customHeight="1">
      <c r="A112" s="64"/>
      <c r="C112" s="224" t="s">
        <v>11</v>
      </c>
      <c r="D112" s="224"/>
      <c r="E112" s="224"/>
      <c r="F112" s="27"/>
      <c r="I112" s="62" t="s">
        <v>12</v>
      </c>
    </row>
    <row r="113" spans="1:9" ht="15.75" customHeight="1">
      <c r="A113" s="28"/>
      <c r="C113" s="12"/>
      <c r="D113" s="12"/>
      <c r="G113" s="12"/>
      <c r="H113" s="12"/>
    </row>
    <row r="114" spans="1:9" ht="15.75">
      <c r="B114" s="61" t="s">
        <v>13</v>
      </c>
      <c r="C114" s="229"/>
      <c r="D114" s="229"/>
      <c r="E114" s="229"/>
      <c r="F114" s="69"/>
      <c r="I114" s="63"/>
    </row>
    <row r="115" spans="1:9">
      <c r="A115" s="64"/>
      <c r="C115" s="218" t="s">
        <v>11</v>
      </c>
      <c r="D115" s="218"/>
      <c r="E115" s="218"/>
      <c r="F115" s="64"/>
      <c r="I115" s="62" t="s">
        <v>12</v>
      </c>
    </row>
    <row r="116" spans="1:9" ht="15.75">
      <c r="A116" s="4" t="s">
        <v>14</v>
      </c>
    </row>
    <row r="117" spans="1:9">
      <c r="A117" s="233" t="s">
        <v>15</v>
      </c>
      <c r="B117" s="233"/>
      <c r="C117" s="233"/>
      <c r="D117" s="233"/>
      <c r="E117" s="233"/>
      <c r="F117" s="233"/>
      <c r="G117" s="233"/>
      <c r="H117" s="233"/>
      <c r="I117" s="233"/>
    </row>
    <row r="118" spans="1:9" ht="45" customHeight="1">
      <c r="A118" s="234" t="s">
        <v>16</v>
      </c>
      <c r="B118" s="234"/>
      <c r="C118" s="234"/>
      <c r="D118" s="234"/>
      <c r="E118" s="234"/>
      <c r="F118" s="234"/>
      <c r="G118" s="234"/>
      <c r="H118" s="234"/>
      <c r="I118" s="234"/>
    </row>
    <row r="119" spans="1:9" ht="30" customHeight="1">
      <c r="A119" s="234" t="s">
        <v>17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30" customHeight="1">
      <c r="A120" s="234" t="s">
        <v>21</v>
      </c>
      <c r="B120" s="234"/>
      <c r="C120" s="234"/>
      <c r="D120" s="234"/>
      <c r="E120" s="234"/>
      <c r="F120" s="234"/>
      <c r="G120" s="234"/>
      <c r="H120" s="234"/>
      <c r="I120" s="234"/>
    </row>
    <row r="121" spans="1:9" ht="15" customHeight="1">
      <c r="A121" s="234" t="s">
        <v>20</v>
      </c>
      <c r="B121" s="234"/>
      <c r="C121" s="234"/>
      <c r="D121" s="234"/>
      <c r="E121" s="234"/>
      <c r="F121" s="234"/>
      <c r="G121" s="234"/>
      <c r="H121" s="234"/>
      <c r="I121" s="234"/>
    </row>
  </sheetData>
  <autoFilter ref="I12:I59"/>
  <mergeCells count="29">
    <mergeCell ref="R64:U64"/>
    <mergeCell ref="A83:I83"/>
    <mergeCell ref="A3:I3"/>
    <mergeCell ref="A4:I4"/>
    <mergeCell ref="A5:I5"/>
    <mergeCell ref="A8:I8"/>
    <mergeCell ref="A10:I10"/>
    <mergeCell ref="A14:I14"/>
    <mergeCell ref="A107:I107"/>
    <mergeCell ref="A15:I15"/>
    <mergeCell ref="A27:I27"/>
    <mergeCell ref="A44:I44"/>
    <mergeCell ref="A55:I55"/>
    <mergeCell ref="A87:I87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2021-01-27T06:42:45Z</cp:lastPrinted>
  <dcterms:created xsi:type="dcterms:W3CDTF">2016-03-25T08:33:47Z</dcterms:created>
  <dcterms:modified xsi:type="dcterms:W3CDTF">2021-02-04T13:52:37Z</dcterms:modified>
</cp:coreProperties>
</file>