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330" windowWidth="16065" windowHeight="11280" activeTab="11"/>
  </bookViews>
  <sheets>
    <sheet name="01.21" sheetId="33" r:id="rId1"/>
    <sheet name="02.21" sheetId="34" r:id="rId2"/>
    <sheet name="03.21" sheetId="35" r:id="rId3"/>
    <sheet name="04.21" sheetId="36" r:id="rId4"/>
    <sheet name="05.21" sheetId="37" r:id="rId5"/>
    <sheet name="06.21" sheetId="38" r:id="rId6"/>
    <sheet name="07.21" sheetId="39" r:id="rId7"/>
    <sheet name="08.21" sheetId="40" r:id="rId8"/>
    <sheet name="09.21" sheetId="41" r:id="rId9"/>
    <sheet name="10.21" sheetId="26" r:id="rId10"/>
    <sheet name="11.21" sheetId="31" r:id="rId11"/>
    <sheet name="12.21" sheetId="32" r:id="rId12"/>
  </sheets>
  <definedNames>
    <definedName name="_xlnm.Print_Area" localSheetId="0">'01.21'!$A$1:$I$124</definedName>
    <definedName name="_xlnm.Print_Area" localSheetId="1">'02.21'!$A$1:$I$123</definedName>
    <definedName name="_xlnm.Print_Area" localSheetId="2">'03.21'!$A$1:$I$123</definedName>
    <definedName name="_xlnm.Print_Area" localSheetId="9">'10.21'!$A$1:$I$120</definedName>
    <definedName name="_xlnm.Print_Area" localSheetId="10">'11.21'!$A$1:$I$124</definedName>
    <definedName name="_xlnm.Print_Area" localSheetId="11">'12.21'!$A$1:$I$122</definedName>
  </definedNames>
  <calcPr calcId="125725"/>
</workbook>
</file>

<file path=xl/calcChain.xml><?xml version="1.0" encoding="utf-8"?>
<calcChain xmlns="http://schemas.openxmlformats.org/spreadsheetml/2006/main">
  <c r="I99" i="32"/>
  <c r="I98"/>
  <c r="I97"/>
  <c r="I95"/>
  <c r="I94"/>
  <c r="I93"/>
  <c r="I67"/>
  <c r="I61"/>
  <c r="I59"/>
  <c r="I37"/>
  <c r="I93" i="31" l="1"/>
  <c r="I37"/>
  <c r="I101"/>
  <c r="I100"/>
  <c r="I98"/>
  <c r="I96"/>
  <c r="F96"/>
  <c r="I95"/>
  <c r="I61"/>
  <c r="I59"/>
  <c r="I93" i="26"/>
  <c r="I97" s="1"/>
  <c r="I88"/>
  <c r="I53"/>
  <c r="I52"/>
  <c r="I95"/>
  <c r="F93"/>
  <c r="I92"/>
  <c r="I90"/>
  <c r="I95" i="41" l="1"/>
  <c r="I94"/>
  <c r="F94"/>
  <c r="I89"/>
  <c r="I83"/>
  <c r="I93" l="1"/>
  <c r="I88" i="40"/>
  <c r="I103"/>
  <c r="I104" s="1"/>
  <c r="I101"/>
  <c r="F101"/>
  <c r="I100"/>
  <c r="I99"/>
  <c r="I98"/>
  <c r="I95"/>
  <c r="I94"/>
  <c r="I93"/>
  <c r="I92"/>
  <c r="I91"/>
  <c r="I90"/>
  <c r="E87"/>
  <c r="F87" s="1"/>
  <c r="F86"/>
  <c r="H86" s="1"/>
  <c r="I77"/>
  <c r="F77"/>
  <c r="H77" s="1"/>
  <c r="H81"/>
  <c r="F81"/>
  <c r="I81" s="1"/>
  <c r="I61"/>
  <c r="F30"/>
  <c r="I30" s="1"/>
  <c r="I29"/>
  <c r="F29"/>
  <c r="H29" s="1"/>
  <c r="F25"/>
  <c r="H25" s="1"/>
  <c r="I24"/>
  <c r="H24"/>
  <c r="F24"/>
  <c r="F23"/>
  <c r="H23" s="1"/>
  <c r="F22"/>
  <c r="H22" s="1"/>
  <c r="H21"/>
  <c r="F21"/>
  <c r="I21" s="1"/>
  <c r="F20"/>
  <c r="I20" s="1"/>
  <c r="I19"/>
  <c r="H19"/>
  <c r="F19"/>
  <c r="E18"/>
  <c r="F18" s="1"/>
  <c r="H17"/>
  <c r="F17"/>
  <c r="I17" s="1"/>
  <c r="H16"/>
  <c r="F16"/>
  <c r="I16" s="1"/>
  <c r="F29" i="39"/>
  <c r="I29" s="1"/>
  <c r="F30"/>
  <c r="I30" s="1"/>
  <c r="I61"/>
  <c r="F72"/>
  <c r="H72" s="1"/>
  <c r="I93"/>
  <c r="I92"/>
  <c r="F87"/>
  <c r="H87" s="1"/>
  <c r="E87"/>
  <c r="I86"/>
  <c r="F86"/>
  <c r="H86" s="1"/>
  <c r="I79"/>
  <c r="F79"/>
  <c r="H79" s="1"/>
  <c r="F25"/>
  <c r="I25" s="1"/>
  <c r="I24"/>
  <c r="F24"/>
  <c r="H24" s="1"/>
  <c r="F23"/>
  <c r="I23" s="1"/>
  <c r="F22"/>
  <c r="H22" s="1"/>
  <c r="I21"/>
  <c r="F21"/>
  <c r="H21" s="1"/>
  <c r="F20"/>
  <c r="H20" s="1"/>
  <c r="I19"/>
  <c r="F19"/>
  <c r="H19" s="1"/>
  <c r="E18"/>
  <c r="F18" s="1"/>
  <c r="F17"/>
  <c r="H17" s="1"/>
  <c r="H16"/>
  <c r="F16"/>
  <c r="I16" s="1"/>
  <c r="I88" i="38"/>
  <c r="I90" i="37"/>
  <c r="I90" i="36"/>
  <c r="I90" i="35"/>
  <c r="H87" i="40" l="1"/>
  <c r="I87"/>
  <c r="H30"/>
  <c r="I25"/>
  <c r="I86"/>
  <c r="I22"/>
  <c r="H18"/>
  <c r="I18"/>
  <c r="H20"/>
  <c r="I23"/>
  <c r="H29" i="39"/>
  <c r="H30"/>
  <c r="I72"/>
  <c r="H23"/>
  <c r="H18"/>
  <c r="I18"/>
  <c r="I20"/>
  <c r="I87"/>
  <c r="I22"/>
  <c r="I17"/>
  <c r="I88" l="1"/>
  <c r="I98" i="38" l="1"/>
  <c r="F69"/>
  <c r="F68"/>
  <c r="F67"/>
  <c r="F66"/>
  <c r="F65"/>
  <c r="I97"/>
  <c r="I95"/>
  <c r="I94"/>
  <c r="I93"/>
  <c r="I91"/>
  <c r="I90"/>
  <c r="F91"/>
  <c r="E87"/>
  <c r="F87" s="1"/>
  <c r="F86"/>
  <c r="H86" s="1"/>
  <c r="I77"/>
  <c r="F77"/>
  <c r="H77" s="1"/>
  <c r="H76"/>
  <c r="F75"/>
  <c r="H75" s="1"/>
  <c r="H74"/>
  <c r="F73"/>
  <c r="H73" s="1"/>
  <c r="H72"/>
  <c r="F81"/>
  <c r="H81" s="1"/>
  <c r="I61"/>
  <c r="F30"/>
  <c r="H30" s="1"/>
  <c r="H29"/>
  <c r="F29"/>
  <c r="I29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F17"/>
  <c r="H17" s="1"/>
  <c r="F16"/>
  <c r="I16" s="1"/>
  <c r="I97" i="37"/>
  <c r="I96"/>
  <c r="I93"/>
  <c r="I92"/>
  <c r="E89"/>
  <c r="F89" s="1"/>
  <c r="F88"/>
  <c r="H88" s="1"/>
  <c r="I79"/>
  <c r="F79"/>
  <c r="H79" s="1"/>
  <c r="F72"/>
  <c r="H72" s="1"/>
  <c r="I61"/>
  <c r="F53"/>
  <c r="F52"/>
  <c r="F50"/>
  <c r="F49"/>
  <c r="F48"/>
  <c r="F47"/>
  <c r="F46"/>
  <c r="F45"/>
  <c r="F44"/>
  <c r="F43"/>
  <c r="F32"/>
  <c r="F31"/>
  <c r="F30"/>
  <c r="F29"/>
  <c r="I24"/>
  <c r="F24"/>
  <c r="H24" s="1"/>
  <c r="I23"/>
  <c r="F23"/>
  <c r="H23" s="1"/>
  <c r="I22"/>
  <c r="F22"/>
  <c r="H22" s="1"/>
  <c r="F21"/>
  <c r="I21" s="1"/>
  <c r="H20"/>
  <c r="F20"/>
  <c r="I20" s="1"/>
  <c r="I19"/>
  <c r="F19"/>
  <c r="H19" s="1"/>
  <c r="E18"/>
  <c r="F18" s="1"/>
  <c r="I18" s="1"/>
  <c r="F17"/>
  <c r="I17" s="1"/>
  <c r="F16"/>
  <c r="H16" s="1"/>
  <c r="F83" i="36"/>
  <c r="H83" s="1"/>
  <c r="I79"/>
  <c r="F79"/>
  <c r="H79" s="1"/>
  <c r="F89"/>
  <c r="H89" s="1"/>
  <c r="E89"/>
  <c r="F88"/>
  <c r="H88" s="1"/>
  <c r="I63"/>
  <c r="F59"/>
  <c r="H59" s="1"/>
  <c r="I94"/>
  <c r="I93"/>
  <c r="I81"/>
  <c r="I60"/>
  <c r="I39"/>
  <c r="F43"/>
  <c r="I43" s="1"/>
  <c r="I42"/>
  <c r="H42"/>
  <c r="F41"/>
  <c r="I41" s="1"/>
  <c r="F40"/>
  <c r="I40" s="1"/>
  <c r="H39"/>
  <c r="F38"/>
  <c r="I38" s="1"/>
  <c r="F37"/>
  <c r="I37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H18" s="1"/>
  <c r="F17"/>
  <c r="H17" s="1"/>
  <c r="H16"/>
  <c r="F16"/>
  <c r="I16" s="1"/>
  <c r="I97" i="35"/>
  <c r="I95"/>
  <c r="I93"/>
  <c r="I92"/>
  <c r="I98" s="1"/>
  <c r="E89"/>
  <c r="F89" s="1"/>
  <c r="F88"/>
  <c r="H88" s="1"/>
  <c r="I81"/>
  <c r="F81"/>
  <c r="H81" s="1"/>
  <c r="F74"/>
  <c r="H74" s="1"/>
  <c r="F63"/>
  <c r="I63" s="1"/>
  <c r="I62"/>
  <c r="I58"/>
  <c r="I60"/>
  <c r="H60"/>
  <c r="F59"/>
  <c r="H59" s="1"/>
  <c r="F58"/>
  <c r="H58" s="1"/>
  <c r="I42"/>
  <c r="F43"/>
  <c r="I43" s="1"/>
  <c r="H42"/>
  <c r="F41"/>
  <c r="I41" s="1"/>
  <c r="F40"/>
  <c r="I40" s="1"/>
  <c r="I39"/>
  <c r="H39"/>
  <c r="F38"/>
  <c r="I38" s="1"/>
  <c r="F37"/>
  <c r="I37" s="1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H18" s="1"/>
  <c r="F17"/>
  <c r="H17" s="1"/>
  <c r="F16"/>
  <c r="I16" s="1"/>
  <c r="H87" i="38" l="1"/>
  <c r="I87"/>
  <c r="I86"/>
  <c r="I81"/>
  <c r="I30"/>
  <c r="H18"/>
  <c r="I18"/>
  <c r="H16"/>
  <c r="I17"/>
  <c r="I20"/>
  <c r="H21"/>
  <c r="H17" i="37"/>
  <c r="H89"/>
  <c r="I89"/>
  <c r="I88"/>
  <c r="I72"/>
  <c r="H18"/>
  <c r="I16"/>
  <c r="H21"/>
  <c r="I83" i="36"/>
  <c r="I88"/>
  <c r="I89"/>
  <c r="I59"/>
  <c r="H38"/>
  <c r="H41"/>
  <c r="H21"/>
  <c r="H37"/>
  <c r="H40"/>
  <c r="I20"/>
  <c r="I17"/>
  <c r="I18"/>
  <c r="H16" i="35"/>
  <c r="H41"/>
  <c r="H21"/>
  <c r="H38"/>
  <c r="H89"/>
  <c r="I89"/>
  <c r="I88"/>
  <c r="I74"/>
  <c r="I59"/>
  <c r="H37"/>
  <c r="H40"/>
  <c r="I17"/>
  <c r="I18"/>
  <c r="I20"/>
  <c r="I26"/>
  <c r="I95" i="34" l="1"/>
  <c r="I94"/>
  <c r="I93"/>
  <c r="I92"/>
  <c r="I100" s="1"/>
  <c r="E89"/>
  <c r="F89" s="1"/>
  <c r="F88"/>
  <c r="H88" s="1"/>
  <c r="F83"/>
  <c r="H83" s="1"/>
  <c r="I79"/>
  <c r="F79"/>
  <c r="H79" s="1"/>
  <c r="I63"/>
  <c r="I60"/>
  <c r="I58"/>
  <c r="F59"/>
  <c r="H59" s="1"/>
  <c r="F50"/>
  <c r="H50" s="1"/>
  <c r="I36"/>
  <c r="F43"/>
  <c r="I43" s="1"/>
  <c r="I42"/>
  <c r="H42"/>
  <c r="F41"/>
  <c r="I41" s="1"/>
  <c r="F40"/>
  <c r="I40" s="1"/>
  <c r="I39"/>
  <c r="H39"/>
  <c r="H38"/>
  <c r="F38"/>
  <c r="I38" s="1"/>
  <c r="F37"/>
  <c r="I37" s="1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H17"/>
  <c r="F17"/>
  <c r="I17" s="1"/>
  <c r="F16"/>
  <c r="I16" s="1"/>
  <c r="H89" l="1"/>
  <c r="I89"/>
  <c r="I90" s="1"/>
  <c r="I88"/>
  <c r="I83"/>
  <c r="I59"/>
  <c r="I50"/>
  <c r="H41"/>
  <c r="H37"/>
  <c r="H40"/>
  <c r="H18"/>
  <c r="I18"/>
  <c r="H16"/>
  <c r="I20"/>
  <c r="H21"/>
  <c r="I26"/>
  <c r="I81" i="33" l="1"/>
  <c r="I101"/>
  <c r="I97"/>
  <c r="I95"/>
  <c r="I94"/>
  <c r="E91"/>
  <c r="F91" s="1"/>
  <c r="F90"/>
  <c r="H90" s="1"/>
  <c r="F81"/>
  <c r="H81" s="1"/>
  <c r="F74"/>
  <c r="H74" s="1"/>
  <c r="I63"/>
  <c r="I55"/>
  <c r="I54"/>
  <c r="F55"/>
  <c r="F54"/>
  <c r="F50"/>
  <c r="H50" s="1"/>
  <c r="F43"/>
  <c r="I43" s="1"/>
  <c r="I42"/>
  <c r="H42"/>
  <c r="F41"/>
  <c r="I41" s="1"/>
  <c r="F40"/>
  <c r="I40" s="1"/>
  <c r="I39"/>
  <c r="H39"/>
  <c r="F38"/>
  <c r="H38" s="1"/>
  <c r="F37"/>
  <c r="I37" s="1"/>
  <c r="I36"/>
  <c r="H36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H18" s="1"/>
  <c r="F17"/>
  <c r="H17" s="1"/>
  <c r="H16"/>
  <c r="F16"/>
  <c r="I16" s="1"/>
  <c r="H41" l="1"/>
  <c r="H91"/>
  <c r="I91"/>
  <c r="I90"/>
  <c r="I74"/>
  <c r="I50"/>
  <c r="H37"/>
  <c r="I38"/>
  <c r="H40"/>
  <c r="H21"/>
  <c r="I17"/>
  <c r="I18"/>
  <c r="I20"/>
  <c r="I26"/>
  <c r="E90" i="32" l="1"/>
  <c r="F90" s="1"/>
  <c r="F89"/>
  <c r="H89" s="1"/>
  <c r="I80"/>
  <c r="F80"/>
  <c r="H80" s="1"/>
  <c r="F84"/>
  <c r="H84" s="1"/>
  <c r="I64"/>
  <c r="F51"/>
  <c r="F44"/>
  <c r="I44" s="1"/>
  <c r="I43"/>
  <c r="H43"/>
  <c r="F42"/>
  <c r="I42" s="1"/>
  <c r="F41"/>
  <c r="I41" s="1"/>
  <c r="I40"/>
  <c r="H40"/>
  <c r="F39"/>
  <c r="I39" s="1"/>
  <c r="F38"/>
  <c r="I38" s="1"/>
  <c r="F26"/>
  <c r="H26" s="1"/>
  <c r="I25"/>
  <c r="F25"/>
  <c r="H25" s="1"/>
  <c r="I24"/>
  <c r="H24"/>
  <c r="F24"/>
  <c r="I23"/>
  <c r="F23"/>
  <c r="H23" s="1"/>
  <c r="I22"/>
  <c r="F22"/>
  <c r="H22" s="1"/>
  <c r="F21"/>
  <c r="I21" s="1"/>
  <c r="F20"/>
  <c r="I20" s="1"/>
  <c r="I19"/>
  <c r="F19"/>
  <c r="H19" s="1"/>
  <c r="E18"/>
  <c r="F18" s="1"/>
  <c r="H17"/>
  <c r="F17"/>
  <c r="I17" s="1"/>
  <c r="F16"/>
  <c r="I16" s="1"/>
  <c r="I43" i="31"/>
  <c r="I80"/>
  <c r="E92"/>
  <c r="F92" s="1"/>
  <c r="F91"/>
  <c r="H91" s="1"/>
  <c r="I82"/>
  <c r="F82"/>
  <c r="H82" s="1"/>
  <c r="F75"/>
  <c r="H75" s="1"/>
  <c r="I64"/>
  <c r="F44"/>
  <c r="I44" s="1"/>
  <c r="F42"/>
  <c r="I42" s="1"/>
  <c r="F41"/>
  <c r="F39"/>
  <c r="F38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F17"/>
  <c r="H17" s="1"/>
  <c r="F16"/>
  <c r="I16" s="1"/>
  <c r="I83" i="26"/>
  <c r="H16" i="31" l="1"/>
  <c r="H20" i="32"/>
  <c r="H42"/>
  <c r="H39"/>
  <c r="H90"/>
  <c r="I90"/>
  <c r="I89"/>
  <c r="I84"/>
  <c r="H38"/>
  <c r="H41"/>
  <c r="H18"/>
  <c r="I18"/>
  <c r="H16"/>
  <c r="H21"/>
  <c r="I26"/>
  <c r="H18" i="31"/>
  <c r="I18"/>
  <c r="H92"/>
  <c r="I92"/>
  <c r="I91"/>
  <c r="I75"/>
  <c r="H21"/>
  <c r="I17"/>
  <c r="I20"/>
  <c r="I26"/>
  <c r="E87" i="26"/>
  <c r="F87" s="1"/>
  <c r="F86"/>
  <c r="H86" s="1"/>
  <c r="I77"/>
  <c r="F77"/>
  <c r="H77" s="1"/>
  <c r="F81"/>
  <c r="H81" s="1"/>
  <c r="I61"/>
  <c r="F30"/>
  <c r="H30" s="1"/>
  <c r="F29"/>
  <c r="I29" s="1"/>
  <c r="F26"/>
  <c r="H26" s="1"/>
  <c r="I25"/>
  <c r="F25"/>
  <c r="H25" s="1"/>
  <c r="I24"/>
  <c r="F24"/>
  <c r="H24" s="1"/>
  <c r="I23"/>
  <c r="F23"/>
  <c r="H23" s="1"/>
  <c r="I22"/>
  <c r="F22"/>
  <c r="H22" s="1"/>
  <c r="F21"/>
  <c r="I21" s="1"/>
  <c r="F20"/>
  <c r="H20" s="1"/>
  <c r="I19"/>
  <c r="F19"/>
  <c r="H19" s="1"/>
  <c r="E18"/>
  <c r="F18" s="1"/>
  <c r="H18" s="1"/>
  <c r="F17"/>
  <c r="H17" s="1"/>
  <c r="F16"/>
  <c r="I16" s="1"/>
  <c r="I61" i="41"/>
  <c r="F88"/>
  <c r="I88" s="1"/>
  <c r="E87"/>
  <c r="F87" s="1"/>
  <c r="F86"/>
  <c r="F81"/>
  <c r="I77"/>
  <c r="F77"/>
  <c r="I63"/>
  <c r="F70"/>
  <c r="F69"/>
  <c r="F68"/>
  <c r="F67"/>
  <c r="F66"/>
  <c r="F65"/>
  <c r="F64"/>
  <c r="F63"/>
  <c r="F53"/>
  <c r="F52"/>
  <c r="F50"/>
  <c r="F49"/>
  <c r="F48"/>
  <c r="F47"/>
  <c r="F46"/>
  <c r="F45"/>
  <c r="F44"/>
  <c r="F43"/>
  <c r="F30"/>
  <c r="F29"/>
  <c r="F26"/>
  <c r="I22"/>
  <c r="F25"/>
  <c r="F24"/>
  <c r="F23"/>
  <c r="F22"/>
  <c r="F21"/>
  <c r="I21" s="1"/>
  <c r="F20"/>
  <c r="I20" s="1"/>
  <c r="F19"/>
  <c r="E18"/>
  <c r="F18" s="1"/>
  <c r="I18" s="1"/>
  <c r="F17"/>
  <c r="F16"/>
  <c r="I83" i="39"/>
  <c r="H16" i="26" l="1"/>
  <c r="H21"/>
  <c r="H29"/>
  <c r="H87"/>
  <c r="I87"/>
  <c r="I86"/>
  <c r="I81"/>
  <c r="I30"/>
  <c r="I17"/>
  <c r="I18"/>
  <c r="I20"/>
  <c r="I26"/>
  <c r="I58" i="37" l="1"/>
  <c r="I58" i="36" l="1"/>
  <c r="I36" i="35"/>
  <c r="H30" i="41" l="1"/>
  <c r="I29"/>
  <c r="H26"/>
  <c r="I17"/>
  <c r="I16"/>
  <c r="H17" l="1"/>
  <c r="H29"/>
  <c r="I30"/>
  <c r="I26"/>
  <c r="H18"/>
  <c r="H16"/>
  <c r="F26" i="40"/>
  <c r="H26" s="1"/>
  <c r="I58" i="39"/>
  <c r="F26"/>
  <c r="H26" s="1"/>
  <c r="H25"/>
  <c r="F26" i="38"/>
  <c r="H26" s="1"/>
  <c r="F25"/>
  <c r="F26" i="37"/>
  <c r="H26" s="1"/>
  <c r="F25"/>
  <c r="H25" s="1"/>
  <c r="F26" i="36"/>
  <c r="H26" s="1"/>
  <c r="F25"/>
  <c r="H25" s="1"/>
  <c r="H25" i="38" l="1"/>
  <c r="I25"/>
  <c r="I25" i="37"/>
  <c r="I26" i="40"/>
  <c r="I26" i="39"/>
  <c r="I26" i="38"/>
  <c r="I26" i="37"/>
  <c r="I26" i="36"/>
  <c r="I63" i="37"/>
  <c r="I58" i="33" l="1"/>
  <c r="I60"/>
  <c r="I84" i="40"/>
  <c r="I66" i="32" l="1"/>
  <c r="I86" l="1"/>
  <c r="I70" i="41" l="1"/>
  <c r="H87"/>
  <c r="H89" s="1"/>
  <c r="I86"/>
  <c r="H84"/>
  <c r="H83"/>
  <c r="I81"/>
  <c r="H79"/>
  <c r="H77"/>
  <c r="H76"/>
  <c r="F75"/>
  <c r="H75" s="1"/>
  <c r="H74"/>
  <c r="F73"/>
  <c r="H73" s="1"/>
  <c r="H72"/>
  <c r="H70"/>
  <c r="I69"/>
  <c r="H69"/>
  <c r="I68"/>
  <c r="H68"/>
  <c r="I67"/>
  <c r="H67"/>
  <c r="I66"/>
  <c r="H66"/>
  <c r="I65"/>
  <c r="H65"/>
  <c r="H64"/>
  <c r="H63"/>
  <c r="F60"/>
  <c r="I58"/>
  <c r="H58"/>
  <c r="F57"/>
  <c r="H57" s="1"/>
  <c r="F56"/>
  <c r="I56" s="1"/>
  <c r="H53"/>
  <c r="I52"/>
  <c r="I51"/>
  <c r="H51"/>
  <c r="H50"/>
  <c r="I49"/>
  <c r="H48"/>
  <c r="I47"/>
  <c r="H47"/>
  <c r="I46"/>
  <c r="H46"/>
  <c r="I45"/>
  <c r="H45"/>
  <c r="I44"/>
  <c r="H44"/>
  <c r="I43"/>
  <c r="H43"/>
  <c r="I41"/>
  <c r="H41"/>
  <c r="F40"/>
  <c r="H40" s="1"/>
  <c r="F39"/>
  <c r="I39" s="1"/>
  <c r="I38"/>
  <c r="H38"/>
  <c r="F37"/>
  <c r="H37" s="1"/>
  <c r="F36"/>
  <c r="I36" s="1"/>
  <c r="I35"/>
  <c r="H35"/>
  <c r="H33"/>
  <c r="H32"/>
  <c r="I31"/>
  <c r="F31"/>
  <c r="H31" s="1"/>
  <c r="I25"/>
  <c r="H25"/>
  <c r="I24"/>
  <c r="H24"/>
  <c r="I23"/>
  <c r="H23"/>
  <c r="H22"/>
  <c r="H20"/>
  <c r="I19"/>
  <c r="H19"/>
  <c r="I58" i="40"/>
  <c r="H88"/>
  <c r="H84"/>
  <c r="H83"/>
  <c r="H79"/>
  <c r="H76"/>
  <c r="F75"/>
  <c r="H75" s="1"/>
  <c r="H74"/>
  <c r="F73"/>
  <c r="H73" s="1"/>
  <c r="H72"/>
  <c r="H70"/>
  <c r="I69"/>
  <c r="F69"/>
  <c r="H69" s="1"/>
  <c r="I68"/>
  <c r="F68"/>
  <c r="H68" s="1"/>
  <c r="I67"/>
  <c r="F67"/>
  <c r="H67" s="1"/>
  <c r="I66"/>
  <c r="F66"/>
  <c r="H66" s="1"/>
  <c r="I65"/>
  <c r="F65"/>
  <c r="H65" s="1"/>
  <c r="F64"/>
  <c r="H64" s="1"/>
  <c r="I63"/>
  <c r="F63"/>
  <c r="H63" s="1"/>
  <c r="F60"/>
  <c r="H58"/>
  <c r="F57"/>
  <c r="I57" s="1"/>
  <c r="F56"/>
  <c r="H56" s="1"/>
  <c r="F53"/>
  <c r="I53" s="1"/>
  <c r="F52"/>
  <c r="H52" s="1"/>
  <c r="I51"/>
  <c r="H51"/>
  <c r="F50"/>
  <c r="I50" s="1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I43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I31"/>
  <c r="F31"/>
  <c r="H31" s="1"/>
  <c r="H21" i="41" l="1"/>
  <c r="H52"/>
  <c r="H81"/>
  <c r="H86"/>
  <c r="H50" i="40"/>
  <c r="H56" i="41"/>
  <c r="H82" s="1"/>
  <c r="H49"/>
  <c r="H39"/>
  <c r="H36"/>
  <c r="I37"/>
  <c r="I40"/>
  <c r="I48"/>
  <c r="I50"/>
  <c r="I53"/>
  <c r="I57"/>
  <c r="I87"/>
  <c r="H57" i="40"/>
  <c r="H82" s="1"/>
  <c r="H53"/>
  <c r="H48"/>
  <c r="H40"/>
  <c r="H37"/>
  <c r="I36"/>
  <c r="I39"/>
  <c r="I49"/>
  <c r="I52"/>
  <c r="I56"/>
  <c r="I97" i="41" l="1"/>
  <c r="I106" i="40"/>
  <c r="H84" i="39" l="1"/>
  <c r="H83"/>
  <c r="H81"/>
  <c r="H78"/>
  <c r="F77"/>
  <c r="H77" s="1"/>
  <c r="H76"/>
  <c r="F75"/>
  <c r="H75" s="1"/>
  <c r="H74"/>
  <c r="H70"/>
  <c r="I69"/>
  <c r="F69"/>
  <c r="H69" s="1"/>
  <c r="I68"/>
  <c r="F68"/>
  <c r="H68" s="1"/>
  <c r="I67"/>
  <c r="F67"/>
  <c r="H67" s="1"/>
  <c r="I66"/>
  <c r="F66"/>
  <c r="H66" s="1"/>
  <c r="I65"/>
  <c r="F65"/>
  <c r="H65" s="1"/>
  <c r="F64"/>
  <c r="H64" s="1"/>
  <c r="I63"/>
  <c r="F63"/>
  <c r="H63" s="1"/>
  <c r="F60"/>
  <c r="H58"/>
  <c r="F57"/>
  <c r="H57" s="1"/>
  <c r="F56"/>
  <c r="I56" s="1"/>
  <c r="F53"/>
  <c r="H53" s="1"/>
  <c r="F52"/>
  <c r="I52" s="1"/>
  <c r="I51"/>
  <c r="H51"/>
  <c r="F50"/>
  <c r="H50" s="1"/>
  <c r="F49"/>
  <c r="I49" s="1"/>
  <c r="F48"/>
  <c r="H48" s="1"/>
  <c r="I47"/>
  <c r="F47"/>
  <c r="H47" s="1"/>
  <c r="I46"/>
  <c r="F46"/>
  <c r="H46" s="1"/>
  <c r="I45"/>
  <c r="F45"/>
  <c r="H45" s="1"/>
  <c r="I44"/>
  <c r="F44"/>
  <c r="H44" s="1"/>
  <c r="I43"/>
  <c r="F43"/>
  <c r="H43" s="1"/>
  <c r="I41"/>
  <c r="H41"/>
  <c r="F40"/>
  <c r="H40" s="1"/>
  <c r="F39"/>
  <c r="I39" s="1"/>
  <c r="I38"/>
  <c r="H38"/>
  <c r="F37"/>
  <c r="H37" s="1"/>
  <c r="F36"/>
  <c r="I36" s="1"/>
  <c r="I35"/>
  <c r="H35"/>
  <c r="H33"/>
  <c r="H32"/>
  <c r="I31"/>
  <c r="F31"/>
  <c r="H31" s="1"/>
  <c r="H88" l="1"/>
  <c r="H56"/>
  <c r="H82" s="1"/>
  <c r="H52"/>
  <c r="H49"/>
  <c r="H39"/>
  <c r="H36"/>
  <c r="I37"/>
  <c r="I40"/>
  <c r="I48"/>
  <c r="I50"/>
  <c r="I53"/>
  <c r="I57"/>
  <c r="H84" i="38"/>
  <c r="H83"/>
  <c r="H79"/>
  <c r="H70"/>
  <c r="I69"/>
  <c r="H69"/>
  <c r="I68"/>
  <c r="H68"/>
  <c r="I67"/>
  <c r="H67"/>
  <c r="I66"/>
  <c r="H66"/>
  <c r="I65"/>
  <c r="H65"/>
  <c r="F64"/>
  <c r="H64" s="1"/>
  <c r="I63"/>
  <c r="F63"/>
  <c r="H63" s="1"/>
  <c r="F60"/>
  <c r="I58"/>
  <c r="H58"/>
  <c r="F57"/>
  <c r="I57" s="1"/>
  <c r="F56"/>
  <c r="H56" s="1"/>
  <c r="F53"/>
  <c r="I53" s="1"/>
  <c r="F52"/>
  <c r="H52" s="1"/>
  <c r="I51"/>
  <c r="H51"/>
  <c r="F50"/>
  <c r="I50" s="1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I43"/>
  <c r="F43"/>
  <c r="H43" s="1"/>
  <c r="I41"/>
  <c r="H41"/>
  <c r="F40"/>
  <c r="I40" s="1"/>
  <c r="F39"/>
  <c r="H39" s="1"/>
  <c r="I38"/>
  <c r="H38"/>
  <c r="F37"/>
  <c r="I37" s="1"/>
  <c r="F36"/>
  <c r="H36" s="1"/>
  <c r="I35"/>
  <c r="H35"/>
  <c r="H33"/>
  <c r="H32"/>
  <c r="I31"/>
  <c r="F31"/>
  <c r="H31" s="1"/>
  <c r="I31" i="37"/>
  <c r="I69"/>
  <c r="I68"/>
  <c r="I67"/>
  <c r="I66"/>
  <c r="I65"/>
  <c r="I47"/>
  <c r="I46"/>
  <c r="I45"/>
  <c r="I44"/>
  <c r="I43"/>
  <c r="H90"/>
  <c r="H86"/>
  <c r="H85"/>
  <c r="F83"/>
  <c r="I83" s="1"/>
  <c r="H81"/>
  <c r="H78"/>
  <c r="F77"/>
  <c r="H77" s="1"/>
  <c r="H76"/>
  <c r="F75"/>
  <c r="H75" s="1"/>
  <c r="H74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0"/>
  <c r="H58"/>
  <c r="F57"/>
  <c r="I57" s="1"/>
  <c r="F56"/>
  <c r="H56" s="1"/>
  <c r="I53"/>
  <c r="H52"/>
  <c r="I51"/>
  <c r="H51"/>
  <c r="I50"/>
  <c r="H49"/>
  <c r="I48"/>
  <c r="H47"/>
  <c r="H46"/>
  <c r="H45"/>
  <c r="H44"/>
  <c r="H43"/>
  <c r="I41"/>
  <c r="H41"/>
  <c r="F40"/>
  <c r="H40" s="1"/>
  <c r="F39"/>
  <c r="I39" s="1"/>
  <c r="I38"/>
  <c r="H38"/>
  <c r="F37"/>
  <c r="H37" s="1"/>
  <c r="F36"/>
  <c r="I36" s="1"/>
  <c r="I35"/>
  <c r="H35"/>
  <c r="H33"/>
  <c r="H32"/>
  <c r="H31"/>
  <c r="I30"/>
  <c r="H29"/>
  <c r="I95" i="39" l="1"/>
  <c r="H88" i="38"/>
  <c r="H57"/>
  <c r="H82" s="1"/>
  <c r="H53"/>
  <c r="H37"/>
  <c r="I36"/>
  <c r="I39"/>
  <c r="H40"/>
  <c r="H48"/>
  <c r="I49"/>
  <c r="H50"/>
  <c r="I52"/>
  <c r="I56"/>
  <c r="H53" i="37"/>
  <c r="H30"/>
  <c r="H50"/>
  <c r="H83"/>
  <c r="H48"/>
  <c r="H57"/>
  <c r="H84" s="1"/>
  <c r="H36"/>
  <c r="H39"/>
  <c r="I29"/>
  <c r="I37"/>
  <c r="I40"/>
  <c r="I49"/>
  <c r="I52"/>
  <c r="I56"/>
  <c r="I99" l="1"/>
  <c r="I100" i="38"/>
  <c r="I92" i="36" l="1"/>
  <c r="I96" s="1"/>
  <c r="H92"/>
  <c r="H86"/>
  <c r="H85"/>
  <c r="H81"/>
  <c r="H78"/>
  <c r="F77"/>
  <c r="H77" s="1"/>
  <c r="H76"/>
  <c r="F75"/>
  <c r="H75" s="1"/>
  <c r="H74"/>
  <c r="H72"/>
  <c r="F71"/>
  <c r="H71" s="1"/>
  <c r="F70"/>
  <c r="H70" s="1"/>
  <c r="F69"/>
  <c r="H69" s="1"/>
  <c r="F68"/>
  <c r="H68" s="1"/>
  <c r="F67"/>
  <c r="H67" s="1"/>
  <c r="F66"/>
  <c r="H66" s="1"/>
  <c r="I65"/>
  <c r="F65"/>
  <c r="H65" s="1"/>
  <c r="F62"/>
  <c r="H60"/>
  <c r="F58"/>
  <c r="H58" s="1"/>
  <c r="F55"/>
  <c r="I55" s="1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I36"/>
  <c r="H36"/>
  <c r="H34"/>
  <c r="H33"/>
  <c r="F32"/>
  <c r="H32" s="1"/>
  <c r="E32"/>
  <c r="F31"/>
  <c r="H31" s="1"/>
  <c r="F30"/>
  <c r="I30" s="1"/>
  <c r="F29"/>
  <c r="H29" s="1"/>
  <c r="H90" i="35"/>
  <c r="H86"/>
  <c r="H85"/>
  <c r="H83"/>
  <c r="H80"/>
  <c r="F79"/>
  <c r="H79" s="1"/>
  <c r="H78"/>
  <c r="F77"/>
  <c r="H77" s="1"/>
  <c r="H76"/>
  <c r="H72"/>
  <c r="F71"/>
  <c r="H71" s="1"/>
  <c r="F70"/>
  <c r="H70" s="1"/>
  <c r="F69"/>
  <c r="H69" s="1"/>
  <c r="F68"/>
  <c r="H68" s="1"/>
  <c r="F67"/>
  <c r="H67" s="1"/>
  <c r="F66"/>
  <c r="H66" s="1"/>
  <c r="I65"/>
  <c r="F65"/>
  <c r="H65" s="1"/>
  <c r="F55"/>
  <c r="I55" s="1"/>
  <c r="F54"/>
  <c r="H54" s="1"/>
  <c r="I53"/>
  <c r="H53"/>
  <c r="F52"/>
  <c r="I52" s="1"/>
  <c r="F51"/>
  <c r="H51" s="1"/>
  <c r="F50"/>
  <c r="I50" s="1"/>
  <c r="F49"/>
  <c r="H49" s="1"/>
  <c r="F48"/>
  <c r="H48" s="1"/>
  <c r="F47"/>
  <c r="H47" s="1"/>
  <c r="F46"/>
  <c r="H46" s="1"/>
  <c r="F45"/>
  <c r="H45" s="1"/>
  <c r="H36"/>
  <c r="H34"/>
  <c r="H33"/>
  <c r="F32"/>
  <c r="H32" s="1"/>
  <c r="E32"/>
  <c r="F31"/>
  <c r="H31" s="1"/>
  <c r="F30"/>
  <c r="I30" s="1"/>
  <c r="F29"/>
  <c r="H29" s="1"/>
  <c r="H84" i="36" l="1"/>
  <c r="H52" i="35"/>
  <c r="H50"/>
  <c r="H55"/>
  <c r="H90" i="36"/>
  <c r="H55"/>
  <c r="H52"/>
  <c r="H50"/>
  <c r="H30"/>
  <c r="I29"/>
  <c r="I31"/>
  <c r="I32"/>
  <c r="I51"/>
  <c r="I54"/>
  <c r="H84" i="35"/>
  <c r="I29"/>
  <c r="H30"/>
  <c r="I31"/>
  <c r="I32"/>
  <c r="I51"/>
  <c r="I54"/>
  <c r="I98" i="36" l="1"/>
  <c r="I100" i="35"/>
  <c r="H90" i="34" l="1"/>
  <c r="H86"/>
  <c r="H85"/>
  <c r="H81"/>
  <c r="H78"/>
  <c r="F77"/>
  <c r="H77" s="1"/>
  <c r="H76"/>
  <c r="F75"/>
  <c r="H75" s="1"/>
  <c r="H74"/>
  <c r="H72"/>
  <c r="F71"/>
  <c r="H71" s="1"/>
  <c r="F70"/>
  <c r="H70" s="1"/>
  <c r="F69"/>
  <c r="H69" s="1"/>
  <c r="F68"/>
  <c r="H68" s="1"/>
  <c r="F67"/>
  <c r="H67" s="1"/>
  <c r="F66"/>
  <c r="H66" s="1"/>
  <c r="I65"/>
  <c r="F65"/>
  <c r="H65" s="1"/>
  <c r="F62"/>
  <c r="H60"/>
  <c r="F58"/>
  <c r="H58" s="1"/>
  <c r="F55"/>
  <c r="I55" s="1"/>
  <c r="F54"/>
  <c r="H54" s="1"/>
  <c r="I53"/>
  <c r="H53"/>
  <c r="F52"/>
  <c r="I52" s="1"/>
  <c r="F51"/>
  <c r="H51" s="1"/>
  <c r="F49"/>
  <c r="H49" s="1"/>
  <c r="F48"/>
  <c r="H48" s="1"/>
  <c r="F47"/>
  <c r="H47" s="1"/>
  <c r="F46"/>
  <c r="H46" s="1"/>
  <c r="F45"/>
  <c r="H45" s="1"/>
  <c r="H36"/>
  <c r="H34"/>
  <c r="H33"/>
  <c r="F32"/>
  <c r="H32" s="1"/>
  <c r="E32"/>
  <c r="F31"/>
  <c r="H31" s="1"/>
  <c r="F30"/>
  <c r="I30" s="1"/>
  <c r="F29"/>
  <c r="H29" s="1"/>
  <c r="H88" i="33"/>
  <c r="H87"/>
  <c r="F85"/>
  <c r="H85" s="1"/>
  <c r="H83"/>
  <c r="H80"/>
  <c r="F79"/>
  <c r="H79" s="1"/>
  <c r="H78"/>
  <c r="F77"/>
  <c r="H77" s="1"/>
  <c r="H76"/>
  <c r="H72"/>
  <c r="F71"/>
  <c r="H71" s="1"/>
  <c r="F70"/>
  <c r="H70" s="1"/>
  <c r="F69"/>
  <c r="H69" s="1"/>
  <c r="F68"/>
  <c r="H68" s="1"/>
  <c r="F67"/>
  <c r="H67" s="1"/>
  <c r="F66"/>
  <c r="H66" s="1"/>
  <c r="I65"/>
  <c r="F65"/>
  <c r="H65" s="1"/>
  <c r="F62"/>
  <c r="H60"/>
  <c r="F59"/>
  <c r="H59" s="1"/>
  <c r="F58"/>
  <c r="H58" s="1"/>
  <c r="I53"/>
  <c r="H53"/>
  <c r="F52"/>
  <c r="H52" s="1"/>
  <c r="F51"/>
  <c r="I51" s="1"/>
  <c r="F49"/>
  <c r="H49" s="1"/>
  <c r="F48"/>
  <c r="H48" s="1"/>
  <c r="F47"/>
  <c r="H47" s="1"/>
  <c r="F46"/>
  <c r="H46" s="1"/>
  <c r="F45"/>
  <c r="H45" s="1"/>
  <c r="H34"/>
  <c r="H33"/>
  <c r="F32"/>
  <c r="I32" s="1"/>
  <c r="E32"/>
  <c r="F31"/>
  <c r="I31" s="1"/>
  <c r="F30"/>
  <c r="H30" s="1"/>
  <c r="F29"/>
  <c r="I29" s="1"/>
  <c r="H32" l="1"/>
  <c r="H29"/>
  <c r="H92"/>
  <c r="H31"/>
  <c r="H51"/>
  <c r="I29" i="34"/>
  <c r="H30"/>
  <c r="I31"/>
  <c r="I32"/>
  <c r="I51"/>
  <c r="H52"/>
  <c r="I54"/>
  <c r="H55"/>
  <c r="H84"/>
  <c r="H86" i="33"/>
  <c r="I30"/>
  <c r="I52"/>
  <c r="I59"/>
  <c r="I92" s="1"/>
  <c r="I85"/>
  <c r="I102" i="34" l="1"/>
  <c r="I103" i="33"/>
  <c r="H91" i="32" l="1"/>
  <c r="H87"/>
  <c r="H86"/>
  <c r="H82"/>
  <c r="H79"/>
  <c r="F78"/>
  <c r="H78" s="1"/>
  <c r="H77"/>
  <c r="F76"/>
  <c r="H76" s="1"/>
  <c r="H75"/>
  <c r="H73"/>
  <c r="F72"/>
  <c r="H72" s="1"/>
  <c r="F71"/>
  <c r="H71" s="1"/>
  <c r="F70"/>
  <c r="H70" s="1"/>
  <c r="F69"/>
  <c r="H69" s="1"/>
  <c r="F68"/>
  <c r="H68" s="1"/>
  <c r="F67"/>
  <c r="H67" s="1"/>
  <c r="F66"/>
  <c r="H66" s="1"/>
  <c r="F63"/>
  <c r="H61"/>
  <c r="F60"/>
  <c r="I60" s="1"/>
  <c r="I91" s="1"/>
  <c r="F59"/>
  <c r="H59" s="1"/>
  <c r="F56"/>
  <c r="H56" s="1"/>
  <c r="F55"/>
  <c r="H55" s="1"/>
  <c r="I54"/>
  <c r="H54"/>
  <c r="F53"/>
  <c r="I53" s="1"/>
  <c r="F52"/>
  <c r="I52" s="1"/>
  <c r="H51"/>
  <c r="F50"/>
  <c r="H50" s="1"/>
  <c r="F49"/>
  <c r="H49" s="1"/>
  <c r="F48"/>
  <c r="H48" s="1"/>
  <c r="F47"/>
  <c r="H47" s="1"/>
  <c r="F46"/>
  <c r="H46" s="1"/>
  <c r="H37"/>
  <c r="H35"/>
  <c r="H34"/>
  <c r="F33"/>
  <c r="I33" s="1"/>
  <c r="E33"/>
  <c r="F32"/>
  <c r="I32" s="1"/>
  <c r="F31"/>
  <c r="I31" s="1"/>
  <c r="F30"/>
  <c r="I30" s="1"/>
  <c r="F27"/>
  <c r="I27" s="1"/>
  <c r="I66" i="31"/>
  <c r="I40"/>
  <c r="H89"/>
  <c r="H88"/>
  <c r="F86"/>
  <c r="I86" s="1"/>
  <c r="H84"/>
  <c r="H81"/>
  <c r="F80"/>
  <c r="H80" s="1"/>
  <c r="H79"/>
  <c r="F78"/>
  <c r="H78" s="1"/>
  <c r="H77"/>
  <c r="H73"/>
  <c r="F72"/>
  <c r="H72" s="1"/>
  <c r="F71"/>
  <c r="H71" s="1"/>
  <c r="F70"/>
  <c r="H70" s="1"/>
  <c r="F69"/>
  <c r="H69" s="1"/>
  <c r="F68"/>
  <c r="H68" s="1"/>
  <c r="F67"/>
  <c r="H67" s="1"/>
  <c r="F66"/>
  <c r="H66" s="1"/>
  <c r="F63"/>
  <c r="H61"/>
  <c r="F60"/>
  <c r="H60" s="1"/>
  <c r="F59"/>
  <c r="H59" s="1"/>
  <c r="F56"/>
  <c r="F55"/>
  <c r="I54"/>
  <c r="H54"/>
  <c r="F53"/>
  <c r="I53" s="1"/>
  <c r="F52"/>
  <c r="I52" s="1"/>
  <c r="F51"/>
  <c r="H51" s="1"/>
  <c r="F50"/>
  <c r="H50" s="1"/>
  <c r="F49"/>
  <c r="H49" s="1"/>
  <c r="F48"/>
  <c r="H48" s="1"/>
  <c r="F47"/>
  <c r="H47" s="1"/>
  <c r="F46"/>
  <c r="H46" s="1"/>
  <c r="H43"/>
  <c r="H41"/>
  <c r="H40"/>
  <c r="H39"/>
  <c r="H38"/>
  <c r="H37"/>
  <c r="H35"/>
  <c r="H34"/>
  <c r="F33"/>
  <c r="I33" s="1"/>
  <c r="E33"/>
  <c r="F32"/>
  <c r="I32" s="1"/>
  <c r="F31"/>
  <c r="I31" s="1"/>
  <c r="F30"/>
  <c r="I30" s="1"/>
  <c r="F27"/>
  <c r="I27" s="1"/>
  <c r="H56" l="1"/>
  <c r="I56"/>
  <c r="H55"/>
  <c r="I55"/>
  <c r="H27" i="32"/>
  <c r="H42" i="31"/>
  <c r="H87"/>
  <c r="I51" i="32"/>
  <c r="H31"/>
  <c r="H52"/>
  <c r="H30"/>
  <c r="H32"/>
  <c r="H33"/>
  <c r="H53"/>
  <c r="H60"/>
  <c r="H85" s="1"/>
  <c r="H93" i="31"/>
  <c r="H27"/>
  <c r="I38"/>
  <c r="I41"/>
  <c r="I39"/>
  <c r="I60"/>
  <c r="H53"/>
  <c r="H31"/>
  <c r="H30"/>
  <c r="H32"/>
  <c r="H33"/>
  <c r="H52"/>
  <c r="H86"/>
  <c r="I103" l="1"/>
  <c r="I101" i="32"/>
  <c r="H84" i="26" l="1"/>
  <c r="H83"/>
  <c r="H79"/>
  <c r="H76"/>
  <c r="F75"/>
  <c r="H75" s="1"/>
  <c r="H74"/>
  <c r="F73"/>
  <c r="H73" s="1"/>
  <c r="H72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0"/>
  <c r="H58"/>
  <c r="F57"/>
  <c r="H57" s="1"/>
  <c r="F56"/>
  <c r="H56" s="1"/>
  <c r="F53"/>
  <c r="H53" s="1"/>
  <c r="F52"/>
  <c r="H52" s="1"/>
  <c r="I51"/>
  <c r="H51"/>
  <c r="F50"/>
  <c r="H50" s="1"/>
  <c r="F49"/>
  <c r="I49" s="1"/>
  <c r="F48"/>
  <c r="H48" s="1"/>
  <c r="F47"/>
  <c r="H47" s="1"/>
  <c r="F46"/>
  <c r="H46" s="1"/>
  <c r="F45"/>
  <c r="H45" s="1"/>
  <c r="F44"/>
  <c r="H44" s="1"/>
  <c r="F43"/>
  <c r="H43" s="1"/>
  <c r="H41"/>
  <c r="F40"/>
  <c r="H40" s="1"/>
  <c r="F39"/>
  <c r="H39" s="1"/>
  <c r="H38"/>
  <c r="F37"/>
  <c r="H37" s="1"/>
  <c r="F36"/>
  <c r="H36" s="1"/>
  <c r="H35"/>
  <c r="H33"/>
  <c r="H32"/>
  <c r="F31"/>
  <c r="I31" s="1"/>
  <c r="H82" l="1"/>
  <c r="H49"/>
  <c r="I50"/>
  <c r="H31"/>
  <c r="H88" l="1"/>
  <c r="I99" l="1"/>
</calcChain>
</file>

<file path=xl/sharedStrings.xml><?xml version="1.0" encoding="utf-8"?>
<sst xmlns="http://schemas.openxmlformats.org/spreadsheetml/2006/main" count="2880" uniqueCount="309">
  <si>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</si>
  <si>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</si>
  <si>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</si>
  <si>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</si>
  <si>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</si>
  <si>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</si>
  <si>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</si>
  <si>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</si>
  <si>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</si>
  <si>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</si>
  <si>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</si>
  <si>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</si>
  <si>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</si>
  <si>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</si>
  <si>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</si>
  <si>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</si>
  <si>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</si>
  <si>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</si>
  <si>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</si>
  <si>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</si>
  <si>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</si>
  <si>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</si>
  <si>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</si>
  <si>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</si>
  <si>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</si>
  <si>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</si>
  <si>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</si>
  <si>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</si>
  <si>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</si>
  <si>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</si>
  <si>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</si>
  <si>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</si>
  <si>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</si>
  <si>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</si>
  <si>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</si>
  <si>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</si>
  <si>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</si>
  <si>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</si>
  <si>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</si>
  <si>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</si>
  <si>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</si>
  <si>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</si>
  <si>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</si>
  <si>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</si>
  <si>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</si>
  <si>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</si>
  <si>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</si>
  <si>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</si>
  <si>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</si>
  <si>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</si>
  <si>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</si>
  <si>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</si>
  <si>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</si>
  <si>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</si>
  <si>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</si>
  <si>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</si>
  <si>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</si>
  <si>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</si>
  <si>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</si>
  <si>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</si>
  <si>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</si>
  <si>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</si>
  <si>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</si>
  <si>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</si>
  <si>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</si>
  <si>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</si>
  <si>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</si>
  <si>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</si>
  <si>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</si>
  <si>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</si>
  <si>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</si>
  <si>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</si>
  <si>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</si>
  <si>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</si>
  <si>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</si>
  <si>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</si>
  <si>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</si>
  <si>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</si>
  <si>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</si>
  <si>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</si>
  <si>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</si>
  <si>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</si>
  <si>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</si>
  <si>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</si>
  <si>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</si>
  <si>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</si>
  <si>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</si>
  <si>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</si>
  <si>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</si>
  <si>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</si>
  <si>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</si>
  <si>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</si>
  <si>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Осмотр шиферной кровли</t>
  </si>
  <si>
    <t>шт</t>
  </si>
  <si>
    <t>100м3</t>
  </si>
  <si>
    <t>1000м3</t>
  </si>
  <si>
    <t>Вода для промывки СО</t>
  </si>
  <si>
    <t>Аварийно-диспетчерское обслуживание</t>
  </si>
  <si>
    <t xml:space="preserve">Проверка дымоходов </t>
  </si>
  <si>
    <t>Прочистка каналов</t>
  </si>
  <si>
    <t>30 раз за сезон</t>
  </si>
  <si>
    <t xml:space="preserve">Очистка края кровли от слежавшегося снега со сбрасыванием сосулек (10% от S кровли) </t>
  </si>
  <si>
    <t>АКТ №12</t>
  </si>
  <si>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</si>
  <si>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</si>
  <si>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</si>
  <si>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</si>
  <si>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</si>
  <si>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</si>
  <si>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</si>
  <si>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</si>
  <si>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</si>
  <si>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</si>
  <si>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</si>
  <si>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</si>
  <si>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Вывоз снега с придомовой территории</t>
  </si>
  <si>
    <t xml:space="preserve">6 раз за сезон </t>
  </si>
  <si>
    <t xml:space="preserve">Смена светодиодных светильников </t>
  </si>
  <si>
    <t>Стоимость светодиодного светильника</t>
  </si>
  <si>
    <t>руб</t>
  </si>
  <si>
    <t>Смена плавкой вставки в электрощитке</t>
  </si>
  <si>
    <t>Работа автовышки</t>
  </si>
  <si>
    <t>маш/час</t>
  </si>
  <si>
    <t xml:space="preserve">приемки оказанных услуг и выполненных работ по содержанию и текущему ремонту
общего имущества в многоквартирном доме №14 по ул.Советская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</si>
  <si>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</si>
  <si>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</si>
  <si>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</si>
  <si>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</si>
  <si>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</si>
  <si>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</si>
  <si>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</t>
  </si>
  <si>
    <t>Спуск воды после промывки СО в канализацию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</si>
  <si>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</si>
  <si>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</si>
  <si>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</si>
  <si>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№10</t>
  </si>
  <si>
    <t>м</t>
  </si>
  <si>
    <t>52 раза в сезон</t>
  </si>
  <si>
    <t>52 раза за сезон</t>
  </si>
  <si>
    <t>24 раза за сезон</t>
  </si>
  <si>
    <t>Смена светильника РКУ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</si>
  <si>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</si>
  <si>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</si>
  <si>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</si>
  <si>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</si>
  <si>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Обход и осмотр фасадного газопровода</t>
  </si>
  <si>
    <t>Техническое диагностирование ВДГО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</si>
  <si>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</si>
  <si>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д.14</t>
    </r>
  </si>
  <si>
    <t>Дератизация</t>
  </si>
  <si>
    <t>м2</t>
  </si>
  <si>
    <t>Очистка канализационной сети внутренней</t>
  </si>
  <si>
    <t>час</t>
  </si>
  <si>
    <t>АКТ №3</t>
  </si>
  <si>
    <t>АКТ №4</t>
  </si>
  <si>
    <t>65м2</t>
  </si>
  <si>
    <t>24 ч</t>
  </si>
  <si>
    <t>АКТ №5</t>
  </si>
  <si>
    <t>АКТ №6</t>
  </si>
  <si>
    <t>ООО «Движение»</t>
  </si>
  <si>
    <t>АКТ №7</t>
  </si>
  <si>
    <t>место</t>
  </si>
  <si>
    <t>АКТ №8</t>
  </si>
  <si>
    <t>АКТ №9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</si>
  <si>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</si>
  <si>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</si>
  <si>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Очистка вручную от снега и наледи люков каналиационных и водопроводных колодцев</t>
  </si>
  <si>
    <t>Работа ротенбергера</t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</si>
  <si>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</si>
  <si>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</si>
  <si>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</si>
  <si>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</si>
  <si>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</si>
  <si>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</si>
  <si>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</si>
  <si>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25 раз</t>
  </si>
  <si>
    <t>5 раз</t>
  </si>
  <si>
    <t>1 раз</t>
  </si>
  <si>
    <t>1 маш-час</t>
  </si>
  <si>
    <t xml:space="preserve">1 раз     </t>
  </si>
  <si>
    <t>1 маш/час</t>
  </si>
  <si>
    <t xml:space="preserve">Осмотр водопроводов, канализации, отопления </t>
  </si>
  <si>
    <t xml:space="preserve">1 раз    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</si>
  <si>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01.09.2020г.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</si>
  <si>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6 раз</t>
  </si>
  <si>
    <t>по мере необходимости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</si>
  <si>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</si>
  <si>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</si>
  <si>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дератизация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</si>
  <si>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01.09.2020г.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</si>
  <si>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</si>
  <si>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01.09.2020г.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</si>
  <si>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 шт.</t>
  </si>
  <si>
    <t>1 место</t>
  </si>
  <si>
    <t>18 м</t>
  </si>
  <si>
    <t>6 м</t>
  </si>
  <si>
    <t>за период с 01.01.2021 г. по 31.01.2021 г.</t>
  </si>
  <si>
    <t>Установка хомута диаметром до 50 мм</t>
  </si>
  <si>
    <t>с/о кв.14 1 шт.</t>
  </si>
  <si>
    <t>2. Всего за период с 01.01.2021 по 31.01.2021 выполнено работ (оказано услуг) на общую сумму: 75275,71 руб.</t>
  </si>
  <si>
    <t>(семьдесят пять тысяч двести семьдесят пять рублей 71 копейка)</t>
  </si>
  <si>
    <t>за период с 01.02.2021 г. по 29.02.2021 г.</t>
  </si>
  <si>
    <t>29.02.2021</t>
  </si>
  <si>
    <t>0,3 ч ( 3 февр)</t>
  </si>
  <si>
    <t>1,5 ч</t>
  </si>
  <si>
    <t>Прозвонка жил проводов сечением 2,5 мм2, количество концов жил в коробах до 12</t>
  </si>
  <si>
    <t>1 шт</t>
  </si>
  <si>
    <t>Установка  информационных стендов</t>
  </si>
  <si>
    <t>Смена дверных приборов - пружины</t>
  </si>
  <si>
    <t>4 шт.</t>
  </si>
  <si>
    <t>2 м</t>
  </si>
  <si>
    <t>под.№ 4 р/у</t>
  </si>
  <si>
    <t>2. Всего за период с 01.02.2021 по 29.02.2021 выполнено работ (оказано услуг) на общую сумму: 55591,63 руб.</t>
  </si>
  <si>
    <t>(пятьдесят пять тысяч пятьсот девяносто один рубль 63 копейки)</t>
  </si>
  <si>
    <t>генеральный директор Кочановой И.Л.</t>
  </si>
  <si>
    <t>за период с 01.03.2021 г. по 31.03.2021 г.</t>
  </si>
  <si>
    <t>1 ч</t>
  </si>
  <si>
    <t>22 марта</t>
  </si>
  <si>
    <t>Смена внутренних трубопроводов на полипропиленовые трубы PN 25 Dу 25</t>
  </si>
  <si>
    <t>Смена прокладок</t>
  </si>
  <si>
    <t>кв.16 п/с</t>
  </si>
  <si>
    <t>1 м с/о кв.14</t>
  </si>
  <si>
    <t>за период с 01.04.2021 г. по 30.04.2021 г.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</si>
  <si>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07.09.2020г.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</si>
  <si>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7 апр.-65 м3, 14 апр.-13 м3</t>
  </si>
  <si>
    <t>4,5 маш-час</t>
  </si>
  <si>
    <t>Ремонт отдельных мест покрытия из асбоцементных листов обыкновенного профиля</t>
  </si>
  <si>
    <t>10 м2</t>
  </si>
  <si>
    <t>Шифер</t>
  </si>
  <si>
    <t>6,89 м2</t>
  </si>
  <si>
    <t>5 л</t>
  </si>
  <si>
    <t>кв.2</t>
  </si>
  <si>
    <t>IIi. Содержание общего имущества МКД</t>
  </si>
  <si>
    <t>за период с 01.05.2021 г. по 31.05.2021 г.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</si>
  <si>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07.09.2020г. стороны, и ООО «Дви»,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</si>
  <si>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258 раз</t>
  </si>
  <si>
    <t>4 раза</t>
  </si>
  <si>
    <t>Подборка мусора, налетевшего с контейнерной площадки</t>
  </si>
  <si>
    <t>Внеплановая проверка вентканалов</t>
  </si>
  <si>
    <t>за период с 01.06.2021 г. по 30.06.2021 г.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</si>
  <si>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07.09.2020г.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</si>
  <si>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Герметизация мтыков трубопроводов</t>
  </si>
  <si>
    <t>Герметик</t>
  </si>
  <si>
    <t>6м</t>
  </si>
  <si>
    <t>0,5м с/о кв.47</t>
  </si>
  <si>
    <t>кв.24</t>
  </si>
  <si>
    <t>2. Всего за период с 01.03.2021 по 31.03.2021 выполнено работ (оказано услуг) на общую сумму: 46078,14 руб.</t>
  </si>
  <si>
    <t>(сорок шесть тысяч семьдесят восемь рублей 14 копеек)</t>
  </si>
  <si>
    <t>2. Всего за период с 01.04.2021 по 30.04.2021 выполнено работ (оказано услуг) на общую сумму: 79037,39 руб.</t>
  </si>
  <si>
    <t>( семьдесят девять тысяч тридцать семь рублей 39 копеек)</t>
  </si>
  <si>
    <t>2. Всего за период с 01.05.2021 по 31.05.2021 выполнено работ (оказано услуг) на общую сумму: 79109,10 руб.</t>
  </si>
  <si>
    <t>(семьдесят девять тысяч сто девять рублей 10 копеек)</t>
  </si>
  <si>
    <t xml:space="preserve">1 раз  </t>
  </si>
  <si>
    <t>2. Всего за период с 01.06.2021 по 30.06.2021 выполнено работ (оказано услуг) на общую сумму: 157513,27 руб.</t>
  </si>
  <si>
    <t>(сто пятьдесят семь тысяч пятьсот тринадцать рублей 27 копеек)</t>
  </si>
  <si>
    <t>за период с 01.07.2021 г. по 31.07.2021 г.</t>
  </si>
  <si>
    <t>п/с кв.49</t>
  </si>
  <si>
    <t>2. Всего за период с 01.07.2021 по 31.07.2021 выполнено работ (оказано услуг) на общую сумму: 41534,61 руб.</t>
  </si>
  <si>
    <t>( сорок одна тысяча пятьсот тридцать четыре рубля 61 копейка)</t>
  </si>
  <si>
    <t>за период с 01.08.2021 г. по 31.08.2021 г.</t>
  </si>
  <si>
    <t>Подключение / отключение электрооборудования</t>
  </si>
  <si>
    <t>Измерение сопротивления изоляции сети</t>
  </si>
  <si>
    <t>линия</t>
  </si>
  <si>
    <t>Измерение тока по фазам</t>
  </si>
  <si>
    <t>Нумерация подъездов и квартир</t>
  </si>
  <si>
    <t>Очистка отмостки и цоколя от растительности</t>
  </si>
  <si>
    <t>100шт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</si>
  <si>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</si>
  <si>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</si>
  <si>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</si>
  <si>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</si>
  <si>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>Биосорбент</t>
  </si>
  <si>
    <t>кг</t>
  </si>
  <si>
    <t>Прочистка аэратора</t>
  </si>
  <si>
    <t>3м</t>
  </si>
  <si>
    <t>0,5 м с/о кв.42</t>
  </si>
  <si>
    <t>12,5 кг</t>
  </si>
  <si>
    <t>кв.10</t>
  </si>
  <si>
    <t>49 м</t>
  </si>
  <si>
    <t>2. Всего за период с 01.08.2021 по 31.08.2021 выполнено работ (оказано услуг) на общую сумму: 45677,58 руб.</t>
  </si>
  <si>
    <t>(сорок пять тысяч шестьсот семьдесят семь рублей 58 копеек)</t>
  </si>
  <si>
    <t>за период с 01.09.2021 г. по 30.09.2021 г.</t>
  </si>
  <si>
    <t>4 м</t>
  </si>
  <si>
    <t>2. Всего за период с 01.09.2021 по 30.09.2021 выполнено работ (оказано услуг) на общую сумму: 67517,20 руб.</t>
  </si>
  <si>
    <t>(шестьдесят семь тысяч пятьсот семнадцать рублей 20 копеек)</t>
  </si>
  <si>
    <t>за период с 01.10.2021 г. по 31.10.2021 г.</t>
  </si>
  <si>
    <t>Реимонт козырька под.№4</t>
  </si>
  <si>
    <t>1 м2 горизонтальной проекции</t>
  </si>
  <si>
    <t>Внеплановая проверка дымоходов</t>
  </si>
  <si>
    <t>кв.43</t>
  </si>
  <si>
    <t>8 м</t>
  </si>
  <si>
    <t>2. Всего за период с 01.10.2021 по 31.10.2021 выполнено работ (оказано услуг) на общую сумму: 72166,83 руб.</t>
  </si>
  <si>
    <t>(семьдесят две тысячи сто шестьдесят шесть рублей 83 копейки)</t>
  </si>
  <si>
    <t>за период с 01.11.2021 г. по 30.11.2021 г.</t>
  </si>
  <si>
    <t>1 м/час</t>
  </si>
  <si>
    <t>кв.7</t>
  </si>
  <si>
    <t>22 ноября</t>
  </si>
  <si>
    <t>2. Всего за период с 01.11.2021 по 30.11.2021 выполнено работ (оказано услуг) на общую сумму: 44684,36 руб.</t>
  </si>
  <si>
    <t>(сорок четыре тысячи шестьсот восемьдесят четыре рубля 36 копеек)</t>
  </si>
  <si>
    <t>за период с 01.12.2021 г. по 31.12.2021 г.</t>
  </si>
  <si>
    <t>1 декабря</t>
  </si>
  <si>
    <t>Закрытие окон</t>
  </si>
  <si>
    <t>Смена арматуры - вентилей и клапанов обратных муфтовых диаметром до 32 мм</t>
  </si>
  <si>
    <t>Герметизация монтажной пеной отверстий в тамбуре под. №2</t>
  </si>
  <si>
    <t>под.№3</t>
  </si>
  <si>
    <t>3 м с/о кв.54</t>
  </si>
  <si>
    <t>1 шт. ХВС тех.подполье</t>
  </si>
  <si>
    <t>2. Всего за период с 01.12.2021 по 31.12.2021 выполнено работ (оказано услуг) на общую сумму: 64031,37 руб.</t>
  </si>
  <si>
    <t>(шестьдесят четыре тысячи тридцать один рубль 37 копеек)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</si>
</sst>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20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left" vertical="center" wrapText="1"/>
    </xf>
    <xf numFmtId="14" fontId="11" fillId="0" borderId="12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 wrapText="1"/>
    </xf>
    <xf numFmtId="4" fontId="20" fillId="4" borderId="3" xfId="0" applyNumberFormat="1" applyFont="1" applyFill="1" applyBorder="1" applyAlignment="1">
      <alignment horizontal="center" vertical="center"/>
    </xf>
    <xf numFmtId="4" fontId="20" fillId="2" borderId="9" xfId="0" applyNumberFormat="1" applyFont="1" applyFill="1" applyBorder="1" applyAlignment="1">
      <alignment horizontal="center" vertical="center"/>
    </xf>
    <xf numFmtId="4" fontId="20" fillId="2" borderId="9" xfId="0" applyNumberFormat="1" applyFont="1" applyFill="1" applyBorder="1" applyAlignment="1">
      <alignment horizontal="center" vertical="center" wrapText="1"/>
    </xf>
    <xf numFmtId="4" fontId="20" fillId="4" borderId="9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right" wrapText="1"/>
    </xf>
    <xf numFmtId="0" fontId="13" fillId="0" borderId="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center" vertical="center"/>
    </xf>
    <xf numFmtId="4" fontId="21" fillId="2" borderId="9" xfId="0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left" vertical="center"/>
    </xf>
    <xf numFmtId="0" fontId="11" fillId="2" borderId="15" xfId="0" applyNumberFormat="1" applyFont="1" applyFill="1" applyBorder="1" applyAlignment="1" applyProtection="1">
      <alignment horizontal="left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topLeftCell="A50" workbookViewId="0">
      <selection activeCell="B90" sqref="B90: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5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129</v>
      </c>
      <c r="B3" s="214"/>
      <c r="C3" s="214"/>
      <c r="D3" s="214"/>
      <c r="E3" s="214"/>
      <c r="F3" s="214"/>
      <c r="G3" s="214"/>
      <c r="H3" s="214"/>
      <c r="I3" s="214"/>
    </row>
    <row r="4" spans="1:9" ht="31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196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01"/>
      <c r="C6" s="101"/>
      <c r="D6" s="101"/>
      <c r="E6" s="101"/>
      <c r="F6" s="101"/>
      <c r="G6" s="101"/>
      <c r="H6" s="101"/>
      <c r="I6" s="22">
        <v>44227</v>
      </c>
    </row>
    <row r="7" spans="1:9" ht="15.75">
      <c r="B7" s="100"/>
      <c r="C7" s="100"/>
      <c r="D7" s="100"/>
      <c r="E7" s="2"/>
      <c r="F7" s="2"/>
      <c r="G7" s="2"/>
      <c r="H7" s="2"/>
    </row>
    <row r="8" spans="1:9" ht="78.75" customHeight="1">
      <c r="A8" s="217" t="s">
        <v>191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47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 ht="1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5.7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59" t="s">
        <v>105</v>
      </c>
      <c r="C18" s="160" t="s">
        <v>83</v>
      </c>
      <c r="D18" s="159" t="s">
        <v>177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F18/18*G18</f>
        <v>1630.6828800000001</v>
      </c>
    </row>
    <row r="19" spans="1:9" ht="15.75" hidden="1" customHeight="1">
      <c r="A19" s="21"/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.75" customHeight="1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si="1"/>
        <v>9.9076295999999994E-2</v>
      </c>
      <c r="I25" s="10">
        <f>0.0638*G25</f>
        <v>49.538148</v>
      </c>
    </row>
    <row r="26" spans="1:9" ht="15.75" customHeight="1">
      <c r="A26" s="21">
        <v>7</v>
      </c>
      <c r="B26" s="159" t="s">
        <v>169</v>
      </c>
      <c r="C26" s="160" t="s">
        <v>150</v>
      </c>
      <c r="D26" s="159" t="s">
        <v>174</v>
      </c>
      <c r="E26" s="161">
        <v>4.8</v>
      </c>
      <c r="F26" s="162">
        <f>E26*258</f>
        <v>1238.3999999999999</v>
      </c>
      <c r="G26" s="162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customHeight="1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15.75" hidden="1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5.75" hidden="1" customHeight="1">
      <c r="A29" s="21">
        <v>6</v>
      </c>
      <c r="B29" s="54" t="s">
        <v>91</v>
      </c>
      <c r="C29" s="55" t="s">
        <v>85</v>
      </c>
      <c r="D29" s="54" t="s">
        <v>137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2">SUM(F29*G29/1000)</f>
        <v>1.3260959712</v>
      </c>
      <c r="I29" s="10">
        <f>F29/6*G29</f>
        <v>221.01599519999996</v>
      </c>
    </row>
    <row r="30" spans="1:9" ht="31.5" hidden="1" customHeight="1">
      <c r="A30" s="21">
        <v>7</v>
      </c>
      <c r="B30" s="54" t="s">
        <v>132</v>
      </c>
      <c r="C30" s="55" t="s">
        <v>85</v>
      </c>
      <c r="D30" s="54" t="s">
        <v>138</v>
      </c>
      <c r="E30" s="57">
        <v>31.4</v>
      </c>
      <c r="F30" s="57">
        <f>SUM(E30*52/1000)</f>
        <v>1.6328</v>
      </c>
      <c r="G30" s="57">
        <v>339.21</v>
      </c>
      <c r="H30" s="58">
        <f t="shared" si="2"/>
        <v>0.55386208799999992</v>
      </c>
      <c r="I30" s="10">
        <f t="shared" ref="I30:I32" si="3">F30/6*G30</f>
        <v>92.310347999999991</v>
      </c>
    </row>
    <row r="31" spans="1:9" ht="15.75" hidden="1" customHeight="1">
      <c r="A31" s="21"/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2"/>
        <v>0.49396538100000004</v>
      </c>
      <c r="I31" s="10">
        <f t="shared" si="3"/>
        <v>82.327563500000011</v>
      </c>
    </row>
    <row r="32" spans="1:9" ht="15.75" hidden="1" customHeight="1">
      <c r="A32" s="21">
        <v>8</v>
      </c>
      <c r="B32" s="54" t="s">
        <v>90</v>
      </c>
      <c r="C32" s="55" t="s">
        <v>30</v>
      </c>
      <c r="D32" s="54" t="s">
        <v>63</v>
      </c>
      <c r="E32" s="60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2"/>
        <v>3.841416666666666</v>
      </c>
      <c r="I32" s="10">
        <f t="shared" si="3"/>
        <v>640.23611111111109</v>
      </c>
    </row>
    <row r="33" spans="1:9" ht="15.75" hidden="1" customHeight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2"/>
        <v>0.50183999999999995</v>
      </c>
      <c r="I33" s="10">
        <v>0</v>
      </c>
    </row>
    <row r="34" spans="1:9" ht="15.75" hidden="1" customHeight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2"/>
        <v>1.49031</v>
      </c>
      <c r="I34" s="10">
        <v>0</v>
      </c>
    </row>
    <row r="35" spans="1:9" ht="15.75" customHeight="1">
      <c r="A35" s="21"/>
      <c r="B35" s="73" t="s">
        <v>5</v>
      </c>
      <c r="C35" s="55"/>
      <c r="D35" s="54"/>
      <c r="E35" s="56"/>
      <c r="F35" s="57"/>
      <c r="G35" s="57"/>
      <c r="H35" s="58" t="s">
        <v>130</v>
      </c>
      <c r="I35" s="10"/>
    </row>
    <row r="36" spans="1:9" ht="15.75" hidden="1" customHeight="1">
      <c r="A36" s="21">
        <v>7</v>
      </c>
      <c r="B36" s="54" t="s">
        <v>25</v>
      </c>
      <c r="C36" s="55" t="s">
        <v>31</v>
      </c>
      <c r="D36" s="54"/>
      <c r="E36" s="56"/>
      <c r="F36" s="57">
        <v>6</v>
      </c>
      <c r="G36" s="177">
        <v>2003</v>
      </c>
      <c r="H36" s="58">
        <f>SUM(F36*G36/1000)</f>
        <v>12.018000000000001</v>
      </c>
      <c r="I36" s="10">
        <f>G36*0.4</f>
        <v>801.2</v>
      </c>
    </row>
    <row r="37" spans="1:9" ht="15.75" customHeight="1">
      <c r="A37" s="21">
        <v>8</v>
      </c>
      <c r="B37" s="172" t="s">
        <v>67</v>
      </c>
      <c r="C37" s="173" t="s">
        <v>28</v>
      </c>
      <c r="D37" s="172" t="s">
        <v>176</v>
      </c>
      <c r="E37" s="174">
        <v>26.07</v>
      </c>
      <c r="F37" s="174">
        <f>SUM(E37*30/1000)</f>
        <v>0.78210000000000002</v>
      </c>
      <c r="G37" s="174">
        <v>2757.78</v>
      </c>
      <c r="H37" s="58">
        <f t="shared" ref="H37:H42" si="4">SUM(F37*G37/1000)</f>
        <v>2.1568597380000001</v>
      </c>
      <c r="I37" s="10">
        <f t="shared" ref="I37:I40" si="5">F37/6*G37</f>
        <v>359.47662300000002</v>
      </c>
    </row>
    <row r="38" spans="1:9" ht="15.75" customHeight="1">
      <c r="A38" s="21">
        <v>9</v>
      </c>
      <c r="B38" s="159" t="s">
        <v>68</v>
      </c>
      <c r="C38" s="160" t="s">
        <v>28</v>
      </c>
      <c r="D38" s="159" t="s">
        <v>175</v>
      </c>
      <c r="E38" s="162">
        <v>31.4</v>
      </c>
      <c r="F38" s="174">
        <f>SUM(E38*155/1000)</f>
        <v>4.867</v>
      </c>
      <c r="G38" s="162">
        <v>460.02</v>
      </c>
      <c r="H38" s="58">
        <f t="shared" si="4"/>
        <v>2.23891734</v>
      </c>
      <c r="I38" s="10">
        <f t="shared" si="5"/>
        <v>373.15289000000001</v>
      </c>
    </row>
    <row r="39" spans="1:9" ht="15.75" hidden="1" customHeight="1">
      <c r="A39" s="21">
        <v>10</v>
      </c>
      <c r="B39" s="159" t="s">
        <v>115</v>
      </c>
      <c r="C39" s="160" t="s">
        <v>55</v>
      </c>
      <c r="D39" s="159" t="s">
        <v>185</v>
      </c>
      <c r="E39" s="166"/>
      <c r="F39" s="174">
        <v>110</v>
      </c>
      <c r="G39" s="162">
        <v>314</v>
      </c>
      <c r="H39" s="58">
        <f t="shared" si="4"/>
        <v>34.54</v>
      </c>
      <c r="I39" s="10">
        <f t="shared" si="5"/>
        <v>5756.6666666666661</v>
      </c>
    </row>
    <row r="40" spans="1:9" ht="47.25" customHeight="1">
      <c r="A40" s="21">
        <v>10</v>
      </c>
      <c r="B40" s="159" t="s">
        <v>80</v>
      </c>
      <c r="C40" s="160" t="s">
        <v>85</v>
      </c>
      <c r="D40" s="159" t="s">
        <v>176</v>
      </c>
      <c r="E40" s="162">
        <v>26.07</v>
      </c>
      <c r="F40" s="174">
        <f>SUM(E40*30/1000)</f>
        <v>0.78210000000000002</v>
      </c>
      <c r="G40" s="162">
        <v>7611.16</v>
      </c>
      <c r="H40" s="58">
        <f t="shared" si="4"/>
        <v>5.9526882360000002</v>
      </c>
      <c r="I40" s="10">
        <f t="shared" si="5"/>
        <v>992.11470599999996</v>
      </c>
    </row>
    <row r="41" spans="1:9" ht="15.75" hidden="1" customHeight="1">
      <c r="A41" s="21">
        <v>9</v>
      </c>
      <c r="B41" s="159" t="s">
        <v>86</v>
      </c>
      <c r="C41" s="160" t="s">
        <v>85</v>
      </c>
      <c r="D41" s="159" t="s">
        <v>177</v>
      </c>
      <c r="E41" s="162">
        <v>26.07</v>
      </c>
      <c r="F41" s="174">
        <f>SUM(E41*24/1000)</f>
        <v>0.62568000000000001</v>
      </c>
      <c r="G41" s="162">
        <v>562.25</v>
      </c>
      <c r="H41" s="58">
        <f t="shared" si="4"/>
        <v>0.35178858000000002</v>
      </c>
      <c r="I41" s="10">
        <f>G41*F41/24*1</f>
        <v>14.6578575</v>
      </c>
    </row>
    <row r="42" spans="1:9" ht="15.75" hidden="1" customHeight="1">
      <c r="A42" s="21">
        <v>10</v>
      </c>
      <c r="B42" s="172" t="s">
        <v>69</v>
      </c>
      <c r="C42" s="173" t="s">
        <v>32</v>
      </c>
      <c r="D42" s="172"/>
      <c r="E42" s="175"/>
      <c r="F42" s="174">
        <v>0.3</v>
      </c>
      <c r="G42" s="174">
        <v>974.83</v>
      </c>
      <c r="H42" s="58">
        <f t="shared" si="4"/>
        <v>0.29244900000000001</v>
      </c>
      <c r="I42" s="10">
        <f>G42*F42/24*1</f>
        <v>12.185375000000001</v>
      </c>
    </row>
    <row r="43" spans="1:9" ht="31.5" customHeight="1">
      <c r="A43" s="180">
        <v>11</v>
      </c>
      <c r="B43" s="91" t="s">
        <v>166</v>
      </c>
      <c r="C43" s="92" t="s">
        <v>28</v>
      </c>
      <c r="D43" s="172" t="s">
        <v>172</v>
      </c>
      <c r="E43" s="175">
        <v>3</v>
      </c>
      <c r="F43" s="174">
        <f>SUM(E43*12/1000)</f>
        <v>3.5999999999999997E-2</v>
      </c>
      <c r="G43" s="174">
        <v>20547.34</v>
      </c>
      <c r="H43" s="49"/>
      <c r="I43" s="10">
        <f>G43*F43/6*1</f>
        <v>123.28403999999999</v>
      </c>
    </row>
    <row r="44" spans="1:9" ht="15.75" customHeight="1">
      <c r="A44" s="201" t="s">
        <v>124</v>
      </c>
      <c r="B44" s="202"/>
      <c r="C44" s="202"/>
      <c r="D44" s="202"/>
      <c r="E44" s="202"/>
      <c r="F44" s="202"/>
      <c r="G44" s="202"/>
      <c r="H44" s="202"/>
      <c r="I44" s="203"/>
    </row>
    <row r="45" spans="1:9" ht="15.75" hidden="1" customHeight="1">
      <c r="A45" s="21"/>
      <c r="B45" s="54" t="s">
        <v>92</v>
      </c>
      <c r="C45" s="55" t="s">
        <v>85</v>
      </c>
      <c r="D45" s="54" t="s">
        <v>42</v>
      </c>
      <c r="E45" s="56">
        <v>1109.4000000000001</v>
      </c>
      <c r="F45" s="57">
        <f>SUM(E45*2/1000)</f>
        <v>2.2188000000000003</v>
      </c>
      <c r="G45" s="10">
        <v>1172.4100000000001</v>
      </c>
      <c r="H45" s="58">
        <f t="shared" ref="H45:H53" si="6">SUM(F45*G45/1000)</f>
        <v>2.6013433080000006</v>
      </c>
      <c r="I45" s="10">
        <v>0</v>
      </c>
    </row>
    <row r="46" spans="1:9" ht="15.75" hidden="1" customHeight="1">
      <c r="A46" s="21"/>
      <c r="B46" s="54" t="s">
        <v>35</v>
      </c>
      <c r="C46" s="55" t="s">
        <v>85</v>
      </c>
      <c r="D46" s="54" t="s">
        <v>42</v>
      </c>
      <c r="E46" s="56">
        <v>66</v>
      </c>
      <c r="F46" s="57">
        <f>SUM(E46*2/1000)</f>
        <v>0.13200000000000001</v>
      </c>
      <c r="G46" s="10">
        <v>4419.05</v>
      </c>
      <c r="H46" s="58">
        <f t="shared" si="6"/>
        <v>0.58331460000000002</v>
      </c>
      <c r="I46" s="10">
        <v>0</v>
      </c>
    </row>
    <row r="47" spans="1:9" ht="15.75" hidden="1" customHeight="1">
      <c r="A47" s="21"/>
      <c r="B47" s="54" t="s">
        <v>36</v>
      </c>
      <c r="C47" s="55" t="s">
        <v>85</v>
      </c>
      <c r="D47" s="54" t="s">
        <v>42</v>
      </c>
      <c r="E47" s="56">
        <v>1563.2750000000001</v>
      </c>
      <c r="F47" s="57">
        <f>SUM(E47*2/1000)</f>
        <v>3.1265500000000004</v>
      </c>
      <c r="G47" s="10">
        <v>1803.69</v>
      </c>
      <c r="H47" s="58">
        <f t="shared" si="6"/>
        <v>5.6393269695000008</v>
      </c>
      <c r="I47" s="10">
        <v>0</v>
      </c>
    </row>
    <row r="48" spans="1:9" ht="15.75" hidden="1" customHeight="1">
      <c r="A48" s="21"/>
      <c r="B48" s="54" t="s">
        <v>37</v>
      </c>
      <c r="C48" s="55" t="s">
        <v>85</v>
      </c>
      <c r="D48" s="54" t="s">
        <v>42</v>
      </c>
      <c r="E48" s="56">
        <v>1619.6</v>
      </c>
      <c r="F48" s="57">
        <f>SUM(E48*2/1000)</f>
        <v>3.2391999999999999</v>
      </c>
      <c r="G48" s="10">
        <v>1243.43</v>
      </c>
      <c r="H48" s="58">
        <f t="shared" si="6"/>
        <v>4.0277184559999997</v>
      </c>
      <c r="I48" s="10">
        <v>0</v>
      </c>
    </row>
    <row r="49" spans="1:9" ht="15.75" hidden="1" customHeight="1">
      <c r="A49" s="21"/>
      <c r="B49" s="54" t="s">
        <v>33</v>
      </c>
      <c r="C49" s="55" t="s">
        <v>34</v>
      </c>
      <c r="D49" s="54" t="s">
        <v>42</v>
      </c>
      <c r="E49" s="56">
        <v>85.84</v>
      </c>
      <c r="F49" s="57">
        <f>SUM(E49*2/100)</f>
        <v>1.7168000000000001</v>
      </c>
      <c r="G49" s="10">
        <v>1352.76</v>
      </c>
      <c r="H49" s="58">
        <f t="shared" si="6"/>
        <v>2.3224183680000001</v>
      </c>
      <c r="I49" s="10">
        <v>0</v>
      </c>
    </row>
    <row r="50" spans="1:9" ht="15.75" customHeight="1">
      <c r="A50" s="21">
        <v>12</v>
      </c>
      <c r="B50" s="54" t="s">
        <v>56</v>
      </c>
      <c r="C50" s="55" t="s">
        <v>85</v>
      </c>
      <c r="D50" s="54" t="s">
        <v>177</v>
      </c>
      <c r="E50" s="178">
        <v>887.5</v>
      </c>
      <c r="F50" s="177">
        <f>SUM(E50*5/1000)</f>
        <v>4.4375</v>
      </c>
      <c r="G50" s="151">
        <v>1809.27</v>
      </c>
      <c r="H50" s="58">
        <f t="shared" ref="H50" si="7">SUM(F50*G50/1000)</f>
        <v>8.0286356249999997</v>
      </c>
      <c r="I50" s="10">
        <f>F50/5*G50</f>
        <v>1605.7271249999999</v>
      </c>
    </row>
    <row r="51" spans="1:9" ht="31.5" hidden="1" customHeight="1">
      <c r="A51" s="21">
        <v>9</v>
      </c>
      <c r="B51" s="54" t="s">
        <v>87</v>
      </c>
      <c r="C51" s="55" t="s">
        <v>85</v>
      </c>
      <c r="D51" s="54" t="s">
        <v>42</v>
      </c>
      <c r="E51" s="56">
        <v>2579.4</v>
      </c>
      <c r="F51" s="57">
        <f>SUM(E51*2/1000)</f>
        <v>5.1588000000000003</v>
      </c>
      <c r="G51" s="10">
        <v>1591.6</v>
      </c>
      <c r="H51" s="58">
        <f t="shared" si="6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4" t="s">
        <v>88</v>
      </c>
      <c r="C52" s="55" t="s">
        <v>38</v>
      </c>
      <c r="D52" s="54" t="s">
        <v>42</v>
      </c>
      <c r="E52" s="56">
        <v>20</v>
      </c>
      <c r="F52" s="57">
        <f>SUM(E52*2/100)</f>
        <v>0.4</v>
      </c>
      <c r="G52" s="10">
        <v>4058.32</v>
      </c>
      <c r="H52" s="58">
        <f t="shared" si="6"/>
        <v>1.6233280000000001</v>
      </c>
      <c r="I52" s="10">
        <f t="shared" ref="I52:I53" si="8">F52/2*G52</f>
        <v>811.6640000000001</v>
      </c>
    </row>
    <row r="53" spans="1:9" ht="15.75" hidden="1" customHeight="1">
      <c r="A53" s="21">
        <v>11</v>
      </c>
      <c r="B53" s="54" t="s">
        <v>39</v>
      </c>
      <c r="C53" s="55" t="s">
        <v>40</v>
      </c>
      <c r="D53" s="54" t="s">
        <v>42</v>
      </c>
      <c r="E53" s="56">
        <v>1</v>
      </c>
      <c r="F53" s="57">
        <v>0.02</v>
      </c>
      <c r="G53" s="10">
        <v>7412.92</v>
      </c>
      <c r="H53" s="58">
        <f t="shared" si="6"/>
        <v>0.14825839999999998</v>
      </c>
      <c r="I53" s="10">
        <f t="shared" si="8"/>
        <v>74.129199999999997</v>
      </c>
    </row>
    <row r="54" spans="1:9" ht="15.75" customHeight="1">
      <c r="A54" s="181">
        <v>13</v>
      </c>
      <c r="B54" s="159" t="s">
        <v>98</v>
      </c>
      <c r="C54" s="160" t="s">
        <v>93</v>
      </c>
      <c r="D54" s="183">
        <v>44221</v>
      </c>
      <c r="E54" s="166">
        <v>62</v>
      </c>
      <c r="F54" s="162">
        <f>SUM(E54*3)</f>
        <v>186</v>
      </c>
      <c r="G54" s="158">
        <v>290.39999999999998</v>
      </c>
      <c r="H54" s="49"/>
      <c r="I54" s="182">
        <f>G54*F54/3</f>
        <v>18004.8</v>
      </c>
    </row>
    <row r="55" spans="1:9" ht="15.75" customHeight="1">
      <c r="A55" s="181">
        <v>14</v>
      </c>
      <c r="B55" s="159" t="s">
        <v>41</v>
      </c>
      <c r="C55" s="160" t="s">
        <v>93</v>
      </c>
      <c r="D55" s="183">
        <v>44221</v>
      </c>
      <c r="E55" s="166">
        <v>124</v>
      </c>
      <c r="F55" s="162">
        <f>SUM(E55)*3</f>
        <v>372</v>
      </c>
      <c r="G55" s="158">
        <v>90</v>
      </c>
      <c r="H55" s="49"/>
      <c r="I55" s="182">
        <f>G55*F55/3</f>
        <v>11160</v>
      </c>
    </row>
    <row r="56" spans="1:9" ht="15.75" customHeight="1">
      <c r="A56" s="204" t="s">
        <v>125</v>
      </c>
      <c r="B56" s="205"/>
      <c r="C56" s="205"/>
      <c r="D56" s="205"/>
      <c r="E56" s="205"/>
      <c r="F56" s="205"/>
      <c r="G56" s="205"/>
      <c r="H56" s="205"/>
      <c r="I56" s="206"/>
    </row>
    <row r="57" spans="1:9" ht="15.75" customHeight="1">
      <c r="A57" s="77"/>
      <c r="B57" s="78" t="s">
        <v>43</v>
      </c>
      <c r="C57" s="79"/>
      <c r="D57" s="80"/>
      <c r="E57" s="81"/>
      <c r="F57" s="82"/>
      <c r="G57" s="82"/>
      <c r="H57" s="83"/>
      <c r="I57" s="84"/>
    </row>
    <row r="58" spans="1:9" ht="34.5" hidden="1" customHeight="1">
      <c r="A58" s="21">
        <v>14</v>
      </c>
      <c r="B58" s="54" t="s">
        <v>101</v>
      </c>
      <c r="C58" s="55" t="s">
        <v>83</v>
      </c>
      <c r="D58" s="54"/>
      <c r="E58" s="56">
        <v>126.94</v>
      </c>
      <c r="F58" s="57">
        <f>SUM(E58*6/100)</f>
        <v>7.6163999999999996</v>
      </c>
      <c r="G58" s="10">
        <v>2029.3</v>
      </c>
      <c r="H58" s="58">
        <f>SUM(F58*G58/1000)</f>
        <v>15.455960519999998</v>
      </c>
      <c r="I58" s="10">
        <f>G58*0.129</f>
        <v>261.77969999999999</v>
      </c>
    </row>
    <row r="59" spans="1:9" ht="31.5" customHeight="1">
      <c r="A59" s="21">
        <v>15</v>
      </c>
      <c r="B59" s="54" t="s">
        <v>77</v>
      </c>
      <c r="C59" s="55" t="s">
        <v>83</v>
      </c>
      <c r="D59" s="54" t="s">
        <v>173</v>
      </c>
      <c r="E59" s="15">
        <v>19.899999999999999</v>
      </c>
      <c r="F59" s="57">
        <f>SUM(E59*6/100)</f>
        <v>1.194</v>
      </c>
      <c r="G59" s="179">
        <v>2306.83</v>
      </c>
      <c r="H59" s="58">
        <f t="shared" ref="H59:H60" si="9">SUM(F59*G59/1000)</f>
        <v>2.7543550199999998</v>
      </c>
      <c r="I59" s="10">
        <f t="shared" ref="I59" si="10">F59/6*G59</f>
        <v>459.05916999999994</v>
      </c>
    </row>
    <row r="60" spans="1:9" ht="18" hidden="1" customHeight="1">
      <c r="A60" s="21">
        <v>16</v>
      </c>
      <c r="B60" s="63" t="s">
        <v>121</v>
      </c>
      <c r="C60" s="62" t="s">
        <v>122</v>
      </c>
      <c r="D60" s="63" t="s">
        <v>178</v>
      </c>
      <c r="E60" s="85"/>
      <c r="F60" s="65">
        <v>3</v>
      </c>
      <c r="G60" s="57">
        <v>1582.05</v>
      </c>
      <c r="H60" s="58">
        <f t="shared" si="9"/>
        <v>4.7461499999999992</v>
      </c>
      <c r="I60" s="10">
        <f>G60*1</f>
        <v>1582.05</v>
      </c>
    </row>
    <row r="61" spans="1:9" ht="18.75" customHeight="1">
      <c r="A61" s="21"/>
      <c r="B61" s="74" t="s">
        <v>44</v>
      </c>
      <c r="C61" s="62"/>
      <c r="D61" s="63"/>
      <c r="E61" s="64"/>
      <c r="F61" s="65"/>
      <c r="G61" s="49"/>
      <c r="H61" s="66"/>
      <c r="I61" s="84"/>
    </row>
    <row r="62" spans="1:9" ht="21" hidden="1" customHeight="1">
      <c r="A62" s="21"/>
      <c r="B62" s="63" t="s">
        <v>45</v>
      </c>
      <c r="C62" s="62" t="s">
        <v>83</v>
      </c>
      <c r="D62" s="63" t="s">
        <v>54</v>
      </c>
      <c r="E62" s="64">
        <v>450</v>
      </c>
      <c r="F62" s="57">
        <f>SUM(E62/100)</f>
        <v>4.5</v>
      </c>
      <c r="G62" s="10">
        <v>1040.8399999999999</v>
      </c>
      <c r="H62" s="67">
        <v>7.6349999999999998</v>
      </c>
      <c r="I62" s="10">
        <v>0</v>
      </c>
    </row>
    <row r="63" spans="1:9" ht="21" customHeight="1">
      <c r="A63" s="21">
        <v>16</v>
      </c>
      <c r="B63" s="149" t="s">
        <v>188</v>
      </c>
      <c r="C63" s="150" t="s">
        <v>150</v>
      </c>
      <c r="D63" s="149" t="s">
        <v>177</v>
      </c>
      <c r="E63" s="170">
        <v>48</v>
      </c>
      <c r="F63" s="171">
        <v>576</v>
      </c>
      <c r="G63" s="26">
        <v>1.4</v>
      </c>
      <c r="H63" s="67"/>
      <c r="I63" s="10">
        <f>G63*F63/12</f>
        <v>67.2</v>
      </c>
    </row>
    <row r="64" spans="1:9" ht="18.75" hidden="1" customHeight="1">
      <c r="A64" s="21"/>
      <c r="B64" s="74" t="s">
        <v>46</v>
      </c>
      <c r="C64" s="62"/>
      <c r="D64" s="63"/>
      <c r="E64" s="64"/>
      <c r="F64" s="65"/>
      <c r="G64" s="68"/>
      <c r="H64" s="66" t="s">
        <v>130</v>
      </c>
      <c r="I64" s="10"/>
    </row>
    <row r="65" spans="1:9" ht="19.5" hidden="1" customHeight="1">
      <c r="A65" s="21">
        <v>16</v>
      </c>
      <c r="B65" s="11" t="s">
        <v>47</v>
      </c>
      <c r="C65" s="13" t="s">
        <v>93</v>
      </c>
      <c r="D65" s="11" t="s">
        <v>66</v>
      </c>
      <c r="E65" s="15">
        <v>5</v>
      </c>
      <c r="F65" s="57">
        <f>E65</f>
        <v>5</v>
      </c>
      <c r="G65" s="10">
        <v>291.68</v>
      </c>
      <c r="H65" s="53">
        <f t="shared" ref="H65:H72" si="11">SUM(F65*G65/1000)</f>
        <v>1.4584000000000001</v>
      </c>
      <c r="I65" s="10">
        <f>G65</f>
        <v>291.68</v>
      </c>
    </row>
    <row r="66" spans="1:9" ht="18.75" hidden="1" customHeight="1">
      <c r="A66" s="21"/>
      <c r="B66" s="11" t="s">
        <v>48</v>
      </c>
      <c r="C66" s="13" t="s">
        <v>93</v>
      </c>
      <c r="D66" s="11" t="s">
        <v>66</v>
      </c>
      <c r="E66" s="15">
        <v>2</v>
      </c>
      <c r="F66" s="57">
        <f>E66</f>
        <v>2</v>
      </c>
      <c r="G66" s="10">
        <v>100.01</v>
      </c>
      <c r="H66" s="53">
        <f t="shared" si="11"/>
        <v>0.20002</v>
      </c>
      <c r="I66" s="10">
        <v>0</v>
      </c>
    </row>
    <row r="67" spans="1:9" ht="20.25" hidden="1" customHeight="1">
      <c r="A67" s="21"/>
      <c r="B67" s="11" t="s">
        <v>49</v>
      </c>
      <c r="C67" s="13" t="s">
        <v>94</v>
      </c>
      <c r="D67" s="11" t="s">
        <v>54</v>
      </c>
      <c r="E67" s="56">
        <v>13313</v>
      </c>
      <c r="F67" s="10">
        <f>SUM(E67/100)</f>
        <v>133.13</v>
      </c>
      <c r="G67" s="10">
        <v>278.24</v>
      </c>
      <c r="H67" s="53">
        <f t="shared" si="11"/>
        <v>37.042091200000002</v>
      </c>
      <c r="I67" s="10">
        <v>0</v>
      </c>
    </row>
    <row r="68" spans="1:9" ht="18" hidden="1" customHeight="1">
      <c r="A68" s="21"/>
      <c r="B68" s="11" t="s">
        <v>50</v>
      </c>
      <c r="C68" s="13" t="s">
        <v>95</v>
      </c>
      <c r="D68" s="11"/>
      <c r="E68" s="56">
        <v>13313</v>
      </c>
      <c r="F68" s="10">
        <f>SUM(E68/1000)</f>
        <v>13.313000000000001</v>
      </c>
      <c r="G68" s="10">
        <v>216.68</v>
      </c>
      <c r="H68" s="53">
        <f t="shared" si="11"/>
        <v>2.88466084</v>
      </c>
      <c r="I68" s="10">
        <v>0</v>
      </c>
    </row>
    <row r="69" spans="1:9" ht="20.25" hidden="1" customHeight="1">
      <c r="A69" s="21"/>
      <c r="B69" s="11" t="s">
        <v>51</v>
      </c>
      <c r="C69" s="13" t="s">
        <v>75</v>
      </c>
      <c r="D69" s="11" t="s">
        <v>54</v>
      </c>
      <c r="E69" s="56">
        <v>2184</v>
      </c>
      <c r="F69" s="10">
        <f>SUM(E69/100)</f>
        <v>21.84</v>
      </c>
      <c r="G69" s="10">
        <v>2720.94</v>
      </c>
      <c r="H69" s="53">
        <f t="shared" si="11"/>
        <v>59.425329599999998</v>
      </c>
      <c r="I69" s="10">
        <v>0</v>
      </c>
    </row>
    <row r="70" spans="1:9" ht="21.75" hidden="1" customHeight="1">
      <c r="A70" s="21"/>
      <c r="B70" s="69" t="s">
        <v>96</v>
      </c>
      <c r="C70" s="13" t="s">
        <v>32</v>
      </c>
      <c r="D70" s="11"/>
      <c r="E70" s="56">
        <v>12.2</v>
      </c>
      <c r="F70" s="10">
        <f>SUM(E70)</f>
        <v>12.2</v>
      </c>
      <c r="G70" s="10">
        <v>42.61</v>
      </c>
      <c r="H70" s="53">
        <f t="shared" si="11"/>
        <v>0.51984200000000003</v>
      </c>
      <c r="I70" s="10">
        <v>0</v>
      </c>
    </row>
    <row r="71" spans="1:9" ht="21.75" hidden="1" customHeight="1">
      <c r="A71" s="21"/>
      <c r="B71" s="69" t="s">
        <v>131</v>
      </c>
      <c r="C71" s="13" t="s">
        <v>32</v>
      </c>
      <c r="D71" s="11"/>
      <c r="E71" s="56">
        <v>12.2</v>
      </c>
      <c r="F71" s="10">
        <f>SUM(E71)</f>
        <v>12.2</v>
      </c>
      <c r="G71" s="10">
        <v>46.04</v>
      </c>
      <c r="H71" s="53">
        <f t="shared" si="11"/>
        <v>0.56168799999999997</v>
      </c>
      <c r="I71" s="10">
        <v>0</v>
      </c>
    </row>
    <row r="72" spans="1:9" ht="21.75" hidden="1" customHeight="1">
      <c r="A72" s="21"/>
      <c r="B72" s="11" t="s">
        <v>57</v>
      </c>
      <c r="C72" s="13" t="s">
        <v>58</v>
      </c>
      <c r="D72" s="11" t="s">
        <v>54</v>
      </c>
      <c r="E72" s="15">
        <v>3</v>
      </c>
      <c r="F72" s="57">
        <v>3</v>
      </c>
      <c r="G72" s="10">
        <v>65.42</v>
      </c>
      <c r="H72" s="53">
        <f t="shared" si="11"/>
        <v>0.19625999999999999</v>
      </c>
      <c r="I72" s="10">
        <v>0</v>
      </c>
    </row>
    <row r="73" spans="1:9" ht="18.75" customHeight="1">
      <c r="A73" s="21"/>
      <c r="B73" s="86" t="s">
        <v>142</v>
      </c>
      <c r="C73" s="40"/>
      <c r="D73" s="11"/>
      <c r="E73" s="15"/>
      <c r="F73" s="49"/>
      <c r="G73" s="10"/>
      <c r="H73" s="53"/>
      <c r="I73" s="10"/>
    </row>
    <row r="74" spans="1:9" ht="21.75" customHeight="1">
      <c r="A74" s="21">
        <v>17</v>
      </c>
      <c r="B74" s="152" t="s">
        <v>143</v>
      </c>
      <c r="C74" s="28" t="s">
        <v>144</v>
      </c>
      <c r="D74" s="152"/>
      <c r="E74" s="14">
        <v>3227.7</v>
      </c>
      <c r="F74" s="26">
        <f>SUM(E74*12)</f>
        <v>38732.399999999994</v>
      </c>
      <c r="G74" s="26">
        <v>2.6</v>
      </c>
      <c r="H74" s="53">
        <f t="shared" ref="H74" si="12">SUM(F74*G74/1000)</f>
        <v>100.70423999999998</v>
      </c>
      <c r="I74" s="10">
        <f>F74/12*G74</f>
        <v>8392.0199999999986</v>
      </c>
    </row>
    <row r="75" spans="1:9" ht="18" customHeight="1">
      <c r="A75" s="21"/>
      <c r="B75" s="103" t="s">
        <v>71</v>
      </c>
      <c r="C75" s="13"/>
      <c r="D75" s="11"/>
      <c r="E75" s="15"/>
      <c r="F75" s="10"/>
      <c r="G75" s="10"/>
      <c r="H75" s="53" t="s">
        <v>130</v>
      </c>
      <c r="I75" s="10"/>
    </row>
    <row r="76" spans="1:9" ht="17.25" hidden="1" customHeight="1">
      <c r="A76" s="21"/>
      <c r="B76" s="11" t="s">
        <v>117</v>
      </c>
      <c r="C76" s="13" t="s">
        <v>93</v>
      </c>
      <c r="D76" s="11" t="s">
        <v>66</v>
      </c>
      <c r="E76" s="15">
        <v>1</v>
      </c>
      <c r="F76" s="10">
        <v>1</v>
      </c>
      <c r="G76" s="10">
        <v>1029.1199999999999</v>
      </c>
      <c r="H76" s="53">
        <f t="shared" ref="H76:H79" si="13">SUM(F76*G76/1000)</f>
        <v>1.0291199999999998</v>
      </c>
      <c r="I76" s="10">
        <v>0</v>
      </c>
    </row>
    <row r="77" spans="1:9" ht="18" hidden="1" customHeight="1">
      <c r="A77" s="21"/>
      <c r="B77" s="11" t="s">
        <v>118</v>
      </c>
      <c r="C77" s="13" t="s">
        <v>119</v>
      </c>
      <c r="D77" s="11"/>
      <c r="E77" s="15">
        <v>1</v>
      </c>
      <c r="F77" s="10">
        <f>E77</f>
        <v>1</v>
      </c>
      <c r="G77" s="10">
        <v>735</v>
      </c>
      <c r="H77" s="53">
        <f t="shared" si="13"/>
        <v>0.73499999999999999</v>
      </c>
      <c r="I77" s="10">
        <v>0</v>
      </c>
    </row>
    <row r="78" spans="1:9" ht="17.25" hidden="1" customHeight="1">
      <c r="A78" s="21"/>
      <c r="B78" s="11" t="s">
        <v>72</v>
      </c>
      <c r="C78" s="13" t="s">
        <v>73</v>
      </c>
      <c r="D78" s="11" t="s">
        <v>66</v>
      </c>
      <c r="E78" s="15">
        <v>3</v>
      </c>
      <c r="F78" s="10">
        <v>0.2</v>
      </c>
      <c r="G78" s="10">
        <v>657.87</v>
      </c>
      <c r="H78" s="53">
        <f t="shared" si="13"/>
        <v>0.13157400000000002</v>
      </c>
      <c r="I78" s="10">
        <v>0</v>
      </c>
    </row>
    <row r="79" spans="1:9" ht="16.5" hidden="1" customHeight="1">
      <c r="A79" s="21"/>
      <c r="B79" s="11" t="s">
        <v>120</v>
      </c>
      <c r="C79" s="13" t="s">
        <v>93</v>
      </c>
      <c r="D79" s="11" t="s">
        <v>66</v>
      </c>
      <c r="E79" s="15">
        <v>1</v>
      </c>
      <c r="F79" s="57">
        <f>SUM(E79)</f>
        <v>1</v>
      </c>
      <c r="G79" s="10">
        <v>1118.72</v>
      </c>
      <c r="H79" s="53">
        <f t="shared" si="13"/>
        <v>1.1187199999999999</v>
      </c>
      <c r="I79" s="10">
        <v>0</v>
      </c>
    </row>
    <row r="80" spans="1:9" ht="13.5" hidden="1" customHeight="1">
      <c r="A80" s="21"/>
      <c r="B80" s="39" t="s">
        <v>140</v>
      </c>
      <c r="C80" s="40" t="s">
        <v>93</v>
      </c>
      <c r="D80" s="11" t="s">
        <v>66</v>
      </c>
      <c r="E80" s="15">
        <v>1</v>
      </c>
      <c r="F80" s="49">
        <v>1</v>
      </c>
      <c r="G80" s="10">
        <v>1605.83</v>
      </c>
      <c r="H80" s="53">
        <f>SUM(F80*G80/1000)</f>
        <v>1.6058299999999999</v>
      </c>
      <c r="I80" s="10">
        <v>0</v>
      </c>
    </row>
    <row r="81" spans="1:9" ht="17.25" customHeight="1">
      <c r="A81" s="21">
        <v>18</v>
      </c>
      <c r="B81" s="91" t="s">
        <v>141</v>
      </c>
      <c r="C81" s="92" t="s">
        <v>93</v>
      </c>
      <c r="D81" s="152" t="s">
        <v>173</v>
      </c>
      <c r="E81" s="14">
        <v>2</v>
      </c>
      <c r="F81" s="162">
        <f>E81*12</f>
        <v>24</v>
      </c>
      <c r="G81" s="26">
        <v>425</v>
      </c>
      <c r="H81" s="53">
        <f t="shared" ref="H81" si="14">SUM(F81*G81/1000)</f>
        <v>10.199999999999999</v>
      </c>
      <c r="I81" s="10">
        <f>G81*2</f>
        <v>850</v>
      </c>
    </row>
    <row r="82" spans="1:9" ht="18.75" hidden="1" customHeight="1">
      <c r="A82" s="21"/>
      <c r="B82" s="71" t="s">
        <v>74</v>
      </c>
      <c r="C82" s="13"/>
      <c r="D82" s="11"/>
      <c r="E82" s="15"/>
      <c r="F82" s="10"/>
      <c r="G82" s="10" t="s">
        <v>130</v>
      </c>
      <c r="H82" s="53" t="s">
        <v>130</v>
      </c>
      <c r="I82" s="10"/>
    </row>
    <row r="83" spans="1:9" ht="19.5" hidden="1" customHeight="1">
      <c r="A83" s="21"/>
      <c r="B83" s="35" t="s">
        <v>99</v>
      </c>
      <c r="C83" s="13" t="s">
        <v>75</v>
      </c>
      <c r="D83" s="11"/>
      <c r="E83" s="15"/>
      <c r="F83" s="10">
        <v>0.1</v>
      </c>
      <c r="G83" s="10">
        <v>2949.85</v>
      </c>
      <c r="H83" s="53">
        <f t="shared" ref="H83" si="15">SUM(F83*G83/1000)</f>
        <v>0.294985</v>
      </c>
      <c r="I83" s="10">
        <v>0</v>
      </c>
    </row>
    <row r="84" spans="1:9" ht="15.75" hidden="1" customHeight="1">
      <c r="A84" s="21"/>
      <c r="B84" s="86" t="s">
        <v>142</v>
      </c>
      <c r="C84" s="40"/>
      <c r="D84" s="11"/>
      <c r="E84" s="15"/>
      <c r="F84" s="49"/>
      <c r="G84" s="10"/>
      <c r="H84" s="53"/>
      <c r="I84" s="10"/>
    </row>
    <row r="85" spans="1:9" ht="15.75" hidden="1" customHeight="1">
      <c r="A85" s="21">
        <v>11</v>
      </c>
      <c r="B85" s="11" t="s">
        <v>143</v>
      </c>
      <c r="C85" s="21" t="s">
        <v>144</v>
      </c>
      <c r="D85" s="11"/>
      <c r="E85" s="15">
        <v>2579.4</v>
      </c>
      <c r="F85" s="10">
        <f>SUM(E85*12)</f>
        <v>30952.800000000003</v>
      </c>
      <c r="G85" s="10">
        <v>2.2799999999999998</v>
      </c>
      <c r="H85" s="53">
        <f t="shared" ref="H85" si="16">SUM(F85*G85/1000)</f>
        <v>70.572384</v>
      </c>
      <c r="I85" s="10">
        <f>F85/12*G85</f>
        <v>5881.0320000000002</v>
      </c>
    </row>
    <row r="86" spans="1:9" ht="15.75" hidden="1" customHeight="1">
      <c r="A86" s="21"/>
      <c r="B86" s="103" t="s">
        <v>89</v>
      </c>
      <c r="C86" s="71"/>
      <c r="D86" s="23"/>
      <c r="E86" s="24"/>
      <c r="F86" s="59"/>
      <c r="G86" s="59"/>
      <c r="H86" s="72">
        <f>SUM(H58:H83)</f>
        <v>248.69922617999998</v>
      </c>
      <c r="I86" s="59"/>
    </row>
    <row r="87" spans="1:9" ht="15.75" hidden="1" customHeight="1">
      <c r="A87" s="21"/>
      <c r="B87" s="11" t="s">
        <v>145</v>
      </c>
      <c r="C87" s="13"/>
      <c r="D87" s="11"/>
      <c r="E87" s="11"/>
      <c r="F87" s="10">
        <v>1</v>
      </c>
      <c r="G87" s="10">
        <v>20408</v>
      </c>
      <c r="H87" s="53">
        <f>G87*F87/1000</f>
        <v>20.408000000000001</v>
      </c>
      <c r="I87" s="10">
        <v>0</v>
      </c>
    </row>
    <row r="88" spans="1:9" ht="15.75" hidden="1" customHeight="1">
      <c r="A88" s="21"/>
      <c r="B88" s="11" t="s">
        <v>146</v>
      </c>
      <c r="C88" s="13"/>
      <c r="D88" s="11"/>
      <c r="E88" s="11"/>
      <c r="F88" s="10">
        <v>62</v>
      </c>
      <c r="G88" s="10">
        <v>700</v>
      </c>
      <c r="H88" s="53">
        <f t="shared" ref="H88" si="17">G88*F88/1000</f>
        <v>43.4</v>
      </c>
      <c r="I88" s="10">
        <v>0</v>
      </c>
    </row>
    <row r="89" spans="1:9" ht="15.75" customHeight="1">
      <c r="A89" s="201" t="s">
        <v>126</v>
      </c>
      <c r="B89" s="202"/>
      <c r="C89" s="202"/>
      <c r="D89" s="202"/>
      <c r="E89" s="202"/>
      <c r="F89" s="202"/>
      <c r="G89" s="202"/>
      <c r="H89" s="202"/>
      <c r="I89" s="203"/>
    </row>
    <row r="90" spans="1:9" ht="15.75" customHeight="1">
      <c r="A90" s="21">
        <v>19</v>
      </c>
      <c r="B90" s="159" t="s">
        <v>97</v>
      </c>
      <c r="C90" s="153" t="s">
        <v>55</v>
      </c>
      <c r="D90" s="38"/>
      <c r="E90" s="26">
        <v>3227.7</v>
      </c>
      <c r="F90" s="26">
        <f>SUM(E90*12)</f>
        <v>38732.399999999994</v>
      </c>
      <c r="G90" s="26">
        <v>3.5</v>
      </c>
      <c r="H90" s="53">
        <f t="shared" ref="H90" si="18">G90*F90/1000</f>
        <v>135.56339999999997</v>
      </c>
      <c r="I90" s="10">
        <f>F90/12*G90</f>
        <v>11296.949999999997</v>
      </c>
    </row>
    <row r="91" spans="1:9" ht="31.5" customHeight="1">
      <c r="A91" s="21">
        <v>20</v>
      </c>
      <c r="B91" s="152" t="s">
        <v>186</v>
      </c>
      <c r="C91" s="153" t="s">
        <v>150</v>
      </c>
      <c r="D91" s="90"/>
      <c r="E91" s="166">
        <f>E90</f>
        <v>3227.7</v>
      </c>
      <c r="F91" s="26">
        <f>E91*12</f>
        <v>38732.399999999994</v>
      </c>
      <c r="G91" s="26">
        <v>3.2</v>
      </c>
      <c r="H91" s="53">
        <f>F91*G91/1000</f>
        <v>123.94367999999999</v>
      </c>
      <c r="I91" s="10">
        <f>F91/12*G91</f>
        <v>10328.64</v>
      </c>
    </row>
    <row r="92" spans="1:9" ht="15.75" customHeight="1">
      <c r="A92" s="21"/>
      <c r="B92" s="27" t="s">
        <v>78</v>
      </c>
      <c r="C92" s="71"/>
      <c r="D92" s="70"/>
      <c r="E92" s="59"/>
      <c r="F92" s="59"/>
      <c r="G92" s="59"/>
      <c r="H92" s="72">
        <f>SUM(H91)</f>
        <v>123.94367999999999</v>
      </c>
      <c r="I92" s="59">
        <f>I91+I90+I81+I74+I63+I55+I54+I50+I43+I40+I38+I37+I26+I24+I21+I18+I17+I16+I20+I59</f>
        <v>72304.010404999979</v>
      </c>
    </row>
    <row r="93" spans="1:9" ht="15.75" customHeight="1">
      <c r="A93" s="207" t="s">
        <v>60</v>
      </c>
      <c r="B93" s="208"/>
      <c r="C93" s="208"/>
      <c r="D93" s="208"/>
      <c r="E93" s="208"/>
      <c r="F93" s="208"/>
      <c r="G93" s="208"/>
      <c r="H93" s="208"/>
      <c r="I93" s="209"/>
    </row>
    <row r="94" spans="1:9" ht="15.75" customHeight="1">
      <c r="A94" s="21">
        <v>21</v>
      </c>
      <c r="B94" s="91" t="s">
        <v>79</v>
      </c>
      <c r="C94" s="92" t="s">
        <v>93</v>
      </c>
      <c r="D94" s="90"/>
      <c r="E94" s="26"/>
      <c r="F94" s="26">
        <v>8</v>
      </c>
      <c r="G94" s="26">
        <v>224.48</v>
      </c>
      <c r="H94" s="10"/>
      <c r="I94" s="10">
        <f>G94*8</f>
        <v>1795.84</v>
      </c>
    </row>
    <row r="95" spans="1:9" ht="18" customHeight="1">
      <c r="A95" s="21">
        <v>22</v>
      </c>
      <c r="B95" s="91" t="s">
        <v>197</v>
      </c>
      <c r="C95" s="92" t="s">
        <v>161</v>
      </c>
      <c r="D95" s="90" t="s">
        <v>198</v>
      </c>
      <c r="E95" s="26"/>
      <c r="F95" s="26">
        <v>1</v>
      </c>
      <c r="G95" s="26">
        <v>231.54</v>
      </c>
      <c r="H95" s="10"/>
      <c r="I95" s="10">
        <f>G95*1</f>
        <v>231.54</v>
      </c>
    </row>
    <row r="96" spans="1:9" ht="15" customHeight="1">
      <c r="A96" s="21">
        <v>23</v>
      </c>
      <c r="B96" s="91" t="s">
        <v>151</v>
      </c>
      <c r="C96" s="92" t="s">
        <v>136</v>
      </c>
      <c r="D96" s="90" t="s">
        <v>194</v>
      </c>
      <c r="E96" s="26"/>
      <c r="F96" s="26">
        <v>18</v>
      </c>
      <c r="G96" s="26">
        <v>295.36</v>
      </c>
      <c r="H96" s="10"/>
      <c r="I96" s="10">
        <v>0</v>
      </c>
    </row>
    <row r="97" spans="1:9" ht="14.25" customHeight="1">
      <c r="A97" s="21">
        <v>24</v>
      </c>
      <c r="B97" s="91" t="s">
        <v>167</v>
      </c>
      <c r="C97" s="92" t="s">
        <v>152</v>
      </c>
      <c r="D97" s="90"/>
      <c r="E97" s="26"/>
      <c r="F97" s="26">
        <v>4</v>
      </c>
      <c r="G97" s="26">
        <v>236.08</v>
      </c>
      <c r="H97" s="10"/>
      <c r="I97" s="10">
        <f>G97*4</f>
        <v>944.32</v>
      </c>
    </row>
    <row r="98" spans="1:9" ht="17.25" hidden="1" customHeight="1">
      <c r="A98" s="21">
        <v>18</v>
      </c>
      <c r="B98" s="91"/>
      <c r="C98" s="92"/>
      <c r="D98" s="152"/>
      <c r="E98" s="14"/>
      <c r="F98" s="26"/>
      <c r="G98" s="26"/>
      <c r="H98" s="10"/>
      <c r="I98" s="10"/>
    </row>
    <row r="99" spans="1:9" ht="18" hidden="1" customHeight="1">
      <c r="A99" s="21">
        <v>19</v>
      </c>
      <c r="B99" s="91"/>
      <c r="C99" s="92"/>
      <c r="D99" s="152"/>
      <c r="E99" s="14"/>
      <c r="F99" s="26"/>
      <c r="G99" s="26"/>
      <c r="H99" s="10"/>
      <c r="I99" s="10"/>
    </row>
    <row r="100" spans="1:9" ht="18" hidden="1" customHeight="1">
      <c r="A100" s="21">
        <v>20</v>
      </c>
      <c r="B100" s="91"/>
      <c r="C100" s="92"/>
      <c r="D100" s="152"/>
      <c r="E100" s="14"/>
      <c r="F100" s="26"/>
      <c r="G100" s="26"/>
      <c r="H100" s="89"/>
      <c r="I100" s="10"/>
    </row>
    <row r="101" spans="1:9">
      <c r="A101" s="21"/>
      <c r="B101" s="33" t="s">
        <v>52</v>
      </c>
      <c r="C101" s="29"/>
      <c r="D101" s="36"/>
      <c r="E101" s="29">
        <v>1</v>
      </c>
      <c r="F101" s="29"/>
      <c r="G101" s="29"/>
      <c r="H101" s="29"/>
      <c r="I101" s="24">
        <f>SUM(I94:I100)</f>
        <v>2971.7</v>
      </c>
    </row>
    <row r="102" spans="1:9" ht="15.75" customHeight="1">
      <c r="A102" s="21"/>
      <c r="B102" s="35" t="s">
        <v>76</v>
      </c>
      <c r="C102" s="12"/>
      <c r="D102" s="12"/>
      <c r="E102" s="30"/>
      <c r="F102" s="30"/>
      <c r="G102" s="31"/>
      <c r="H102" s="31"/>
      <c r="I102" s="14">
        <v>0</v>
      </c>
    </row>
    <row r="103" spans="1:9" ht="15.75" customHeight="1">
      <c r="A103" s="37"/>
      <c r="B103" s="34" t="s">
        <v>147</v>
      </c>
      <c r="C103" s="25"/>
      <c r="D103" s="25"/>
      <c r="E103" s="25"/>
      <c r="F103" s="25"/>
      <c r="G103" s="25"/>
      <c r="H103" s="25"/>
      <c r="I103" s="32">
        <f>I92+I101</f>
        <v>75275.710404999976</v>
      </c>
    </row>
    <row r="104" spans="1:9" ht="15.75" customHeight="1">
      <c r="A104" s="210" t="s">
        <v>199</v>
      </c>
      <c r="B104" s="210"/>
      <c r="C104" s="210"/>
      <c r="D104" s="210"/>
      <c r="E104" s="210"/>
      <c r="F104" s="210"/>
      <c r="G104" s="210"/>
      <c r="H104" s="210"/>
      <c r="I104" s="210"/>
    </row>
    <row r="105" spans="1:9" ht="15.75" customHeight="1">
      <c r="A105" s="43"/>
      <c r="B105" s="211" t="s">
        <v>200</v>
      </c>
      <c r="C105" s="211"/>
      <c r="D105" s="211"/>
      <c r="E105" s="211"/>
      <c r="F105" s="211"/>
      <c r="G105" s="211"/>
      <c r="H105" s="52"/>
      <c r="I105" s="2"/>
    </row>
    <row r="106" spans="1:9" ht="15.75" customHeight="1">
      <c r="A106" s="104"/>
      <c r="B106" s="195" t="s">
        <v>6</v>
      </c>
      <c r="C106" s="195"/>
      <c r="D106" s="195"/>
      <c r="E106" s="195"/>
      <c r="F106" s="195"/>
      <c r="G106" s="195"/>
      <c r="H106" s="16"/>
      <c r="I106" s="4"/>
    </row>
    <row r="107" spans="1:9" ht="7.5" customHeight="1">
      <c r="A107" s="7"/>
      <c r="B107" s="7"/>
      <c r="C107" s="7"/>
      <c r="D107" s="7"/>
      <c r="E107" s="7"/>
      <c r="F107" s="7"/>
      <c r="G107" s="7"/>
      <c r="H107" s="7"/>
      <c r="I107" s="7"/>
    </row>
    <row r="108" spans="1:9" ht="15.75" customHeight="1">
      <c r="A108" s="212" t="s">
        <v>7</v>
      </c>
      <c r="B108" s="212"/>
      <c r="C108" s="212"/>
      <c r="D108" s="212"/>
      <c r="E108" s="212"/>
      <c r="F108" s="212"/>
      <c r="G108" s="212"/>
      <c r="H108" s="212"/>
      <c r="I108" s="212"/>
    </row>
    <row r="109" spans="1:9" ht="15.75">
      <c r="A109" s="212" t="s">
        <v>8</v>
      </c>
      <c r="B109" s="212"/>
      <c r="C109" s="212"/>
      <c r="D109" s="212"/>
      <c r="E109" s="212"/>
      <c r="F109" s="212"/>
      <c r="G109" s="212"/>
      <c r="H109" s="212"/>
      <c r="I109" s="212"/>
    </row>
    <row r="110" spans="1:9" ht="15.75">
      <c r="A110" s="199" t="s">
        <v>61</v>
      </c>
      <c r="B110" s="199"/>
      <c r="C110" s="199"/>
      <c r="D110" s="199"/>
      <c r="E110" s="199"/>
      <c r="F110" s="199"/>
      <c r="G110" s="199"/>
      <c r="H110" s="199"/>
      <c r="I110" s="199"/>
    </row>
    <row r="111" spans="1:9" ht="8.25" customHeight="1">
      <c r="A111" s="8"/>
    </row>
    <row r="112" spans="1:9" ht="15.75">
      <c r="A112" s="193" t="s">
        <v>9</v>
      </c>
      <c r="B112" s="193"/>
      <c r="C112" s="193"/>
      <c r="D112" s="193"/>
      <c r="E112" s="193"/>
      <c r="F112" s="193"/>
      <c r="G112" s="193"/>
      <c r="H112" s="193"/>
      <c r="I112" s="193"/>
    </row>
    <row r="113" spans="1:9" ht="15.75">
      <c r="A113" s="3"/>
    </row>
    <row r="114" spans="1:9" ht="15.75" customHeight="1">
      <c r="B114" s="100" t="s">
        <v>10</v>
      </c>
      <c r="C114" s="194" t="s">
        <v>190</v>
      </c>
      <c r="D114" s="194"/>
      <c r="E114" s="194"/>
      <c r="F114" s="50"/>
      <c r="I114" s="102"/>
    </row>
    <row r="115" spans="1:9" ht="15.75" customHeight="1">
      <c r="A115" s="104"/>
      <c r="C115" s="195" t="s">
        <v>11</v>
      </c>
      <c r="D115" s="195"/>
      <c r="E115" s="195"/>
      <c r="F115" s="16"/>
      <c r="I115" s="99" t="s">
        <v>12</v>
      </c>
    </row>
    <row r="116" spans="1:9" ht="15.75" customHeight="1">
      <c r="A116" s="17"/>
      <c r="C116" s="9"/>
      <c r="D116" s="9"/>
      <c r="G116" s="9"/>
      <c r="H116" s="9"/>
    </row>
    <row r="117" spans="1:9" ht="15.75" customHeight="1">
      <c r="B117" s="100" t="s">
        <v>13</v>
      </c>
      <c r="C117" s="196"/>
      <c r="D117" s="196"/>
      <c r="E117" s="196"/>
      <c r="F117" s="51"/>
      <c r="I117" s="102"/>
    </row>
    <row r="118" spans="1:9">
      <c r="A118" s="104"/>
      <c r="C118" s="197" t="s">
        <v>11</v>
      </c>
      <c r="D118" s="197"/>
      <c r="E118" s="197"/>
      <c r="F118" s="104"/>
      <c r="I118" s="99" t="s">
        <v>12</v>
      </c>
    </row>
    <row r="119" spans="1:9" ht="15.75">
      <c r="A119" s="3" t="s">
        <v>14</v>
      </c>
    </row>
    <row r="120" spans="1:9">
      <c r="A120" s="198" t="s">
        <v>15</v>
      </c>
      <c r="B120" s="198"/>
      <c r="C120" s="198"/>
      <c r="D120" s="198"/>
      <c r="E120" s="198"/>
      <c r="F120" s="198"/>
      <c r="G120" s="198"/>
      <c r="H120" s="198"/>
      <c r="I120" s="198"/>
    </row>
    <row r="121" spans="1:9" ht="45" customHeight="1">
      <c r="A121" s="192" t="s">
        <v>16</v>
      </c>
      <c r="B121" s="192"/>
      <c r="C121" s="192"/>
      <c r="D121" s="192"/>
      <c r="E121" s="192"/>
      <c r="F121" s="192"/>
      <c r="G121" s="192"/>
      <c r="H121" s="192"/>
      <c r="I121" s="192"/>
    </row>
    <row r="122" spans="1:9" ht="30" customHeight="1">
      <c r="A122" s="192" t="s">
        <v>17</v>
      </c>
      <c r="B122" s="192"/>
      <c r="C122" s="192"/>
      <c r="D122" s="192"/>
      <c r="E122" s="192"/>
      <c r="F122" s="192"/>
      <c r="G122" s="192"/>
      <c r="H122" s="192"/>
      <c r="I122" s="192"/>
    </row>
    <row r="123" spans="1:9" ht="30" customHeight="1">
      <c r="A123" s="192" t="s">
        <v>21</v>
      </c>
      <c r="B123" s="192"/>
      <c r="C123" s="192"/>
      <c r="D123" s="192"/>
      <c r="E123" s="192"/>
      <c r="F123" s="192"/>
      <c r="G123" s="192"/>
      <c r="H123" s="192"/>
      <c r="I123" s="192"/>
    </row>
    <row r="124" spans="1:9" ht="15" customHeight="1">
      <c r="A124" s="192" t="s">
        <v>20</v>
      </c>
      <c r="B124" s="192"/>
      <c r="C124" s="192"/>
      <c r="D124" s="192"/>
      <c r="E124" s="192"/>
      <c r="F124" s="192"/>
      <c r="G124" s="192"/>
      <c r="H124" s="192"/>
      <c r="I124" s="192"/>
    </row>
  </sheetData>
  <mergeCells count="28">
    <mergeCell ref="A14:I14"/>
    <mergeCell ref="A3:I3"/>
    <mergeCell ref="A4:I4"/>
    <mergeCell ref="A5:I5"/>
    <mergeCell ref="A8:I8"/>
    <mergeCell ref="A10:I10"/>
    <mergeCell ref="A110:I110"/>
    <mergeCell ref="A15:I15"/>
    <mergeCell ref="A27:I27"/>
    <mergeCell ref="A44:I44"/>
    <mergeCell ref="A56:I56"/>
    <mergeCell ref="A89:I89"/>
    <mergeCell ref="A93:I93"/>
    <mergeCell ref="A104:I104"/>
    <mergeCell ref="B105:G105"/>
    <mergeCell ref="B106:G106"/>
    <mergeCell ref="A108:I108"/>
    <mergeCell ref="A109:I109"/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0"/>
  <sheetViews>
    <sheetView topLeftCell="A52" workbookViewId="0">
      <selection activeCell="G109" sqref="G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4257812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135</v>
      </c>
      <c r="B3" s="214"/>
      <c r="C3" s="214"/>
      <c r="D3" s="214"/>
      <c r="E3" s="214"/>
      <c r="F3" s="214"/>
      <c r="G3" s="214"/>
      <c r="H3" s="214"/>
      <c r="I3" s="214"/>
    </row>
    <row r="4" spans="1:9" ht="31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285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45"/>
      <c r="C6" s="45"/>
      <c r="D6" s="45"/>
      <c r="E6" s="45"/>
      <c r="F6" s="45"/>
      <c r="G6" s="45"/>
      <c r="H6" s="45"/>
      <c r="I6" s="22">
        <v>44500</v>
      </c>
    </row>
    <row r="7" spans="1:9" ht="15.75">
      <c r="B7" s="47"/>
      <c r="C7" s="47"/>
      <c r="D7" s="47"/>
      <c r="E7" s="2"/>
      <c r="F7" s="2"/>
      <c r="G7" s="2"/>
      <c r="H7" s="2"/>
    </row>
    <row r="8" spans="1:9" ht="78.75" customHeight="1">
      <c r="A8" s="217" t="s">
        <v>189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47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 ht="1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5.7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59" t="s">
        <v>105</v>
      </c>
      <c r="C18" s="160" t="s">
        <v>83</v>
      </c>
      <c r="D18" s="159" t="s">
        <v>172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F18/18*2*G18</f>
        <v>3261.3657600000001</v>
      </c>
    </row>
    <row r="19" spans="1:9" ht="15.75" hidden="1" customHeight="1">
      <c r="A19" s="21"/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.75" customHeight="1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si="1"/>
        <v>9.9076295999999994E-2</v>
      </c>
      <c r="I25" s="10">
        <f>0.0638*G25</f>
        <v>49.538148</v>
      </c>
    </row>
    <row r="26" spans="1:9" ht="15.75" hidden="1" customHeight="1">
      <c r="A26" s="21">
        <v>7</v>
      </c>
      <c r="B26" s="159" t="s">
        <v>169</v>
      </c>
      <c r="C26" s="160" t="s">
        <v>150</v>
      </c>
      <c r="D26" s="159" t="s">
        <v>174</v>
      </c>
      <c r="E26" s="161">
        <v>4.8</v>
      </c>
      <c r="F26" s="162">
        <f>E26*258</f>
        <v>1238.3999999999999</v>
      </c>
      <c r="G26" s="162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customHeight="1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15.75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5.75" customHeight="1">
      <c r="A29" s="21">
        <v>7</v>
      </c>
      <c r="B29" s="159" t="s">
        <v>91</v>
      </c>
      <c r="C29" s="160" t="s">
        <v>85</v>
      </c>
      <c r="D29" s="159" t="s">
        <v>184</v>
      </c>
      <c r="E29" s="162">
        <v>124.74</v>
      </c>
      <c r="F29" s="162">
        <f>SUM(E29*24/1000)</f>
        <v>2.99376</v>
      </c>
      <c r="G29" s="162">
        <v>232.4</v>
      </c>
      <c r="H29" s="58">
        <f t="shared" ref="H29:H30" si="2">SUM(F29*G29/1000)</f>
        <v>0.69574982399999996</v>
      </c>
      <c r="I29" s="10">
        <f>F29/6*G29</f>
        <v>115.95830400000001</v>
      </c>
    </row>
    <row r="30" spans="1:9" ht="31.5" customHeight="1">
      <c r="A30" s="21">
        <v>8</v>
      </c>
      <c r="B30" s="159" t="s">
        <v>132</v>
      </c>
      <c r="C30" s="160" t="s">
        <v>85</v>
      </c>
      <c r="D30" s="159" t="s">
        <v>171</v>
      </c>
      <c r="E30" s="162">
        <v>31.4</v>
      </c>
      <c r="F30" s="162">
        <f>SUM(E30*52/1000)</f>
        <v>1.6328</v>
      </c>
      <c r="G30" s="162">
        <v>385.6</v>
      </c>
      <c r="H30" s="58">
        <f t="shared" si="2"/>
        <v>0.62960768000000011</v>
      </c>
      <c r="I30" s="10">
        <f t="shared" ref="I30" si="3">F30/6*G30</f>
        <v>104.93461333333335</v>
      </c>
    </row>
    <row r="31" spans="1:9" ht="15.75" hidden="1" customHeight="1">
      <c r="A31" s="21"/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4">SUM(F31*G31/1000)</f>
        <v>0.49396538100000004</v>
      </c>
      <c r="I31" s="10">
        <f t="shared" ref="I31" si="5">F31/6*G31</f>
        <v>82.327563500000011</v>
      </c>
    </row>
    <row r="32" spans="1:9" ht="15.75" hidden="1" customHeight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4"/>
        <v>0.50183999999999995</v>
      </c>
      <c r="I32" s="10">
        <v>0</v>
      </c>
    </row>
    <row r="33" spans="1:9" ht="15.75" hidden="1" customHeight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4"/>
        <v>1.49031</v>
      </c>
      <c r="I33" s="10">
        <v>0</v>
      </c>
    </row>
    <row r="34" spans="1:9" ht="15.75" hidden="1" customHeight="1">
      <c r="A34" s="21"/>
      <c r="B34" s="73" t="s">
        <v>5</v>
      </c>
      <c r="C34" s="55"/>
      <c r="D34" s="54"/>
      <c r="E34" s="56"/>
      <c r="F34" s="57"/>
      <c r="G34" s="57"/>
      <c r="H34" s="58" t="s">
        <v>130</v>
      </c>
      <c r="I34" s="10"/>
    </row>
    <row r="35" spans="1:9" ht="15.75" hidden="1" customHeight="1">
      <c r="A35" s="21">
        <v>8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v>0</v>
      </c>
    </row>
    <row r="36" spans="1:9" ht="15.75" hidden="1" customHeight="1">
      <c r="A36" s="21">
        <v>9</v>
      </c>
      <c r="B36" s="54" t="s">
        <v>67</v>
      </c>
      <c r="C36" s="55" t="s">
        <v>28</v>
      </c>
      <c r="D36" s="54" t="s">
        <v>100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6">SUM(F36*G36/1000)</f>
        <v>2.1568597380000001</v>
      </c>
      <c r="I36" s="10">
        <v>0</v>
      </c>
    </row>
    <row r="37" spans="1:9" ht="15.75" hidden="1" customHeight="1">
      <c r="A37" s="21">
        <v>10</v>
      </c>
      <c r="B37" s="54" t="s">
        <v>68</v>
      </c>
      <c r="C37" s="55" t="s">
        <v>28</v>
      </c>
      <c r="D37" s="54" t="s">
        <v>84</v>
      </c>
      <c r="E37" s="57">
        <v>31.4</v>
      </c>
      <c r="F37" s="57">
        <f>SUM(E37*155/1000)</f>
        <v>4.867</v>
      </c>
      <c r="G37" s="57">
        <v>460.02</v>
      </c>
      <c r="H37" s="58">
        <f t="shared" si="6"/>
        <v>2.23891734</v>
      </c>
      <c r="I37" s="10">
        <v>0</v>
      </c>
    </row>
    <row r="38" spans="1:9" ht="15.75" hidden="1" customHeight="1">
      <c r="A38" s="21"/>
      <c r="B38" s="54" t="s">
        <v>115</v>
      </c>
      <c r="C38" s="55" t="s">
        <v>55</v>
      </c>
      <c r="D38" s="54" t="s">
        <v>66</v>
      </c>
      <c r="E38" s="56"/>
      <c r="F38" s="57">
        <v>110</v>
      </c>
      <c r="G38" s="57">
        <v>314</v>
      </c>
      <c r="H38" s="58">
        <f t="shared" si="6"/>
        <v>34.54</v>
      </c>
      <c r="I38" s="10">
        <v>0</v>
      </c>
    </row>
    <row r="39" spans="1:9" ht="47.25" hidden="1" customHeight="1">
      <c r="A39" s="21">
        <v>11</v>
      </c>
      <c r="B39" s="54" t="s">
        <v>80</v>
      </c>
      <c r="C39" s="55" t="s">
        <v>85</v>
      </c>
      <c r="D39" s="54" t="s">
        <v>100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6"/>
        <v>5.9526882360000002</v>
      </c>
      <c r="I39" s="10">
        <v>0</v>
      </c>
    </row>
    <row r="40" spans="1:9" ht="15.75" hidden="1" customHeight="1">
      <c r="A40" s="21">
        <v>12</v>
      </c>
      <c r="B40" s="54" t="s">
        <v>86</v>
      </c>
      <c r="C40" s="55" t="s">
        <v>85</v>
      </c>
      <c r="D40" s="54" t="s">
        <v>139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6"/>
        <v>0.35178858000000002</v>
      </c>
      <c r="I40" s="10">
        <v>0</v>
      </c>
    </row>
    <row r="41" spans="1:9" ht="15.75" hidden="1" customHeight="1">
      <c r="A41" s="21">
        <v>13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6"/>
        <v>0.29244900000000001</v>
      </c>
      <c r="I41" s="10">
        <v>0</v>
      </c>
    </row>
    <row r="42" spans="1:9" ht="15.75" customHeight="1">
      <c r="A42" s="201" t="s">
        <v>124</v>
      </c>
      <c r="B42" s="202"/>
      <c r="C42" s="202"/>
      <c r="D42" s="202"/>
      <c r="E42" s="202"/>
      <c r="F42" s="202"/>
      <c r="G42" s="202"/>
      <c r="H42" s="202"/>
      <c r="I42" s="203"/>
    </row>
    <row r="43" spans="1:9" ht="15.75" hidden="1" customHeight="1">
      <c r="A43" s="21"/>
      <c r="B43" s="54" t="s">
        <v>92</v>
      </c>
      <c r="C43" s="55" t="s">
        <v>85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7">SUM(F43*G43/1000)</f>
        <v>2.6013433080000006</v>
      </c>
      <c r="I43" s="10">
        <v>0</v>
      </c>
    </row>
    <row r="44" spans="1:9" ht="15.75" hidden="1" customHeight="1">
      <c r="A44" s="21"/>
      <c r="B44" s="54" t="s">
        <v>35</v>
      </c>
      <c r="C44" s="55" t="s">
        <v>85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7"/>
        <v>0.58331460000000002</v>
      </c>
      <c r="I44" s="10">
        <v>0</v>
      </c>
    </row>
    <row r="45" spans="1:9" ht="15.75" hidden="1" customHeight="1">
      <c r="A45" s="21"/>
      <c r="B45" s="54" t="s">
        <v>36</v>
      </c>
      <c r="C45" s="55" t="s">
        <v>85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7"/>
        <v>5.6393269695000008</v>
      </c>
      <c r="I45" s="10">
        <v>0</v>
      </c>
    </row>
    <row r="46" spans="1:9" ht="15.75" hidden="1" customHeight="1">
      <c r="A46" s="21"/>
      <c r="B46" s="54" t="s">
        <v>37</v>
      </c>
      <c r="C46" s="55" t="s">
        <v>85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7"/>
        <v>4.0277184559999997</v>
      </c>
      <c r="I46" s="10">
        <v>0</v>
      </c>
    </row>
    <row r="47" spans="1:9" ht="15.75" hidden="1" customHeight="1">
      <c r="A47" s="21"/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7"/>
        <v>2.3224183680000001</v>
      </c>
      <c r="I47" s="10">
        <v>0</v>
      </c>
    </row>
    <row r="48" spans="1:9" ht="15.75" hidden="1" customHeight="1">
      <c r="A48" s="21">
        <v>14</v>
      </c>
      <c r="B48" s="54" t="s">
        <v>56</v>
      </c>
      <c r="C48" s="55" t="s">
        <v>85</v>
      </c>
      <c r="D48" s="54" t="s">
        <v>133</v>
      </c>
      <c r="E48" s="56">
        <v>2579.4</v>
      </c>
      <c r="F48" s="57">
        <f>SUM(E48*5/1000)</f>
        <v>12.897</v>
      </c>
      <c r="G48" s="10">
        <v>1803.69</v>
      </c>
      <c r="H48" s="58">
        <f t="shared" si="7"/>
        <v>23.262189930000002</v>
      </c>
      <c r="I48" s="10">
        <v>0</v>
      </c>
    </row>
    <row r="49" spans="1:9" ht="31.5" hidden="1" customHeight="1">
      <c r="A49" s="21">
        <v>9</v>
      </c>
      <c r="B49" s="54" t="s">
        <v>87</v>
      </c>
      <c r="C49" s="55" t="s">
        <v>85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7"/>
        <v>8.2107460800000016</v>
      </c>
      <c r="I49" s="10">
        <f>F49/2*G49</f>
        <v>4105.3730400000004</v>
      </c>
    </row>
    <row r="50" spans="1:9" ht="31.5" hidden="1" customHeight="1">
      <c r="A50" s="21">
        <v>10</v>
      </c>
      <c r="B50" s="54" t="s">
        <v>88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7"/>
        <v>1.6233280000000001</v>
      </c>
      <c r="I50" s="10">
        <f t="shared" ref="I50:I51" si="8">F50/2*G50</f>
        <v>811.6640000000001</v>
      </c>
    </row>
    <row r="51" spans="1:9" ht="15.75" hidden="1" customHeight="1">
      <c r="A51" s="21">
        <v>11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7"/>
        <v>0.14825839999999998</v>
      </c>
      <c r="I51" s="10">
        <f t="shared" si="8"/>
        <v>74.129199999999997</v>
      </c>
    </row>
    <row r="52" spans="1:9" ht="15.75" customHeight="1">
      <c r="A52" s="21">
        <v>9</v>
      </c>
      <c r="B52" s="54" t="s">
        <v>98</v>
      </c>
      <c r="C52" s="55" t="s">
        <v>93</v>
      </c>
      <c r="D52" s="163">
        <v>44482</v>
      </c>
      <c r="E52" s="56">
        <v>62</v>
      </c>
      <c r="F52" s="57">
        <f>SUM(E52*3)</f>
        <v>186</v>
      </c>
      <c r="G52" s="176">
        <v>290.39999999999998</v>
      </c>
      <c r="H52" s="58">
        <f t="shared" si="7"/>
        <v>54.014399999999995</v>
      </c>
      <c r="I52" s="10">
        <f>G52*F52/3</f>
        <v>18004.8</v>
      </c>
    </row>
    <row r="53" spans="1:9" ht="15.75" customHeight="1">
      <c r="A53" s="75">
        <v>10</v>
      </c>
      <c r="B53" s="63" t="s">
        <v>41</v>
      </c>
      <c r="C53" s="62" t="s">
        <v>93</v>
      </c>
      <c r="D53" s="164">
        <v>44482</v>
      </c>
      <c r="E53" s="64">
        <v>124</v>
      </c>
      <c r="F53" s="65">
        <f>SUM(E53)*3</f>
        <v>372</v>
      </c>
      <c r="G53" s="176">
        <v>90</v>
      </c>
      <c r="H53" s="66">
        <f t="shared" si="7"/>
        <v>33.479999999999997</v>
      </c>
      <c r="I53" s="76">
        <f>G53*F53/3</f>
        <v>11160</v>
      </c>
    </row>
    <row r="54" spans="1:9" ht="15.75" customHeight="1">
      <c r="A54" s="204" t="s">
        <v>125</v>
      </c>
      <c r="B54" s="205"/>
      <c r="C54" s="205"/>
      <c r="D54" s="205"/>
      <c r="E54" s="205"/>
      <c r="F54" s="205"/>
      <c r="G54" s="205"/>
      <c r="H54" s="205"/>
      <c r="I54" s="206"/>
    </row>
    <row r="55" spans="1:9" ht="15.75" hidden="1" customHeight="1">
      <c r="A55" s="77"/>
      <c r="B55" s="78" t="s">
        <v>43</v>
      </c>
      <c r="C55" s="79"/>
      <c r="D55" s="80"/>
      <c r="E55" s="81"/>
      <c r="F55" s="82"/>
      <c r="G55" s="82"/>
      <c r="H55" s="83"/>
      <c r="I55" s="84"/>
    </row>
    <row r="56" spans="1:9" ht="31.5" hidden="1" customHeight="1">
      <c r="A56" s="21">
        <v>17</v>
      </c>
      <c r="B56" s="54" t="s">
        <v>101</v>
      </c>
      <c r="C56" s="55" t="s">
        <v>83</v>
      </c>
      <c r="D56" s="54" t="s">
        <v>116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v>0</v>
      </c>
    </row>
    <row r="57" spans="1:9" ht="31.5" hidden="1" customHeight="1">
      <c r="A57" s="21">
        <v>18</v>
      </c>
      <c r="B57" s="54" t="s">
        <v>77</v>
      </c>
      <c r="C57" s="55" t="s">
        <v>83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9">SUM(F57*G57/1000)</f>
        <v>2.4229841999999997</v>
      </c>
      <c r="I57" s="10">
        <v>0</v>
      </c>
    </row>
    <row r="58" spans="1:9" ht="31.5" hidden="1" customHeight="1">
      <c r="A58" s="21">
        <v>19</v>
      </c>
      <c r="B58" s="63" t="s">
        <v>121</v>
      </c>
      <c r="C58" s="62" t="s">
        <v>122</v>
      </c>
      <c r="D58" s="63" t="s">
        <v>66</v>
      </c>
      <c r="E58" s="85"/>
      <c r="F58" s="65">
        <v>3</v>
      </c>
      <c r="G58" s="57">
        <v>1582.05</v>
      </c>
      <c r="H58" s="58">
        <f t="shared" si="9"/>
        <v>4.7461499999999992</v>
      </c>
      <c r="I58" s="10">
        <v>0</v>
      </c>
    </row>
    <row r="59" spans="1:9" ht="15.75" customHeight="1">
      <c r="A59" s="21"/>
      <c r="B59" s="74" t="s">
        <v>44</v>
      </c>
      <c r="C59" s="62"/>
      <c r="D59" s="63"/>
      <c r="E59" s="64"/>
      <c r="F59" s="65"/>
      <c r="G59" s="49"/>
      <c r="H59" s="66"/>
      <c r="I59" s="84"/>
    </row>
    <row r="60" spans="1:9" ht="15.75" hidden="1" customHeight="1">
      <c r="A60" s="21"/>
      <c r="B60" s="63" t="s">
        <v>45</v>
      </c>
      <c r="C60" s="62" t="s">
        <v>83</v>
      </c>
      <c r="D60" s="63" t="s">
        <v>54</v>
      </c>
      <c r="E60" s="64">
        <v>450</v>
      </c>
      <c r="F60" s="57">
        <f>SUM(E60/100)</f>
        <v>4.5</v>
      </c>
      <c r="G60" s="10">
        <v>1040.8399999999999</v>
      </c>
      <c r="H60" s="67">
        <v>7.6349999999999998</v>
      </c>
      <c r="I60" s="10">
        <v>0</v>
      </c>
    </row>
    <row r="61" spans="1:9" ht="15.75" customHeight="1">
      <c r="A61" s="21">
        <v>11</v>
      </c>
      <c r="B61" s="149" t="s">
        <v>188</v>
      </c>
      <c r="C61" s="150" t="s">
        <v>150</v>
      </c>
      <c r="D61" s="149" t="s">
        <v>177</v>
      </c>
      <c r="E61" s="170">
        <v>48</v>
      </c>
      <c r="F61" s="171">
        <v>576</v>
      </c>
      <c r="G61" s="26">
        <v>1.4</v>
      </c>
      <c r="H61" s="67"/>
      <c r="I61" s="10">
        <f>G61*F61/12</f>
        <v>67.2</v>
      </c>
    </row>
    <row r="62" spans="1:9" ht="15.75" hidden="1" customHeight="1">
      <c r="A62" s="21"/>
      <c r="B62" s="74" t="s">
        <v>46</v>
      </c>
      <c r="C62" s="62"/>
      <c r="D62" s="63"/>
      <c r="E62" s="64"/>
      <c r="F62" s="65"/>
      <c r="G62" s="68"/>
      <c r="H62" s="66" t="s">
        <v>130</v>
      </c>
      <c r="I62" s="10"/>
    </row>
    <row r="63" spans="1:9" ht="15.75" hidden="1" customHeight="1">
      <c r="A63" s="21">
        <v>12</v>
      </c>
      <c r="B63" s="11" t="s">
        <v>47</v>
      </c>
      <c r="C63" s="13" t="s">
        <v>93</v>
      </c>
      <c r="D63" s="11" t="s">
        <v>66</v>
      </c>
      <c r="E63" s="15">
        <v>5</v>
      </c>
      <c r="F63" s="57">
        <f>E63</f>
        <v>5</v>
      </c>
      <c r="G63" s="10">
        <v>291.68</v>
      </c>
      <c r="H63" s="53">
        <f t="shared" ref="H63:H70" si="10">SUM(F63*G63/1000)</f>
        <v>1.4584000000000001</v>
      </c>
      <c r="I63" s="10">
        <f>G63*5</f>
        <v>1458.4</v>
      </c>
    </row>
    <row r="64" spans="1:9" ht="15.75" hidden="1" customHeight="1">
      <c r="A64" s="21"/>
      <c r="B64" s="11" t="s">
        <v>48</v>
      </c>
      <c r="C64" s="13" t="s">
        <v>93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0"/>
        <v>0.20002</v>
      </c>
      <c r="I64" s="10">
        <v>0</v>
      </c>
    </row>
    <row r="65" spans="1:9" ht="15.75" hidden="1" customHeight="1">
      <c r="A65" s="21"/>
      <c r="B65" s="11" t="s">
        <v>49</v>
      </c>
      <c r="C65" s="13" t="s">
        <v>94</v>
      </c>
      <c r="D65" s="11" t="s">
        <v>54</v>
      </c>
      <c r="E65" s="56">
        <v>13313</v>
      </c>
      <c r="F65" s="10">
        <f>SUM(E65/100)</f>
        <v>133.13</v>
      </c>
      <c r="G65" s="10">
        <v>278.24</v>
      </c>
      <c r="H65" s="53">
        <f t="shared" si="10"/>
        <v>37.042091200000002</v>
      </c>
      <c r="I65" s="10">
        <v>0</v>
      </c>
    </row>
    <row r="66" spans="1:9" ht="15.75" hidden="1" customHeight="1">
      <c r="A66" s="21"/>
      <c r="B66" s="11" t="s">
        <v>50</v>
      </c>
      <c r="C66" s="13" t="s">
        <v>95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10"/>
        <v>2.88466084</v>
      </c>
      <c r="I66" s="10">
        <v>0</v>
      </c>
    </row>
    <row r="67" spans="1:9" ht="15.75" hidden="1" customHeight="1">
      <c r="A67" s="21"/>
      <c r="B67" s="11" t="s">
        <v>51</v>
      </c>
      <c r="C67" s="13" t="s">
        <v>75</v>
      </c>
      <c r="D67" s="11" t="s">
        <v>54</v>
      </c>
      <c r="E67" s="56">
        <v>2184</v>
      </c>
      <c r="F67" s="10">
        <f>SUM(E67/100)</f>
        <v>21.84</v>
      </c>
      <c r="G67" s="10">
        <v>2720.94</v>
      </c>
      <c r="H67" s="53">
        <f t="shared" si="10"/>
        <v>59.425329599999998</v>
      </c>
      <c r="I67" s="10">
        <v>0</v>
      </c>
    </row>
    <row r="68" spans="1:9" ht="15.75" hidden="1" customHeight="1">
      <c r="A68" s="21"/>
      <c r="B68" s="69" t="s">
        <v>96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10"/>
        <v>0.51984200000000003</v>
      </c>
      <c r="I68" s="10">
        <v>0</v>
      </c>
    </row>
    <row r="69" spans="1:9" ht="15.75" hidden="1" customHeight="1">
      <c r="A69" s="21"/>
      <c r="B69" s="69" t="s">
        <v>131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10"/>
        <v>0.56168799999999997</v>
      </c>
      <c r="I69" s="10">
        <v>0</v>
      </c>
    </row>
    <row r="70" spans="1:9" ht="15.75" hidden="1" customHeight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0"/>
        <v>0.19625999999999999</v>
      </c>
      <c r="I70" s="10">
        <v>0</v>
      </c>
    </row>
    <row r="71" spans="1:9" ht="15.75" customHeight="1">
      <c r="A71" s="21"/>
      <c r="B71" s="87" t="s">
        <v>71</v>
      </c>
      <c r="C71" s="13"/>
      <c r="D71" s="11"/>
      <c r="E71" s="15"/>
      <c r="F71" s="10"/>
      <c r="G71" s="10"/>
      <c r="H71" s="53" t="s">
        <v>130</v>
      </c>
      <c r="I71" s="10"/>
    </row>
    <row r="72" spans="1:9" ht="15.75" hidden="1" customHeight="1">
      <c r="A72" s="21"/>
      <c r="B72" s="11" t="s">
        <v>117</v>
      </c>
      <c r="C72" s="13" t="s">
        <v>93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1">SUM(F72*G72/1000)</f>
        <v>1.0291199999999998</v>
      </c>
      <c r="I72" s="10">
        <v>0</v>
      </c>
    </row>
    <row r="73" spans="1:9" ht="15.75" hidden="1" customHeight="1">
      <c r="A73" s="21"/>
      <c r="B73" s="11" t="s">
        <v>118</v>
      </c>
      <c r="C73" s="13" t="s">
        <v>119</v>
      </c>
      <c r="D73" s="11"/>
      <c r="E73" s="15">
        <v>1</v>
      </c>
      <c r="F73" s="10">
        <f>E73</f>
        <v>1</v>
      </c>
      <c r="G73" s="10">
        <v>735</v>
      </c>
      <c r="H73" s="53">
        <f t="shared" si="11"/>
        <v>0.73499999999999999</v>
      </c>
      <c r="I73" s="10">
        <v>0</v>
      </c>
    </row>
    <row r="74" spans="1:9" ht="15.75" hidden="1" customHeight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1"/>
        <v>0.13157400000000002</v>
      </c>
      <c r="I74" s="10">
        <v>0</v>
      </c>
    </row>
    <row r="75" spans="1:9" ht="15.75" hidden="1" customHeight="1">
      <c r="A75" s="21"/>
      <c r="B75" s="11" t="s">
        <v>120</v>
      </c>
      <c r="C75" s="13" t="s">
        <v>93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1"/>
        <v>1.1187199999999999</v>
      </c>
      <c r="I75" s="10">
        <v>0</v>
      </c>
    </row>
    <row r="76" spans="1:9" ht="15.75" hidden="1" customHeight="1">
      <c r="A76" s="21"/>
      <c r="B76" s="39" t="s">
        <v>140</v>
      </c>
      <c r="C76" s="40" t="s">
        <v>93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15.75" customHeight="1">
      <c r="A77" s="21">
        <v>12</v>
      </c>
      <c r="B77" s="91" t="s">
        <v>141</v>
      </c>
      <c r="C77" s="92" t="s">
        <v>93</v>
      </c>
      <c r="D77" s="152" t="s">
        <v>173</v>
      </c>
      <c r="E77" s="14">
        <v>2</v>
      </c>
      <c r="F77" s="162">
        <f>E77*12</f>
        <v>24</v>
      </c>
      <c r="G77" s="26">
        <v>425</v>
      </c>
      <c r="H77" s="53">
        <f t="shared" ref="H77" si="12">SUM(F77*G77/1000)</f>
        <v>10.199999999999999</v>
      </c>
      <c r="I77" s="10">
        <f>G77*2</f>
        <v>850</v>
      </c>
    </row>
    <row r="78" spans="1:9" ht="15.75" hidden="1" customHeight="1">
      <c r="A78" s="21"/>
      <c r="B78" s="71" t="s">
        <v>74</v>
      </c>
      <c r="C78" s="13"/>
      <c r="D78" s="11"/>
      <c r="E78" s="15"/>
      <c r="F78" s="10"/>
      <c r="G78" s="10" t="s">
        <v>130</v>
      </c>
      <c r="H78" s="53" t="s">
        <v>130</v>
      </c>
      <c r="I78" s="10"/>
    </row>
    <row r="79" spans="1:9" ht="15.75" hidden="1" customHeight="1">
      <c r="A79" s="21"/>
      <c r="B79" s="35" t="s">
        <v>99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3">SUM(F79*G79/1000)</f>
        <v>0.294985</v>
      </c>
      <c r="I79" s="10">
        <v>0</v>
      </c>
    </row>
    <row r="80" spans="1:9" ht="15.75" customHeight="1">
      <c r="A80" s="21"/>
      <c r="B80" s="86" t="s">
        <v>142</v>
      </c>
      <c r="C80" s="40"/>
      <c r="D80" s="11"/>
      <c r="E80" s="15"/>
      <c r="F80" s="49"/>
      <c r="G80" s="10"/>
      <c r="H80" s="53"/>
      <c r="I80" s="10"/>
    </row>
    <row r="81" spans="1:9" ht="18.75" customHeight="1">
      <c r="A81" s="21">
        <v>13</v>
      </c>
      <c r="B81" s="152" t="s">
        <v>143</v>
      </c>
      <c r="C81" s="28" t="s">
        <v>144</v>
      </c>
      <c r="D81" s="152"/>
      <c r="E81" s="14">
        <v>3227.7</v>
      </c>
      <c r="F81" s="26">
        <f>SUM(E81*12)</f>
        <v>38732.399999999994</v>
      </c>
      <c r="G81" s="26">
        <v>2.6</v>
      </c>
      <c r="H81" s="53">
        <f t="shared" ref="H81" si="14">SUM(F81*G81/1000)</f>
        <v>100.70423999999998</v>
      </c>
      <c r="I81" s="10">
        <f>F81/12*G81</f>
        <v>8392.0199999999986</v>
      </c>
    </row>
    <row r="82" spans="1:9" ht="15.75" hidden="1" customHeight="1">
      <c r="A82" s="21"/>
      <c r="B82" s="87" t="s">
        <v>89</v>
      </c>
      <c r="C82" s="71"/>
      <c r="D82" s="23"/>
      <c r="E82" s="24"/>
      <c r="F82" s="59"/>
      <c r="G82" s="59"/>
      <c r="H82" s="72">
        <f>SUM(H56:H79)</f>
        <v>147.66361536000002</v>
      </c>
      <c r="I82" s="59"/>
    </row>
    <row r="83" spans="1:9" ht="15.75" hidden="1" customHeight="1">
      <c r="A83" s="21">
        <v>13</v>
      </c>
      <c r="B83" s="11" t="s">
        <v>145</v>
      </c>
      <c r="C83" s="13"/>
      <c r="D83" s="11"/>
      <c r="E83" s="11"/>
      <c r="F83" s="10">
        <v>1</v>
      </c>
      <c r="G83" s="10">
        <v>3477</v>
      </c>
      <c r="H83" s="53">
        <f>G83*F83/1000</f>
        <v>3.4769999999999999</v>
      </c>
      <c r="I83" s="10">
        <f>G83*1</f>
        <v>3477</v>
      </c>
    </row>
    <row r="84" spans="1:9" ht="15.75" hidden="1" customHeight="1">
      <c r="A84" s="21"/>
      <c r="B84" s="11" t="s">
        <v>146</v>
      </c>
      <c r="C84" s="13"/>
      <c r="D84" s="11"/>
      <c r="E84" s="11"/>
      <c r="F84" s="10">
        <v>62</v>
      </c>
      <c r="G84" s="10">
        <v>700</v>
      </c>
      <c r="H84" s="53">
        <f t="shared" ref="H84" si="15">G84*F84/1000</f>
        <v>43.4</v>
      </c>
      <c r="I84" s="10">
        <v>0</v>
      </c>
    </row>
    <row r="85" spans="1:9" ht="15.75" customHeight="1">
      <c r="A85" s="201" t="s">
        <v>126</v>
      </c>
      <c r="B85" s="202"/>
      <c r="C85" s="202"/>
      <c r="D85" s="202"/>
      <c r="E85" s="202"/>
      <c r="F85" s="202"/>
      <c r="G85" s="202"/>
      <c r="H85" s="202"/>
      <c r="I85" s="203"/>
    </row>
    <row r="86" spans="1:9" ht="15.75" customHeight="1">
      <c r="A86" s="21">
        <v>14</v>
      </c>
      <c r="B86" s="159" t="s">
        <v>97</v>
      </c>
      <c r="C86" s="153" t="s">
        <v>55</v>
      </c>
      <c r="D86" s="38"/>
      <c r="E86" s="26">
        <v>3227.7</v>
      </c>
      <c r="F86" s="26">
        <f>SUM(E86*12)</f>
        <v>38732.399999999994</v>
      </c>
      <c r="G86" s="26">
        <v>3.5</v>
      </c>
      <c r="H86" s="53">
        <f t="shared" ref="H86" si="16">G86*F86/1000</f>
        <v>135.56339999999997</v>
      </c>
      <c r="I86" s="10">
        <f>F86/12*G86</f>
        <v>11296.949999999997</v>
      </c>
    </row>
    <row r="87" spans="1:9" ht="31.5" customHeight="1">
      <c r="A87" s="21">
        <v>15</v>
      </c>
      <c r="B87" s="152" t="s">
        <v>186</v>
      </c>
      <c r="C87" s="153" t="s">
        <v>150</v>
      </c>
      <c r="D87" s="90"/>
      <c r="E87" s="166">
        <f>E86</f>
        <v>3227.7</v>
      </c>
      <c r="F87" s="26">
        <f>E87*12</f>
        <v>38732.399999999994</v>
      </c>
      <c r="G87" s="26">
        <v>3.2</v>
      </c>
      <c r="H87" s="53">
        <f>F87*G87/1000</f>
        <v>123.94367999999999</v>
      </c>
      <c r="I87" s="10">
        <f>F87/12*G87</f>
        <v>10328.64</v>
      </c>
    </row>
    <row r="88" spans="1:9" ht="15.75" customHeight="1">
      <c r="A88" s="21"/>
      <c r="B88" s="27" t="s">
        <v>78</v>
      </c>
      <c r="C88" s="71"/>
      <c r="D88" s="70"/>
      <c r="E88" s="59"/>
      <c r="F88" s="59"/>
      <c r="G88" s="59"/>
      <c r="H88" s="72">
        <f>SUM(H87)</f>
        <v>123.94367999999999</v>
      </c>
      <c r="I88" s="59">
        <f>I87+I86+I81+I77+I61+I53+I52+I30+I29+I24+I21+I20+I18+I17+I16</f>
        <v>69127.179648333331</v>
      </c>
    </row>
    <row r="89" spans="1:9" ht="15.75" customHeight="1">
      <c r="A89" s="207" t="s">
        <v>60</v>
      </c>
      <c r="B89" s="208"/>
      <c r="C89" s="208"/>
      <c r="D89" s="208"/>
      <c r="E89" s="208"/>
      <c r="F89" s="208"/>
      <c r="G89" s="208"/>
      <c r="H89" s="208"/>
      <c r="I89" s="209"/>
    </row>
    <row r="90" spans="1:9" ht="18.75" customHeight="1">
      <c r="A90" s="21">
        <v>16</v>
      </c>
      <c r="B90" s="41" t="s">
        <v>286</v>
      </c>
      <c r="C90" s="92" t="s">
        <v>287</v>
      </c>
      <c r="D90" s="90"/>
      <c r="E90" s="26"/>
      <c r="F90" s="26">
        <v>0.5</v>
      </c>
      <c r="G90" s="26">
        <v>2956.11</v>
      </c>
      <c r="H90" s="53"/>
      <c r="I90" s="10">
        <f>G90*0.5</f>
        <v>1478.0550000000001</v>
      </c>
    </row>
    <row r="91" spans="1:9" ht="18.75" customHeight="1">
      <c r="A91" s="21">
        <v>17</v>
      </c>
      <c r="B91" s="91" t="s">
        <v>151</v>
      </c>
      <c r="C91" s="92" t="s">
        <v>136</v>
      </c>
      <c r="D91" s="90" t="s">
        <v>290</v>
      </c>
      <c r="E91" s="26"/>
      <c r="F91" s="26">
        <v>126</v>
      </c>
      <c r="G91" s="26">
        <v>295.36</v>
      </c>
      <c r="H91" s="53"/>
      <c r="I91" s="10">
        <v>0</v>
      </c>
    </row>
    <row r="92" spans="1:9" ht="18.75" customHeight="1">
      <c r="A92" s="21">
        <v>18</v>
      </c>
      <c r="B92" s="91" t="s">
        <v>167</v>
      </c>
      <c r="C92" s="92" t="s">
        <v>152</v>
      </c>
      <c r="D92" s="90"/>
      <c r="E92" s="26"/>
      <c r="F92" s="26">
        <v>16</v>
      </c>
      <c r="G92" s="26">
        <v>236.08</v>
      </c>
      <c r="H92" s="53"/>
      <c r="I92" s="10">
        <f>G92*2</f>
        <v>472.16</v>
      </c>
    </row>
    <row r="93" spans="1:9" ht="18.75" customHeight="1">
      <c r="A93" s="21">
        <v>19</v>
      </c>
      <c r="B93" s="91" t="s">
        <v>237</v>
      </c>
      <c r="C93" s="92" t="s">
        <v>28</v>
      </c>
      <c r="D93" s="90"/>
      <c r="E93" s="26"/>
      <c r="F93" s="26">
        <f>1.325+1.325+1.325+1.325+1.325*2</f>
        <v>7.9499999999999993</v>
      </c>
      <c r="G93" s="26">
        <v>241.69</v>
      </c>
      <c r="H93" s="53"/>
      <c r="I93" s="10">
        <f>G93*1.325*2</f>
        <v>640.47849999999994</v>
      </c>
    </row>
    <row r="94" spans="1:9" ht="18.75" customHeight="1">
      <c r="A94" s="21">
        <v>20</v>
      </c>
      <c r="B94" s="91" t="s">
        <v>288</v>
      </c>
      <c r="C94" s="92" t="s">
        <v>93</v>
      </c>
      <c r="D94" s="90" t="s">
        <v>289</v>
      </c>
      <c r="E94" s="26"/>
      <c r="F94" s="26">
        <v>1</v>
      </c>
      <c r="G94" s="26">
        <v>218.81</v>
      </c>
      <c r="H94" s="53"/>
      <c r="I94" s="10">
        <v>0</v>
      </c>
    </row>
    <row r="95" spans="1:9" ht="18.75" customHeight="1">
      <c r="A95" s="21">
        <v>21</v>
      </c>
      <c r="B95" s="91" t="s">
        <v>260</v>
      </c>
      <c r="C95" s="92" t="s">
        <v>93</v>
      </c>
      <c r="D95" s="90"/>
      <c r="E95" s="26"/>
      <c r="F95" s="26">
        <v>4</v>
      </c>
      <c r="G95" s="26">
        <v>224.48</v>
      </c>
      <c r="H95" s="53"/>
      <c r="I95" s="10">
        <f>G95*2</f>
        <v>448.96</v>
      </c>
    </row>
    <row r="96" spans="1:9" ht="18.75" customHeight="1">
      <c r="A96" s="21">
        <v>22</v>
      </c>
      <c r="B96" s="91" t="s">
        <v>39</v>
      </c>
      <c r="C96" s="92" t="s">
        <v>266</v>
      </c>
      <c r="D96" s="90" t="s">
        <v>177</v>
      </c>
      <c r="E96" s="26"/>
      <c r="F96" s="26">
        <v>0.02</v>
      </c>
      <c r="G96" s="26">
        <v>8763.7900000000009</v>
      </c>
      <c r="H96" s="53"/>
      <c r="I96" s="10">
        <v>0</v>
      </c>
    </row>
    <row r="97" spans="1:9">
      <c r="A97" s="21"/>
      <c r="B97" s="33" t="s">
        <v>52</v>
      </c>
      <c r="C97" s="29"/>
      <c r="D97" s="36"/>
      <c r="E97" s="29">
        <v>1</v>
      </c>
      <c r="F97" s="29"/>
      <c r="G97" s="29"/>
      <c r="H97" s="29"/>
      <c r="I97" s="24">
        <f>SUM(I90:I96)</f>
        <v>3039.6535000000003</v>
      </c>
    </row>
    <row r="98" spans="1:9" ht="15.75" customHeight="1">
      <c r="A98" s="21"/>
      <c r="B98" s="35" t="s">
        <v>76</v>
      </c>
      <c r="C98" s="12"/>
      <c r="D98" s="12"/>
      <c r="E98" s="30"/>
      <c r="F98" s="30"/>
      <c r="G98" s="31"/>
      <c r="H98" s="31"/>
      <c r="I98" s="14">
        <v>0</v>
      </c>
    </row>
    <row r="99" spans="1:9" ht="15.75" customHeight="1">
      <c r="A99" s="37"/>
      <c r="B99" s="34" t="s">
        <v>147</v>
      </c>
      <c r="C99" s="25"/>
      <c r="D99" s="25"/>
      <c r="E99" s="25"/>
      <c r="F99" s="25"/>
      <c r="G99" s="25"/>
      <c r="H99" s="25"/>
      <c r="I99" s="32">
        <f>I88+I97</f>
        <v>72166.833148333331</v>
      </c>
    </row>
    <row r="100" spans="1:9" ht="15.75" customHeight="1">
      <c r="A100" s="210" t="s">
        <v>291</v>
      </c>
      <c r="B100" s="210"/>
      <c r="C100" s="210"/>
      <c r="D100" s="210"/>
      <c r="E100" s="210"/>
      <c r="F100" s="210"/>
      <c r="G100" s="210"/>
      <c r="H100" s="210"/>
      <c r="I100" s="210"/>
    </row>
    <row r="101" spans="1:9" ht="15.75" customHeight="1">
      <c r="A101" s="43"/>
      <c r="B101" s="211" t="s">
        <v>292</v>
      </c>
      <c r="C101" s="211"/>
      <c r="D101" s="211"/>
      <c r="E101" s="211"/>
      <c r="F101" s="211"/>
      <c r="G101" s="211"/>
      <c r="H101" s="52"/>
      <c r="I101" s="2"/>
    </row>
    <row r="102" spans="1:9" ht="15.75" customHeight="1">
      <c r="A102" s="44"/>
      <c r="B102" s="195" t="s">
        <v>6</v>
      </c>
      <c r="C102" s="195"/>
      <c r="D102" s="195"/>
      <c r="E102" s="195"/>
      <c r="F102" s="195"/>
      <c r="G102" s="195"/>
      <c r="H102" s="16"/>
      <c r="I102" s="4"/>
    </row>
    <row r="103" spans="1:9" ht="7.5" customHeight="1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 customHeight="1">
      <c r="A104" s="212" t="s">
        <v>7</v>
      </c>
      <c r="B104" s="212"/>
      <c r="C104" s="212"/>
      <c r="D104" s="212"/>
      <c r="E104" s="212"/>
      <c r="F104" s="212"/>
      <c r="G104" s="212"/>
      <c r="H104" s="212"/>
      <c r="I104" s="212"/>
    </row>
    <row r="105" spans="1:9" ht="15.75">
      <c r="A105" s="212" t="s">
        <v>8</v>
      </c>
      <c r="B105" s="212"/>
      <c r="C105" s="212"/>
      <c r="D105" s="212"/>
      <c r="E105" s="212"/>
      <c r="F105" s="212"/>
      <c r="G105" s="212"/>
      <c r="H105" s="212"/>
      <c r="I105" s="212"/>
    </row>
    <row r="106" spans="1:9" ht="15.75">
      <c r="A106" s="199" t="s">
        <v>61</v>
      </c>
      <c r="B106" s="199"/>
      <c r="C106" s="199"/>
      <c r="D106" s="199"/>
      <c r="E106" s="199"/>
      <c r="F106" s="199"/>
      <c r="G106" s="199"/>
      <c r="H106" s="199"/>
      <c r="I106" s="199"/>
    </row>
    <row r="107" spans="1:9" ht="8.25" customHeight="1">
      <c r="A107" s="8"/>
    </row>
    <row r="108" spans="1:9" ht="15.75">
      <c r="A108" s="193" t="s">
        <v>9</v>
      </c>
      <c r="B108" s="193"/>
      <c r="C108" s="193"/>
      <c r="D108" s="193"/>
      <c r="E108" s="193"/>
      <c r="F108" s="193"/>
      <c r="G108" s="193"/>
      <c r="H108" s="193"/>
      <c r="I108" s="193"/>
    </row>
    <row r="109" spans="1:9" ht="15.75">
      <c r="A109" s="3"/>
    </row>
    <row r="110" spans="1:9" ht="15.75" customHeight="1">
      <c r="B110" s="47" t="s">
        <v>10</v>
      </c>
      <c r="C110" s="194" t="s">
        <v>190</v>
      </c>
      <c r="D110" s="194"/>
      <c r="E110" s="194"/>
      <c r="F110" s="50"/>
      <c r="I110" s="48"/>
    </row>
    <row r="111" spans="1:9" ht="15.75" customHeight="1">
      <c r="A111" s="44"/>
      <c r="C111" s="195" t="s">
        <v>11</v>
      </c>
      <c r="D111" s="195"/>
      <c r="E111" s="195"/>
      <c r="F111" s="16"/>
      <c r="I111" s="46" t="s">
        <v>12</v>
      </c>
    </row>
    <row r="112" spans="1:9" ht="15.75" customHeight="1">
      <c r="A112" s="17"/>
      <c r="C112" s="9"/>
      <c r="D112" s="9"/>
      <c r="G112" s="9"/>
      <c r="H112" s="9"/>
    </row>
    <row r="113" spans="1:9" ht="15.75" customHeight="1">
      <c r="B113" s="47" t="s">
        <v>13</v>
      </c>
      <c r="C113" s="196"/>
      <c r="D113" s="196"/>
      <c r="E113" s="196"/>
      <c r="F113" s="51"/>
      <c r="I113" s="48"/>
    </row>
    <row r="114" spans="1:9">
      <c r="A114" s="44"/>
      <c r="C114" s="197" t="s">
        <v>11</v>
      </c>
      <c r="D114" s="197"/>
      <c r="E114" s="197"/>
      <c r="F114" s="44"/>
      <c r="I114" s="46" t="s">
        <v>12</v>
      </c>
    </row>
    <row r="115" spans="1:9" ht="15.75">
      <c r="A115" s="3" t="s">
        <v>14</v>
      </c>
    </row>
    <row r="116" spans="1:9">
      <c r="A116" s="198" t="s">
        <v>15</v>
      </c>
      <c r="B116" s="198"/>
      <c r="C116" s="198"/>
      <c r="D116" s="198"/>
      <c r="E116" s="198"/>
      <c r="F116" s="198"/>
      <c r="G116" s="198"/>
      <c r="H116" s="198"/>
      <c r="I116" s="198"/>
    </row>
    <row r="117" spans="1:9" ht="45" customHeight="1">
      <c r="A117" s="192" t="s">
        <v>16</v>
      </c>
      <c r="B117" s="192"/>
      <c r="C117" s="192"/>
      <c r="D117" s="192"/>
      <c r="E117" s="192"/>
      <c r="F117" s="192"/>
      <c r="G117" s="192"/>
      <c r="H117" s="192"/>
      <c r="I117" s="192"/>
    </row>
    <row r="118" spans="1:9" ht="30" customHeight="1">
      <c r="A118" s="192" t="s">
        <v>17</v>
      </c>
      <c r="B118" s="192"/>
      <c r="C118" s="192"/>
      <c r="D118" s="192"/>
      <c r="E118" s="192"/>
      <c r="F118" s="192"/>
      <c r="G118" s="192"/>
      <c r="H118" s="192"/>
      <c r="I118" s="192"/>
    </row>
    <row r="119" spans="1:9" ht="30" customHeight="1">
      <c r="A119" s="192" t="s">
        <v>21</v>
      </c>
      <c r="B119" s="192"/>
      <c r="C119" s="192"/>
      <c r="D119" s="192"/>
      <c r="E119" s="192"/>
      <c r="F119" s="192"/>
      <c r="G119" s="192"/>
      <c r="H119" s="192"/>
      <c r="I119" s="192"/>
    </row>
    <row r="120" spans="1:9" ht="15" customHeight="1">
      <c r="A120" s="192" t="s">
        <v>20</v>
      </c>
      <c r="B120" s="192"/>
      <c r="C120" s="192"/>
      <c r="D120" s="192"/>
      <c r="E120" s="192"/>
      <c r="F120" s="192"/>
      <c r="G120" s="192"/>
      <c r="H120" s="192"/>
      <c r="I120" s="192"/>
    </row>
  </sheetData>
  <mergeCells count="28">
    <mergeCell ref="A14:I14"/>
    <mergeCell ref="A3:I3"/>
    <mergeCell ref="A4:I4"/>
    <mergeCell ref="A5:I5"/>
    <mergeCell ref="A8:I8"/>
    <mergeCell ref="A10:I10"/>
    <mergeCell ref="A108:I108"/>
    <mergeCell ref="A15:I15"/>
    <mergeCell ref="A27:I27"/>
    <mergeCell ref="A42:I42"/>
    <mergeCell ref="A54:I54"/>
    <mergeCell ref="A85:I85"/>
    <mergeCell ref="A100:I100"/>
    <mergeCell ref="B101:G101"/>
    <mergeCell ref="B102:G102"/>
    <mergeCell ref="A104:I104"/>
    <mergeCell ref="A105:I105"/>
    <mergeCell ref="A106:I106"/>
    <mergeCell ref="A89:I89"/>
    <mergeCell ref="A118:I118"/>
    <mergeCell ref="A119:I119"/>
    <mergeCell ref="A120:I120"/>
    <mergeCell ref="C110:E110"/>
    <mergeCell ref="C111:E111"/>
    <mergeCell ref="C113:E113"/>
    <mergeCell ref="C114:E114"/>
    <mergeCell ref="A116:I116"/>
    <mergeCell ref="A117:I117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4"/>
  <sheetViews>
    <sheetView topLeftCell="A64" workbookViewId="0">
      <selection activeCell="A110" sqref="A110:I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5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82</v>
      </c>
      <c r="B3" s="214"/>
      <c r="C3" s="214"/>
      <c r="D3" s="214"/>
      <c r="E3" s="214"/>
      <c r="F3" s="214"/>
      <c r="G3" s="214"/>
      <c r="H3" s="214"/>
      <c r="I3" s="214"/>
    </row>
    <row r="4" spans="1:9" ht="31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293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95"/>
      <c r="C6" s="95"/>
      <c r="D6" s="95"/>
      <c r="E6" s="95"/>
      <c r="F6" s="95"/>
      <c r="G6" s="95"/>
      <c r="H6" s="95"/>
      <c r="I6" s="22">
        <v>44530</v>
      </c>
    </row>
    <row r="7" spans="1:9" ht="15.75">
      <c r="B7" s="94"/>
      <c r="C7" s="94"/>
      <c r="D7" s="94"/>
      <c r="E7" s="2"/>
      <c r="F7" s="2"/>
      <c r="G7" s="2"/>
      <c r="H7" s="2"/>
    </row>
    <row r="8" spans="1:9" ht="78.75" customHeight="1">
      <c r="A8" s="217" t="s">
        <v>191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47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 ht="1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5.7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59" t="s">
        <v>105</v>
      </c>
      <c r="C18" s="160" t="s">
        <v>83</v>
      </c>
      <c r="D18" s="159" t="s">
        <v>177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F18/18*G18</f>
        <v>1630.6828800000001</v>
      </c>
    </row>
    <row r="19" spans="1:9" ht="15.75" hidden="1" customHeight="1">
      <c r="A19" s="21"/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7.25" customHeight="1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si="1"/>
        <v>9.9076295999999994E-2</v>
      </c>
      <c r="I25" s="10">
        <f>0.0638*G25</f>
        <v>49.538148</v>
      </c>
    </row>
    <row r="26" spans="1:9" ht="15.75" hidden="1" customHeight="1">
      <c r="A26" s="21">
        <v>7</v>
      </c>
      <c r="B26" s="159" t="s">
        <v>169</v>
      </c>
      <c r="C26" s="160" t="s">
        <v>150</v>
      </c>
      <c r="D26" s="159" t="s">
        <v>174</v>
      </c>
      <c r="E26" s="161">
        <v>4.8</v>
      </c>
      <c r="F26" s="162">
        <f>E26*258</f>
        <v>1238.3999999999999</v>
      </c>
      <c r="G26" s="162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hidden="1" customHeight="1">
      <c r="A27" s="21">
        <v>6</v>
      </c>
      <c r="B27" s="61" t="s">
        <v>23</v>
      </c>
      <c r="C27" s="55" t="s">
        <v>24</v>
      </c>
      <c r="D27" s="61" t="s">
        <v>130</v>
      </c>
      <c r="E27" s="56">
        <v>2579.4</v>
      </c>
      <c r="F27" s="57">
        <f>SUM(E27*12)</f>
        <v>30952.800000000003</v>
      </c>
      <c r="G27" s="57">
        <v>3.34</v>
      </c>
      <c r="H27" s="58">
        <f t="shared" ref="H27" si="2">SUM(F27*G27/1000)</f>
        <v>103.382352</v>
      </c>
      <c r="I27" s="10">
        <f>F27/12*G27</f>
        <v>8615.1959999999999</v>
      </c>
    </row>
    <row r="28" spans="1:9" ht="15.75" customHeight="1">
      <c r="A28" s="201" t="s">
        <v>81</v>
      </c>
      <c r="B28" s="202"/>
      <c r="C28" s="202"/>
      <c r="D28" s="202"/>
      <c r="E28" s="202"/>
      <c r="F28" s="202"/>
      <c r="G28" s="202"/>
      <c r="H28" s="202"/>
      <c r="I28" s="203"/>
    </row>
    <row r="29" spans="1:9" ht="15.75" hidden="1" customHeight="1">
      <c r="A29" s="21"/>
      <c r="B29" s="73" t="s">
        <v>27</v>
      </c>
      <c r="C29" s="55"/>
      <c r="D29" s="54"/>
      <c r="E29" s="56"/>
      <c r="F29" s="57"/>
      <c r="G29" s="57"/>
      <c r="H29" s="58"/>
      <c r="I29" s="10"/>
    </row>
    <row r="30" spans="1:9" ht="15.75" hidden="1" customHeight="1">
      <c r="A30" s="21">
        <v>6</v>
      </c>
      <c r="B30" s="54" t="s">
        <v>91</v>
      </c>
      <c r="C30" s="55" t="s">
        <v>85</v>
      </c>
      <c r="D30" s="54" t="s">
        <v>137</v>
      </c>
      <c r="E30" s="57">
        <v>124.74</v>
      </c>
      <c r="F30" s="57">
        <f>SUM(E30*52/1000)</f>
        <v>6.4864799999999994</v>
      </c>
      <c r="G30" s="57">
        <v>204.44</v>
      </c>
      <c r="H30" s="58">
        <f t="shared" ref="H30:H35" si="3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4" t="s">
        <v>132</v>
      </c>
      <c r="C31" s="55" t="s">
        <v>85</v>
      </c>
      <c r="D31" s="54" t="s">
        <v>138</v>
      </c>
      <c r="E31" s="57">
        <v>31.4</v>
      </c>
      <c r="F31" s="57">
        <f>SUM(E31*52/1000)</f>
        <v>1.6328</v>
      </c>
      <c r="G31" s="57">
        <v>339.21</v>
      </c>
      <c r="H31" s="58">
        <f t="shared" si="3"/>
        <v>0.55386208799999992</v>
      </c>
      <c r="I31" s="10">
        <f t="shared" ref="I31:I33" si="4">F31/6*G31</f>
        <v>92.310347999999991</v>
      </c>
    </row>
    <row r="32" spans="1:9" ht="15.75" hidden="1" customHeight="1">
      <c r="A32" s="21"/>
      <c r="B32" s="54" t="s">
        <v>26</v>
      </c>
      <c r="C32" s="55" t="s">
        <v>85</v>
      </c>
      <c r="D32" s="54" t="s">
        <v>54</v>
      </c>
      <c r="E32" s="57">
        <v>124.7</v>
      </c>
      <c r="F32" s="57">
        <f>SUM(E32/1000)</f>
        <v>0.12470000000000001</v>
      </c>
      <c r="G32" s="57">
        <v>3961.23</v>
      </c>
      <c r="H32" s="58">
        <f t="shared" si="3"/>
        <v>0.49396538100000004</v>
      </c>
      <c r="I32" s="10">
        <f t="shared" si="4"/>
        <v>82.327563500000011</v>
      </c>
    </row>
    <row r="33" spans="1:9" ht="15.75" hidden="1" customHeight="1">
      <c r="A33" s="21">
        <v>8</v>
      </c>
      <c r="B33" s="54" t="s">
        <v>90</v>
      </c>
      <c r="C33" s="55" t="s">
        <v>30</v>
      </c>
      <c r="D33" s="54" t="s">
        <v>63</v>
      </c>
      <c r="E33" s="60">
        <f>1/3</f>
        <v>0.33333333333333331</v>
      </c>
      <c r="F33" s="57">
        <f>155/3</f>
        <v>51.666666666666664</v>
      </c>
      <c r="G33" s="57">
        <v>74.349999999999994</v>
      </c>
      <c r="H33" s="58">
        <f t="shared" si="3"/>
        <v>3.841416666666666</v>
      </c>
      <c r="I33" s="10">
        <f t="shared" si="4"/>
        <v>640.23611111111109</v>
      </c>
    </row>
    <row r="34" spans="1:9" ht="15.75" hidden="1" customHeight="1">
      <c r="A34" s="21"/>
      <c r="B34" s="54" t="s">
        <v>64</v>
      </c>
      <c r="C34" s="55" t="s">
        <v>32</v>
      </c>
      <c r="D34" s="54" t="s">
        <v>66</v>
      </c>
      <c r="E34" s="56"/>
      <c r="F34" s="57">
        <v>2</v>
      </c>
      <c r="G34" s="57">
        <v>250.92</v>
      </c>
      <c r="H34" s="58">
        <f t="shared" si="3"/>
        <v>0.50183999999999995</v>
      </c>
      <c r="I34" s="10">
        <v>0</v>
      </c>
    </row>
    <row r="35" spans="1:9" ht="15.75" hidden="1" customHeight="1">
      <c r="A35" s="21"/>
      <c r="B35" s="54" t="s">
        <v>65</v>
      </c>
      <c r="C35" s="55" t="s">
        <v>31</v>
      </c>
      <c r="D35" s="54" t="s">
        <v>66</v>
      </c>
      <c r="E35" s="56"/>
      <c r="F35" s="57">
        <v>1</v>
      </c>
      <c r="G35" s="57">
        <v>1490.31</v>
      </c>
      <c r="H35" s="58">
        <f t="shared" si="3"/>
        <v>1.49031</v>
      </c>
      <c r="I35" s="10">
        <v>0</v>
      </c>
    </row>
    <row r="36" spans="1:9" ht="15.75" customHeight="1">
      <c r="A36" s="21"/>
      <c r="B36" s="73" t="s">
        <v>5</v>
      </c>
      <c r="C36" s="55"/>
      <c r="D36" s="54"/>
      <c r="E36" s="56"/>
      <c r="F36" s="57"/>
      <c r="G36" s="57"/>
      <c r="H36" s="58" t="s">
        <v>130</v>
      </c>
      <c r="I36" s="10"/>
    </row>
    <row r="37" spans="1:9" ht="17.25" customHeight="1">
      <c r="A37" s="21">
        <v>7</v>
      </c>
      <c r="B37" s="172" t="s">
        <v>25</v>
      </c>
      <c r="C37" s="160" t="s">
        <v>31</v>
      </c>
      <c r="D37" s="159" t="s">
        <v>296</v>
      </c>
      <c r="E37" s="166"/>
      <c r="F37" s="162">
        <v>6</v>
      </c>
      <c r="G37" s="162">
        <v>2003</v>
      </c>
      <c r="H37" s="58">
        <f>SUM(F37*G37/1000)</f>
        <v>12.018000000000001</v>
      </c>
      <c r="I37" s="10">
        <f>G37*0.5</f>
        <v>1001.5</v>
      </c>
    </row>
    <row r="38" spans="1:9" ht="15.75" customHeight="1">
      <c r="A38" s="21">
        <v>8</v>
      </c>
      <c r="B38" s="172" t="s">
        <v>67</v>
      </c>
      <c r="C38" s="173" t="s">
        <v>28</v>
      </c>
      <c r="D38" s="172" t="s">
        <v>176</v>
      </c>
      <c r="E38" s="174">
        <v>26.07</v>
      </c>
      <c r="F38" s="174">
        <f>SUM(E38*30/1000)</f>
        <v>0.78210000000000002</v>
      </c>
      <c r="G38" s="174">
        <v>2757.78</v>
      </c>
      <c r="H38" s="58">
        <f t="shared" ref="H38:H43" si="5">SUM(F38*G38/1000)</f>
        <v>2.1568597380000001</v>
      </c>
      <c r="I38" s="10">
        <f t="shared" ref="I38:I41" si="6">F38/6*G38</f>
        <v>359.47662300000002</v>
      </c>
    </row>
    <row r="39" spans="1:9" ht="15.75" customHeight="1">
      <c r="A39" s="21">
        <v>9</v>
      </c>
      <c r="B39" s="159" t="s">
        <v>68</v>
      </c>
      <c r="C39" s="160" t="s">
        <v>28</v>
      </c>
      <c r="D39" s="159" t="s">
        <v>175</v>
      </c>
      <c r="E39" s="162">
        <v>31.4</v>
      </c>
      <c r="F39" s="174">
        <f>SUM(E39*155/1000)</f>
        <v>4.867</v>
      </c>
      <c r="G39" s="162">
        <v>460.02</v>
      </c>
      <c r="H39" s="58">
        <f t="shared" si="5"/>
        <v>2.23891734</v>
      </c>
      <c r="I39" s="10">
        <f t="shared" si="6"/>
        <v>373.15289000000001</v>
      </c>
    </row>
    <row r="40" spans="1:9" ht="15.75" hidden="1" customHeight="1">
      <c r="A40" s="21">
        <v>9</v>
      </c>
      <c r="B40" s="159" t="s">
        <v>115</v>
      </c>
      <c r="C40" s="160" t="s">
        <v>55</v>
      </c>
      <c r="D40" s="159" t="s">
        <v>185</v>
      </c>
      <c r="E40" s="166"/>
      <c r="F40" s="174">
        <v>110</v>
      </c>
      <c r="G40" s="162">
        <v>314</v>
      </c>
      <c r="H40" s="58">
        <f t="shared" si="5"/>
        <v>34.54</v>
      </c>
      <c r="I40" s="10">
        <f t="shared" si="6"/>
        <v>5756.6666666666661</v>
      </c>
    </row>
    <row r="41" spans="1:9" ht="47.25" customHeight="1">
      <c r="A41" s="21">
        <v>10</v>
      </c>
      <c r="B41" s="159" t="s">
        <v>80</v>
      </c>
      <c r="C41" s="160" t="s">
        <v>85</v>
      </c>
      <c r="D41" s="159" t="s">
        <v>176</v>
      </c>
      <c r="E41" s="162">
        <v>26.07</v>
      </c>
      <c r="F41" s="174">
        <f>SUM(E41*30/1000)</f>
        <v>0.78210000000000002</v>
      </c>
      <c r="G41" s="162">
        <v>7611.16</v>
      </c>
      <c r="H41" s="58">
        <f t="shared" si="5"/>
        <v>5.9526882360000002</v>
      </c>
      <c r="I41" s="10">
        <f t="shared" si="6"/>
        <v>992.11470599999996</v>
      </c>
    </row>
    <row r="42" spans="1:9" ht="15.75" hidden="1" customHeight="1">
      <c r="A42" s="21">
        <v>11</v>
      </c>
      <c r="B42" s="159" t="s">
        <v>86</v>
      </c>
      <c r="C42" s="160" t="s">
        <v>85</v>
      </c>
      <c r="D42" s="159" t="s">
        <v>177</v>
      </c>
      <c r="E42" s="162">
        <v>26.07</v>
      </c>
      <c r="F42" s="174">
        <f>SUM(E42*24/1000)</f>
        <v>0.62568000000000001</v>
      </c>
      <c r="G42" s="162">
        <v>562.25</v>
      </c>
      <c r="H42" s="58">
        <f t="shared" si="5"/>
        <v>0.35178858000000002</v>
      </c>
      <c r="I42" s="10">
        <f>G42*F42/24*1</f>
        <v>14.6578575</v>
      </c>
    </row>
    <row r="43" spans="1:9" ht="15.75" hidden="1" customHeight="1">
      <c r="A43" s="21">
        <v>12</v>
      </c>
      <c r="B43" s="172" t="s">
        <v>69</v>
      </c>
      <c r="C43" s="173" t="s">
        <v>32</v>
      </c>
      <c r="D43" s="172"/>
      <c r="E43" s="175"/>
      <c r="F43" s="174">
        <v>0.3</v>
      </c>
      <c r="G43" s="174">
        <v>974.83</v>
      </c>
      <c r="H43" s="58">
        <f t="shared" si="5"/>
        <v>0.29244900000000001</v>
      </c>
      <c r="I43" s="10">
        <f>G43*F43/24*1</f>
        <v>12.185375000000001</v>
      </c>
    </row>
    <row r="44" spans="1:9" ht="33" customHeight="1">
      <c r="A44" s="21">
        <v>11</v>
      </c>
      <c r="B44" s="91" t="s">
        <v>166</v>
      </c>
      <c r="C44" s="92" t="s">
        <v>28</v>
      </c>
      <c r="D44" s="172" t="s">
        <v>172</v>
      </c>
      <c r="E44" s="175">
        <v>3</v>
      </c>
      <c r="F44" s="174">
        <f>SUM(E44*12/1000)</f>
        <v>3.5999999999999997E-2</v>
      </c>
      <c r="G44" s="174">
        <v>20547.34</v>
      </c>
      <c r="H44" s="49"/>
      <c r="I44" s="10">
        <f>G44*F44/6*1</f>
        <v>123.28403999999999</v>
      </c>
    </row>
    <row r="45" spans="1:9" ht="15.75" hidden="1" customHeight="1">
      <c r="A45" s="201" t="s">
        <v>124</v>
      </c>
      <c r="B45" s="202"/>
      <c r="C45" s="202"/>
      <c r="D45" s="202"/>
      <c r="E45" s="202"/>
      <c r="F45" s="202"/>
      <c r="G45" s="202"/>
      <c r="H45" s="202"/>
      <c r="I45" s="203"/>
    </row>
    <row r="46" spans="1:9" ht="15.75" hidden="1" customHeight="1">
      <c r="A46" s="21"/>
      <c r="B46" s="54" t="s">
        <v>92</v>
      </c>
      <c r="C46" s="55" t="s">
        <v>85</v>
      </c>
      <c r="D46" s="54" t="s">
        <v>42</v>
      </c>
      <c r="E46" s="56">
        <v>1109.4000000000001</v>
      </c>
      <c r="F46" s="57">
        <f>SUM(E46*2/1000)</f>
        <v>2.2188000000000003</v>
      </c>
      <c r="G46" s="10">
        <v>1172.4100000000001</v>
      </c>
      <c r="H46" s="58">
        <f t="shared" ref="H46:H56" si="7">SUM(F46*G46/1000)</f>
        <v>2.6013433080000006</v>
      </c>
      <c r="I46" s="10">
        <v>0</v>
      </c>
    </row>
    <row r="47" spans="1:9" ht="15.75" hidden="1" customHeight="1">
      <c r="A47" s="21"/>
      <c r="B47" s="54" t="s">
        <v>35</v>
      </c>
      <c r="C47" s="55" t="s">
        <v>85</v>
      </c>
      <c r="D47" s="54" t="s">
        <v>42</v>
      </c>
      <c r="E47" s="56">
        <v>66</v>
      </c>
      <c r="F47" s="57">
        <f>SUM(E47*2/1000)</f>
        <v>0.13200000000000001</v>
      </c>
      <c r="G47" s="10">
        <v>4419.05</v>
      </c>
      <c r="H47" s="58">
        <f t="shared" si="7"/>
        <v>0.58331460000000002</v>
      </c>
      <c r="I47" s="10">
        <v>0</v>
      </c>
    </row>
    <row r="48" spans="1:9" ht="15.75" hidden="1" customHeight="1">
      <c r="A48" s="21"/>
      <c r="B48" s="54" t="s">
        <v>36</v>
      </c>
      <c r="C48" s="55" t="s">
        <v>85</v>
      </c>
      <c r="D48" s="54" t="s">
        <v>42</v>
      </c>
      <c r="E48" s="56">
        <v>1563.2750000000001</v>
      </c>
      <c r="F48" s="57">
        <f>SUM(E48*2/1000)</f>
        <v>3.1265500000000004</v>
      </c>
      <c r="G48" s="10">
        <v>1803.69</v>
      </c>
      <c r="H48" s="58">
        <f t="shared" si="7"/>
        <v>5.6393269695000008</v>
      </c>
      <c r="I48" s="10">
        <v>0</v>
      </c>
    </row>
    <row r="49" spans="1:9" ht="15.75" hidden="1" customHeight="1">
      <c r="A49" s="21"/>
      <c r="B49" s="54" t="s">
        <v>37</v>
      </c>
      <c r="C49" s="55" t="s">
        <v>85</v>
      </c>
      <c r="D49" s="54" t="s">
        <v>42</v>
      </c>
      <c r="E49" s="56">
        <v>1619.6</v>
      </c>
      <c r="F49" s="57">
        <f>SUM(E49*2/1000)</f>
        <v>3.2391999999999999</v>
      </c>
      <c r="G49" s="10">
        <v>1243.43</v>
      </c>
      <c r="H49" s="58">
        <f t="shared" si="7"/>
        <v>4.0277184559999997</v>
      </c>
      <c r="I49" s="10">
        <v>0</v>
      </c>
    </row>
    <row r="50" spans="1:9" ht="15.75" hidden="1" customHeight="1">
      <c r="A50" s="21"/>
      <c r="B50" s="54" t="s">
        <v>33</v>
      </c>
      <c r="C50" s="55" t="s">
        <v>34</v>
      </c>
      <c r="D50" s="54" t="s">
        <v>42</v>
      </c>
      <c r="E50" s="56">
        <v>85.84</v>
      </c>
      <c r="F50" s="57">
        <f>SUM(E50*2/100)</f>
        <v>1.7168000000000001</v>
      </c>
      <c r="G50" s="10">
        <v>1352.76</v>
      </c>
      <c r="H50" s="58">
        <f t="shared" si="7"/>
        <v>2.3224183680000001</v>
      </c>
      <c r="I50" s="10">
        <v>0</v>
      </c>
    </row>
    <row r="51" spans="1:9" ht="15.75" hidden="1" customHeight="1">
      <c r="A51" s="21">
        <v>14</v>
      </c>
      <c r="B51" s="54" t="s">
        <v>56</v>
      </c>
      <c r="C51" s="55" t="s">
        <v>85</v>
      </c>
      <c r="D51" s="54" t="s">
        <v>133</v>
      </c>
      <c r="E51" s="56">
        <v>2579.4</v>
      </c>
      <c r="F51" s="57">
        <f>SUM(E51*5/1000)</f>
        <v>12.897</v>
      </c>
      <c r="G51" s="10">
        <v>1803.69</v>
      </c>
      <c r="H51" s="58">
        <f t="shared" si="7"/>
        <v>23.262189930000002</v>
      </c>
      <c r="I51" s="10">
        <v>0</v>
      </c>
    </row>
    <row r="52" spans="1:9" ht="31.5" hidden="1" customHeight="1">
      <c r="A52" s="21">
        <v>9</v>
      </c>
      <c r="B52" s="54" t="s">
        <v>87</v>
      </c>
      <c r="C52" s="55" t="s">
        <v>85</v>
      </c>
      <c r="D52" s="54" t="s">
        <v>42</v>
      </c>
      <c r="E52" s="56">
        <v>2579.4</v>
      </c>
      <c r="F52" s="57">
        <f>SUM(E52*2/1000)</f>
        <v>5.1588000000000003</v>
      </c>
      <c r="G52" s="10">
        <v>1591.6</v>
      </c>
      <c r="H52" s="58">
        <f t="shared" si="7"/>
        <v>8.2107460800000016</v>
      </c>
      <c r="I52" s="10">
        <f>F52/2*G52</f>
        <v>4105.3730400000004</v>
      </c>
    </row>
    <row r="53" spans="1:9" ht="31.5" hidden="1" customHeight="1">
      <c r="A53" s="21">
        <v>10</v>
      </c>
      <c r="B53" s="54" t="s">
        <v>88</v>
      </c>
      <c r="C53" s="55" t="s">
        <v>38</v>
      </c>
      <c r="D53" s="54" t="s">
        <v>42</v>
      </c>
      <c r="E53" s="56">
        <v>20</v>
      </c>
      <c r="F53" s="57">
        <f>SUM(E53*2/100)</f>
        <v>0.4</v>
      </c>
      <c r="G53" s="10">
        <v>4058.32</v>
      </c>
      <c r="H53" s="58">
        <f t="shared" si="7"/>
        <v>1.6233280000000001</v>
      </c>
      <c r="I53" s="10">
        <f t="shared" ref="I53:I54" si="8">F53/2*G53</f>
        <v>811.6640000000001</v>
      </c>
    </row>
    <row r="54" spans="1:9" ht="15.75" hidden="1" customHeight="1">
      <c r="A54" s="21">
        <v>11</v>
      </c>
      <c r="B54" s="54" t="s">
        <v>39</v>
      </c>
      <c r="C54" s="55" t="s">
        <v>40</v>
      </c>
      <c r="D54" s="54" t="s">
        <v>42</v>
      </c>
      <c r="E54" s="56">
        <v>1</v>
      </c>
      <c r="F54" s="57">
        <v>0.02</v>
      </c>
      <c r="G54" s="10">
        <v>7412.92</v>
      </c>
      <c r="H54" s="58">
        <f t="shared" si="7"/>
        <v>0.14825839999999998</v>
      </c>
      <c r="I54" s="10">
        <f t="shared" si="8"/>
        <v>74.129199999999997</v>
      </c>
    </row>
    <row r="55" spans="1:9" ht="15.75" hidden="1" customHeight="1">
      <c r="A55" s="21">
        <v>14</v>
      </c>
      <c r="B55" s="54" t="s">
        <v>98</v>
      </c>
      <c r="C55" s="55" t="s">
        <v>93</v>
      </c>
      <c r="D55" s="163">
        <v>44148</v>
      </c>
      <c r="E55" s="56">
        <v>62</v>
      </c>
      <c r="F55" s="57">
        <f>SUM(E55*3)</f>
        <v>186</v>
      </c>
      <c r="G55" s="176">
        <v>290.39999999999998</v>
      </c>
      <c r="H55" s="58">
        <f t="shared" si="7"/>
        <v>54.014399999999995</v>
      </c>
      <c r="I55" s="10">
        <f>G55*F55/3</f>
        <v>18004.8</v>
      </c>
    </row>
    <row r="56" spans="1:9" ht="15.75" hidden="1" customHeight="1">
      <c r="A56" s="75">
        <v>15</v>
      </c>
      <c r="B56" s="63" t="s">
        <v>41</v>
      </c>
      <c r="C56" s="62" t="s">
        <v>93</v>
      </c>
      <c r="D56" s="164">
        <v>44148</v>
      </c>
      <c r="E56" s="64">
        <v>124</v>
      </c>
      <c r="F56" s="65">
        <f>SUM(E56)*3</f>
        <v>372</v>
      </c>
      <c r="G56" s="176">
        <v>90</v>
      </c>
      <c r="H56" s="66">
        <f t="shared" si="7"/>
        <v>33.479999999999997</v>
      </c>
      <c r="I56" s="76">
        <f>G56*F56/3</f>
        <v>11160</v>
      </c>
    </row>
    <row r="57" spans="1:9" ht="15.75" customHeight="1">
      <c r="A57" s="204" t="s">
        <v>127</v>
      </c>
      <c r="B57" s="205"/>
      <c r="C57" s="205"/>
      <c r="D57" s="205"/>
      <c r="E57" s="205"/>
      <c r="F57" s="205"/>
      <c r="G57" s="205"/>
      <c r="H57" s="205"/>
      <c r="I57" s="206"/>
    </row>
    <row r="58" spans="1:9" ht="15.75" customHeight="1">
      <c r="A58" s="77"/>
      <c r="B58" s="78" t="s">
        <v>43</v>
      </c>
      <c r="C58" s="79"/>
      <c r="D58" s="80"/>
      <c r="E58" s="81"/>
      <c r="F58" s="82"/>
      <c r="G58" s="82"/>
      <c r="H58" s="83"/>
      <c r="I58" s="84"/>
    </row>
    <row r="59" spans="1:9" ht="31.5" customHeight="1">
      <c r="A59" s="21">
        <v>12</v>
      </c>
      <c r="B59" s="54" t="s">
        <v>101</v>
      </c>
      <c r="C59" s="55" t="s">
        <v>83</v>
      </c>
      <c r="D59" s="54" t="s">
        <v>116</v>
      </c>
      <c r="E59" s="56">
        <v>126.94</v>
      </c>
      <c r="F59" s="57">
        <f>SUM(E59*6/100)</f>
        <v>7.6163999999999996</v>
      </c>
      <c r="G59" s="151">
        <v>2306.83</v>
      </c>
      <c r="H59" s="58">
        <f>SUM(F59*G59/1000)</f>
        <v>17.569740011999997</v>
      </c>
      <c r="I59" s="10">
        <f>G59*0.13</f>
        <v>299.8879</v>
      </c>
    </row>
    <row r="60" spans="1:9" ht="31.5" customHeight="1">
      <c r="A60" s="21">
        <v>13</v>
      </c>
      <c r="B60" s="54" t="s">
        <v>77</v>
      </c>
      <c r="C60" s="55" t="s">
        <v>83</v>
      </c>
      <c r="D60" s="54" t="s">
        <v>173</v>
      </c>
      <c r="E60" s="15">
        <v>19.899999999999999</v>
      </c>
      <c r="F60" s="57">
        <f>SUM(E60*6/100)</f>
        <v>1.194</v>
      </c>
      <c r="G60" s="179">
        <v>2306.83</v>
      </c>
      <c r="H60" s="58">
        <f t="shared" ref="H60:H61" si="9">SUM(F60*G60/1000)</f>
        <v>2.7543550199999998</v>
      </c>
      <c r="I60" s="10">
        <f t="shared" ref="I60" si="10">F60/6*G60</f>
        <v>459.05916999999994</v>
      </c>
    </row>
    <row r="61" spans="1:9" ht="15.75" customHeight="1">
      <c r="A61" s="21">
        <v>14</v>
      </c>
      <c r="B61" s="63" t="s">
        <v>121</v>
      </c>
      <c r="C61" s="62" t="s">
        <v>122</v>
      </c>
      <c r="D61" s="63" t="s">
        <v>294</v>
      </c>
      <c r="E61" s="85"/>
      <c r="F61" s="65">
        <v>3</v>
      </c>
      <c r="G61" s="179">
        <v>1800</v>
      </c>
      <c r="H61" s="58">
        <f t="shared" si="9"/>
        <v>5.4</v>
      </c>
      <c r="I61" s="10">
        <f>G61*1</f>
        <v>1800</v>
      </c>
    </row>
    <row r="62" spans="1:9" ht="15.75" customHeight="1">
      <c r="A62" s="21"/>
      <c r="B62" s="74" t="s">
        <v>44</v>
      </c>
      <c r="C62" s="62"/>
      <c r="D62" s="63"/>
      <c r="E62" s="64"/>
      <c r="F62" s="65"/>
      <c r="G62" s="49"/>
      <c r="H62" s="66"/>
      <c r="I62" s="84"/>
    </row>
    <row r="63" spans="1:9" ht="15.75" hidden="1" customHeight="1">
      <c r="A63" s="21"/>
      <c r="B63" s="63" t="s">
        <v>45</v>
      </c>
      <c r="C63" s="62" t="s">
        <v>83</v>
      </c>
      <c r="D63" s="63" t="s">
        <v>54</v>
      </c>
      <c r="E63" s="64">
        <v>450</v>
      </c>
      <c r="F63" s="57">
        <f>SUM(E63/100)</f>
        <v>4.5</v>
      </c>
      <c r="G63" s="10">
        <v>1040.8399999999999</v>
      </c>
      <c r="H63" s="67">
        <v>7.6349999999999998</v>
      </c>
      <c r="I63" s="10">
        <v>0</v>
      </c>
    </row>
    <row r="64" spans="1:9" ht="15.75" customHeight="1">
      <c r="A64" s="21">
        <v>15</v>
      </c>
      <c r="B64" s="149" t="s">
        <v>188</v>
      </c>
      <c r="C64" s="150" t="s">
        <v>150</v>
      </c>
      <c r="D64" s="149" t="s">
        <v>177</v>
      </c>
      <c r="E64" s="170">
        <v>48</v>
      </c>
      <c r="F64" s="171">
        <v>576</v>
      </c>
      <c r="G64" s="26">
        <v>1.4</v>
      </c>
      <c r="H64" s="67"/>
      <c r="I64" s="10">
        <f>G64*F64/12</f>
        <v>67.2</v>
      </c>
    </row>
    <row r="65" spans="1:9" ht="15.75" hidden="1" customHeight="1">
      <c r="A65" s="21"/>
      <c r="B65" s="74" t="s">
        <v>46</v>
      </c>
      <c r="C65" s="62"/>
      <c r="D65" s="63"/>
      <c r="E65" s="64"/>
      <c r="F65" s="65"/>
      <c r="G65" s="68"/>
      <c r="H65" s="66" t="s">
        <v>130</v>
      </c>
      <c r="I65" s="10"/>
    </row>
    <row r="66" spans="1:9" ht="15.75" hidden="1" customHeight="1">
      <c r="A66" s="21">
        <v>16</v>
      </c>
      <c r="B66" s="11" t="s">
        <v>47</v>
      </c>
      <c r="C66" s="13" t="s">
        <v>93</v>
      </c>
      <c r="D66" s="11" t="s">
        <v>66</v>
      </c>
      <c r="E66" s="15">
        <v>5</v>
      </c>
      <c r="F66" s="57">
        <f>E66</f>
        <v>5</v>
      </c>
      <c r="G66" s="10">
        <v>291.68</v>
      </c>
      <c r="H66" s="53">
        <f t="shared" ref="H66:H73" si="11">SUM(F66*G66/1000)</f>
        <v>1.4584000000000001</v>
      </c>
      <c r="I66" s="10">
        <f>G66</f>
        <v>291.68</v>
      </c>
    </row>
    <row r="67" spans="1:9" ht="15.75" hidden="1" customHeight="1">
      <c r="A67" s="21"/>
      <c r="B67" s="11" t="s">
        <v>48</v>
      </c>
      <c r="C67" s="13" t="s">
        <v>93</v>
      </c>
      <c r="D67" s="11" t="s">
        <v>66</v>
      </c>
      <c r="E67" s="15">
        <v>2</v>
      </c>
      <c r="F67" s="57">
        <f>E67</f>
        <v>2</v>
      </c>
      <c r="G67" s="10">
        <v>100.01</v>
      </c>
      <c r="H67" s="53">
        <f t="shared" si="11"/>
        <v>0.20002</v>
      </c>
      <c r="I67" s="10">
        <v>0</v>
      </c>
    </row>
    <row r="68" spans="1:9" ht="15.75" hidden="1" customHeight="1">
      <c r="A68" s="21"/>
      <c r="B68" s="11" t="s">
        <v>49</v>
      </c>
      <c r="C68" s="13" t="s">
        <v>94</v>
      </c>
      <c r="D68" s="11" t="s">
        <v>54</v>
      </c>
      <c r="E68" s="56">
        <v>13313</v>
      </c>
      <c r="F68" s="10">
        <f>SUM(E68/100)</f>
        <v>133.13</v>
      </c>
      <c r="G68" s="10">
        <v>278.24</v>
      </c>
      <c r="H68" s="53">
        <f t="shared" si="11"/>
        <v>37.042091200000002</v>
      </c>
      <c r="I68" s="10">
        <v>0</v>
      </c>
    </row>
    <row r="69" spans="1:9" ht="15.75" hidden="1" customHeight="1">
      <c r="A69" s="21"/>
      <c r="B69" s="11" t="s">
        <v>50</v>
      </c>
      <c r="C69" s="13" t="s">
        <v>95</v>
      </c>
      <c r="D69" s="11"/>
      <c r="E69" s="56">
        <v>13313</v>
      </c>
      <c r="F69" s="10">
        <f>SUM(E69/1000)</f>
        <v>13.313000000000001</v>
      </c>
      <c r="G69" s="10">
        <v>216.68</v>
      </c>
      <c r="H69" s="53">
        <f t="shared" si="11"/>
        <v>2.88466084</v>
      </c>
      <c r="I69" s="10">
        <v>0</v>
      </c>
    </row>
    <row r="70" spans="1:9" ht="15.75" hidden="1" customHeight="1">
      <c r="A70" s="21"/>
      <c r="B70" s="11" t="s">
        <v>51</v>
      </c>
      <c r="C70" s="13" t="s">
        <v>75</v>
      </c>
      <c r="D70" s="11" t="s">
        <v>54</v>
      </c>
      <c r="E70" s="56">
        <v>2184</v>
      </c>
      <c r="F70" s="10">
        <f>SUM(E70/100)</f>
        <v>21.84</v>
      </c>
      <c r="G70" s="10">
        <v>2720.94</v>
      </c>
      <c r="H70" s="53">
        <f t="shared" si="11"/>
        <v>59.425329599999998</v>
      </c>
      <c r="I70" s="10">
        <v>0</v>
      </c>
    </row>
    <row r="71" spans="1:9" ht="15.75" hidden="1" customHeight="1">
      <c r="A71" s="21"/>
      <c r="B71" s="69" t="s">
        <v>96</v>
      </c>
      <c r="C71" s="13" t="s">
        <v>32</v>
      </c>
      <c r="D71" s="11"/>
      <c r="E71" s="56">
        <v>12.2</v>
      </c>
      <c r="F71" s="10">
        <f>SUM(E71)</f>
        <v>12.2</v>
      </c>
      <c r="G71" s="10">
        <v>42.61</v>
      </c>
      <c r="H71" s="53">
        <f t="shared" si="11"/>
        <v>0.51984200000000003</v>
      </c>
      <c r="I71" s="10">
        <v>0</v>
      </c>
    </row>
    <row r="72" spans="1:9" ht="15.75" hidden="1" customHeight="1">
      <c r="A72" s="21"/>
      <c r="B72" s="69" t="s">
        <v>131</v>
      </c>
      <c r="C72" s="13" t="s">
        <v>32</v>
      </c>
      <c r="D72" s="11"/>
      <c r="E72" s="56">
        <v>12.2</v>
      </c>
      <c r="F72" s="10">
        <f>SUM(E72)</f>
        <v>12.2</v>
      </c>
      <c r="G72" s="10">
        <v>46.04</v>
      </c>
      <c r="H72" s="53">
        <f t="shared" si="11"/>
        <v>0.56168799999999997</v>
      </c>
      <c r="I72" s="10">
        <v>0</v>
      </c>
    </row>
    <row r="73" spans="1:9" ht="15.75" hidden="1" customHeight="1">
      <c r="A73" s="21"/>
      <c r="B73" s="11" t="s">
        <v>57</v>
      </c>
      <c r="C73" s="13" t="s">
        <v>58</v>
      </c>
      <c r="D73" s="11" t="s">
        <v>54</v>
      </c>
      <c r="E73" s="15">
        <v>3</v>
      </c>
      <c r="F73" s="57">
        <v>3</v>
      </c>
      <c r="G73" s="10">
        <v>65.42</v>
      </c>
      <c r="H73" s="53">
        <f t="shared" si="11"/>
        <v>0.19625999999999999</v>
      </c>
      <c r="I73" s="10">
        <v>0</v>
      </c>
    </row>
    <row r="74" spans="1:9" ht="15.75" customHeight="1">
      <c r="A74" s="21"/>
      <c r="B74" s="86" t="s">
        <v>142</v>
      </c>
      <c r="C74" s="40"/>
      <c r="D74" s="11"/>
      <c r="E74" s="15"/>
      <c r="F74" s="49"/>
      <c r="G74" s="10"/>
      <c r="H74" s="53"/>
      <c r="I74" s="10"/>
    </row>
    <row r="75" spans="1:9" ht="15.75" customHeight="1">
      <c r="A75" s="21">
        <v>16</v>
      </c>
      <c r="B75" s="152" t="s">
        <v>143</v>
      </c>
      <c r="C75" s="28" t="s">
        <v>144</v>
      </c>
      <c r="D75" s="152"/>
      <c r="E75" s="14">
        <v>3227.7</v>
      </c>
      <c r="F75" s="26">
        <f>SUM(E75*12)</f>
        <v>38732.399999999994</v>
      </c>
      <c r="G75" s="26">
        <v>2.6</v>
      </c>
      <c r="H75" s="53">
        <f t="shared" ref="H75" si="12">SUM(F75*G75/1000)</f>
        <v>100.70423999999998</v>
      </c>
      <c r="I75" s="10">
        <f>F75/12*G75</f>
        <v>8392.0199999999986</v>
      </c>
    </row>
    <row r="76" spans="1:9" ht="15.75" customHeight="1">
      <c r="A76" s="21"/>
      <c r="B76" s="97" t="s">
        <v>71</v>
      </c>
      <c r="C76" s="13"/>
      <c r="D76" s="11"/>
      <c r="E76" s="15"/>
      <c r="F76" s="10"/>
      <c r="G76" s="10"/>
      <c r="H76" s="53" t="s">
        <v>130</v>
      </c>
      <c r="I76" s="10"/>
    </row>
    <row r="77" spans="1:9" ht="15.75" hidden="1" customHeight="1">
      <c r="A77" s="21"/>
      <c r="B77" s="11" t="s">
        <v>117</v>
      </c>
      <c r="C77" s="13" t="s">
        <v>93</v>
      </c>
      <c r="D77" s="11" t="s">
        <v>66</v>
      </c>
      <c r="E77" s="15">
        <v>1</v>
      </c>
      <c r="F77" s="10">
        <v>1</v>
      </c>
      <c r="G77" s="10">
        <v>1029.1199999999999</v>
      </c>
      <c r="H77" s="53">
        <f t="shared" ref="H77:H80" si="13">SUM(F77*G77/1000)</f>
        <v>1.0291199999999998</v>
      </c>
      <c r="I77" s="10">
        <v>0</v>
      </c>
    </row>
    <row r="78" spans="1:9" ht="15.75" hidden="1" customHeight="1">
      <c r="A78" s="21"/>
      <c r="B78" s="11" t="s">
        <v>118</v>
      </c>
      <c r="C78" s="13" t="s">
        <v>119</v>
      </c>
      <c r="D78" s="11"/>
      <c r="E78" s="15">
        <v>1</v>
      </c>
      <c r="F78" s="10">
        <f>E78</f>
        <v>1</v>
      </c>
      <c r="G78" s="10">
        <v>735</v>
      </c>
      <c r="H78" s="53">
        <f t="shared" si="13"/>
        <v>0.73499999999999999</v>
      </c>
      <c r="I78" s="10">
        <v>0</v>
      </c>
    </row>
    <row r="79" spans="1:9" ht="15.75" hidden="1" customHeight="1">
      <c r="A79" s="21"/>
      <c r="B79" s="11" t="s">
        <v>72</v>
      </c>
      <c r="C79" s="13" t="s">
        <v>73</v>
      </c>
      <c r="D79" s="11" t="s">
        <v>66</v>
      </c>
      <c r="E79" s="15">
        <v>3</v>
      </c>
      <c r="F79" s="10">
        <v>0.2</v>
      </c>
      <c r="G79" s="10">
        <v>657.87</v>
      </c>
      <c r="H79" s="53">
        <f t="shared" si="13"/>
        <v>0.13157400000000002</v>
      </c>
      <c r="I79" s="10">
        <v>0</v>
      </c>
    </row>
    <row r="80" spans="1:9" ht="15.75" hidden="1" customHeight="1">
      <c r="A80" s="21">
        <v>18</v>
      </c>
      <c r="B80" s="11" t="s">
        <v>120</v>
      </c>
      <c r="C80" s="13" t="s">
        <v>93</v>
      </c>
      <c r="D80" s="11" t="s">
        <v>192</v>
      </c>
      <c r="E80" s="15">
        <v>1</v>
      </c>
      <c r="F80" s="57">
        <f>SUM(E80)</f>
        <v>1</v>
      </c>
      <c r="G80" s="151">
        <v>1271.72</v>
      </c>
      <c r="H80" s="53">
        <f t="shared" si="13"/>
        <v>1.27172</v>
      </c>
      <c r="I80" s="10">
        <f>G80*1</f>
        <v>1271.72</v>
      </c>
    </row>
    <row r="81" spans="1:9" ht="15.75" hidden="1" customHeight="1">
      <c r="A81" s="21"/>
      <c r="B81" s="39" t="s">
        <v>140</v>
      </c>
      <c r="C81" s="40" t="s">
        <v>93</v>
      </c>
      <c r="D81" s="11" t="s">
        <v>66</v>
      </c>
      <c r="E81" s="15">
        <v>1</v>
      </c>
      <c r="F81" s="49">
        <v>1</v>
      </c>
      <c r="G81" s="10">
        <v>1605.83</v>
      </c>
      <c r="H81" s="53">
        <f>SUM(F81*G81/1000)</f>
        <v>1.6058299999999999</v>
      </c>
      <c r="I81" s="10">
        <v>0</v>
      </c>
    </row>
    <row r="82" spans="1:9" ht="15.75" customHeight="1">
      <c r="A82" s="21">
        <v>17</v>
      </c>
      <c r="B82" s="91" t="s">
        <v>141</v>
      </c>
      <c r="C82" s="92" t="s">
        <v>93</v>
      </c>
      <c r="D82" s="152" t="s">
        <v>173</v>
      </c>
      <c r="E82" s="14">
        <v>2</v>
      </c>
      <c r="F82" s="162">
        <f>E82*12</f>
        <v>24</v>
      </c>
      <c r="G82" s="26">
        <v>425</v>
      </c>
      <c r="H82" s="53">
        <f t="shared" ref="H82" si="14">SUM(F82*G82/1000)</f>
        <v>10.199999999999999</v>
      </c>
      <c r="I82" s="10">
        <f>G82*2</f>
        <v>850</v>
      </c>
    </row>
    <row r="83" spans="1:9" ht="15.75" hidden="1" customHeight="1">
      <c r="A83" s="21"/>
      <c r="B83" s="71" t="s">
        <v>74</v>
      </c>
      <c r="C83" s="13"/>
      <c r="D83" s="11"/>
      <c r="E83" s="15"/>
      <c r="F83" s="10"/>
      <c r="G83" s="10" t="s">
        <v>130</v>
      </c>
      <c r="H83" s="53" t="s">
        <v>130</v>
      </c>
      <c r="I83" s="10"/>
    </row>
    <row r="84" spans="1:9" ht="15.75" hidden="1" customHeight="1">
      <c r="A84" s="21"/>
      <c r="B84" s="35" t="s">
        <v>99</v>
      </c>
      <c r="C84" s="13" t="s">
        <v>75</v>
      </c>
      <c r="D84" s="11"/>
      <c r="E84" s="15"/>
      <c r="F84" s="10">
        <v>0.1</v>
      </c>
      <c r="G84" s="10">
        <v>2949.85</v>
      </c>
      <c r="H84" s="53">
        <f t="shared" ref="H84" si="15">SUM(F84*G84/1000)</f>
        <v>0.294985</v>
      </c>
      <c r="I84" s="10">
        <v>0</v>
      </c>
    </row>
    <row r="85" spans="1:9" ht="15.75" hidden="1" customHeight="1">
      <c r="A85" s="21"/>
      <c r="B85" s="86" t="s">
        <v>142</v>
      </c>
      <c r="C85" s="40"/>
      <c r="D85" s="11"/>
      <c r="E85" s="15"/>
      <c r="F85" s="49"/>
      <c r="G85" s="10"/>
      <c r="H85" s="53"/>
      <c r="I85" s="10"/>
    </row>
    <row r="86" spans="1:9" ht="15.75" hidden="1" customHeight="1">
      <c r="A86" s="21">
        <v>14</v>
      </c>
      <c r="B86" s="11" t="s">
        <v>143</v>
      </c>
      <c r="C86" s="21" t="s">
        <v>144</v>
      </c>
      <c r="D86" s="11"/>
      <c r="E86" s="15">
        <v>2579.4</v>
      </c>
      <c r="F86" s="10">
        <f>SUM(E86*12)</f>
        <v>30952.800000000003</v>
      </c>
      <c r="G86" s="10">
        <v>2.2799999999999998</v>
      </c>
      <c r="H86" s="53">
        <f t="shared" ref="H86" si="16">SUM(F86*G86/1000)</f>
        <v>70.572384</v>
      </c>
      <c r="I86" s="10">
        <f>F86/12*G86</f>
        <v>5881.0320000000002</v>
      </c>
    </row>
    <row r="87" spans="1:9" ht="15.75" hidden="1" customHeight="1">
      <c r="A87" s="21"/>
      <c r="B87" s="97" t="s">
        <v>89</v>
      </c>
      <c r="C87" s="71"/>
      <c r="D87" s="23"/>
      <c r="E87" s="24"/>
      <c r="F87" s="59"/>
      <c r="G87" s="59"/>
      <c r="H87" s="72">
        <f>SUM(H59:H84)</f>
        <v>251.619855672</v>
      </c>
      <c r="I87" s="59"/>
    </row>
    <row r="88" spans="1:9" ht="15.75" hidden="1" customHeight="1">
      <c r="A88" s="21"/>
      <c r="B88" s="11" t="s">
        <v>145</v>
      </c>
      <c r="C88" s="13"/>
      <c r="D88" s="11"/>
      <c r="E88" s="11"/>
      <c r="F88" s="10">
        <v>1</v>
      </c>
      <c r="G88" s="10">
        <v>20408</v>
      </c>
      <c r="H88" s="53">
        <f>G88*F88/1000</f>
        <v>20.408000000000001</v>
      </c>
      <c r="I88" s="10">
        <v>0</v>
      </c>
    </row>
    <row r="89" spans="1:9" ht="15.75" hidden="1" customHeight="1">
      <c r="A89" s="21"/>
      <c r="B89" s="11" t="s">
        <v>146</v>
      </c>
      <c r="C89" s="13"/>
      <c r="D89" s="11"/>
      <c r="E89" s="11"/>
      <c r="F89" s="10">
        <v>62</v>
      </c>
      <c r="G89" s="10">
        <v>700</v>
      </c>
      <c r="H89" s="53">
        <f t="shared" ref="H89" si="17">G89*F89/1000</f>
        <v>43.4</v>
      </c>
      <c r="I89" s="10">
        <v>0</v>
      </c>
    </row>
    <row r="90" spans="1:9" ht="15.75" customHeight="1">
      <c r="A90" s="201" t="s">
        <v>128</v>
      </c>
      <c r="B90" s="202"/>
      <c r="C90" s="202"/>
      <c r="D90" s="202"/>
      <c r="E90" s="202"/>
      <c r="F90" s="202"/>
      <c r="G90" s="202"/>
      <c r="H90" s="202"/>
      <c r="I90" s="203"/>
    </row>
    <row r="91" spans="1:9" ht="15.75" customHeight="1">
      <c r="A91" s="21">
        <v>18</v>
      </c>
      <c r="B91" s="159" t="s">
        <v>97</v>
      </c>
      <c r="C91" s="153" t="s">
        <v>55</v>
      </c>
      <c r="D91" s="38"/>
      <c r="E91" s="26">
        <v>3227.7</v>
      </c>
      <c r="F91" s="26">
        <f>SUM(E91*12)</f>
        <v>38732.399999999994</v>
      </c>
      <c r="G91" s="26">
        <v>3.5</v>
      </c>
      <c r="H91" s="53">
        <f t="shared" ref="H91" si="18">G91*F91/1000</f>
        <v>135.56339999999997</v>
      </c>
      <c r="I91" s="10">
        <f>F91/12*G91</f>
        <v>11296.949999999997</v>
      </c>
    </row>
    <row r="92" spans="1:9" ht="31.5" customHeight="1">
      <c r="A92" s="21">
        <v>19</v>
      </c>
      <c r="B92" s="152" t="s">
        <v>186</v>
      </c>
      <c r="C92" s="153" t="s">
        <v>150</v>
      </c>
      <c r="D92" s="90"/>
      <c r="E92" s="166">
        <f>E91</f>
        <v>3227.7</v>
      </c>
      <c r="F92" s="26">
        <f>E92*12</f>
        <v>38732.399999999994</v>
      </c>
      <c r="G92" s="26">
        <v>3.2</v>
      </c>
      <c r="H92" s="53">
        <f>F92*G92/1000</f>
        <v>123.94367999999999</v>
      </c>
      <c r="I92" s="10">
        <f>F92/12*G92</f>
        <v>10328.64</v>
      </c>
    </row>
    <row r="93" spans="1:9" ht="15.75" customHeight="1">
      <c r="A93" s="21"/>
      <c r="B93" s="27" t="s">
        <v>78</v>
      </c>
      <c r="C93" s="71"/>
      <c r="D93" s="70"/>
      <c r="E93" s="59"/>
      <c r="F93" s="59"/>
      <c r="G93" s="59"/>
      <c r="H93" s="72">
        <f>SUM(H92)</f>
        <v>123.94367999999999</v>
      </c>
      <c r="I93" s="59">
        <f>I92+I91+I82+I75+I64+I61+I60+I59+I44+I41+I39+I38+I24+I21+I20+I18+I17+I16+I37</f>
        <v>43519.27917999999</v>
      </c>
    </row>
    <row r="94" spans="1:9" ht="15.75" customHeight="1">
      <c r="A94" s="207" t="s">
        <v>60</v>
      </c>
      <c r="B94" s="208"/>
      <c r="C94" s="208"/>
      <c r="D94" s="208"/>
      <c r="E94" s="208"/>
      <c r="F94" s="208"/>
      <c r="G94" s="208"/>
      <c r="H94" s="208"/>
      <c r="I94" s="209"/>
    </row>
    <row r="95" spans="1:9" ht="15.75" customHeight="1">
      <c r="A95" s="21">
        <v>20</v>
      </c>
      <c r="B95" s="91" t="s">
        <v>260</v>
      </c>
      <c r="C95" s="92" t="s">
        <v>93</v>
      </c>
      <c r="D95" s="90"/>
      <c r="E95" s="26"/>
      <c r="F95" s="26">
        <v>5</v>
      </c>
      <c r="G95" s="26">
        <v>224.48</v>
      </c>
      <c r="H95" s="53"/>
      <c r="I95" s="10">
        <f>G95*1</f>
        <v>224.48</v>
      </c>
    </row>
    <row r="96" spans="1:9" ht="17.25" customHeight="1">
      <c r="A96" s="21">
        <v>21</v>
      </c>
      <c r="B96" s="91" t="s">
        <v>237</v>
      </c>
      <c r="C96" s="92" t="s">
        <v>28</v>
      </c>
      <c r="D96" s="90"/>
      <c r="E96" s="26"/>
      <c r="F96" s="26">
        <f>1.325+1.325+1.325+1.325+1.325*2+1.325*2</f>
        <v>10.6</v>
      </c>
      <c r="G96" s="26">
        <v>241.69</v>
      </c>
      <c r="H96" s="53"/>
      <c r="I96" s="10">
        <f>G96*1.325*2</f>
        <v>640.47849999999994</v>
      </c>
    </row>
    <row r="97" spans="1:9" ht="20.25" customHeight="1">
      <c r="A97" s="21">
        <v>22</v>
      </c>
      <c r="B97" s="91" t="s">
        <v>181</v>
      </c>
      <c r="C97" s="92" t="s">
        <v>40</v>
      </c>
      <c r="D97" s="90" t="s">
        <v>177</v>
      </c>
      <c r="E97" s="26"/>
      <c r="F97" s="26">
        <v>0.08</v>
      </c>
      <c r="G97" s="26">
        <v>28224.75</v>
      </c>
      <c r="H97" s="88"/>
      <c r="I97" s="10">
        <v>0</v>
      </c>
    </row>
    <row r="98" spans="1:9" ht="39" customHeight="1">
      <c r="A98" s="21">
        <v>23</v>
      </c>
      <c r="B98" s="91" t="s">
        <v>164</v>
      </c>
      <c r="C98" s="92" t="s">
        <v>165</v>
      </c>
      <c r="D98" s="90" t="s">
        <v>295</v>
      </c>
      <c r="E98" s="26"/>
      <c r="F98" s="26">
        <v>2</v>
      </c>
      <c r="G98" s="26">
        <v>64.040000000000006</v>
      </c>
      <c r="H98" s="88"/>
      <c r="I98" s="10">
        <f>G98*1</f>
        <v>64.040000000000006</v>
      </c>
    </row>
    <row r="99" spans="1:9" ht="18.75" customHeight="1">
      <c r="A99" s="21">
        <v>24</v>
      </c>
      <c r="B99" s="91" t="s">
        <v>151</v>
      </c>
      <c r="C99" s="92" t="s">
        <v>136</v>
      </c>
      <c r="D99" s="90" t="s">
        <v>282</v>
      </c>
      <c r="E99" s="26"/>
      <c r="F99" s="26">
        <v>130</v>
      </c>
      <c r="G99" s="26">
        <v>295.36</v>
      </c>
      <c r="H99" s="88"/>
      <c r="I99" s="10">
        <v>0</v>
      </c>
    </row>
    <row r="100" spans="1:9" ht="15.75" customHeight="1">
      <c r="A100" s="21">
        <v>25</v>
      </c>
      <c r="B100" s="91" t="s">
        <v>167</v>
      </c>
      <c r="C100" s="92" t="s">
        <v>152</v>
      </c>
      <c r="D100" s="90"/>
      <c r="E100" s="26"/>
      <c r="F100" s="26">
        <v>17</v>
      </c>
      <c r="G100" s="26">
        <v>236.08</v>
      </c>
      <c r="H100" s="88"/>
      <c r="I100" s="10">
        <f>G100*1</f>
        <v>236.08</v>
      </c>
    </row>
    <row r="101" spans="1:9">
      <c r="A101" s="21"/>
      <c r="B101" s="33" t="s">
        <v>52</v>
      </c>
      <c r="C101" s="29"/>
      <c r="D101" s="36"/>
      <c r="E101" s="29">
        <v>1</v>
      </c>
      <c r="F101" s="29"/>
      <c r="G101" s="29"/>
      <c r="H101" s="29"/>
      <c r="I101" s="24">
        <f>SUM(I95:I100)</f>
        <v>1165.0784999999998</v>
      </c>
    </row>
    <row r="102" spans="1:9" ht="15.75" customHeight="1">
      <c r="A102" s="21"/>
      <c r="B102" s="35" t="s">
        <v>76</v>
      </c>
      <c r="C102" s="12"/>
      <c r="D102" s="12"/>
      <c r="E102" s="30"/>
      <c r="F102" s="30"/>
      <c r="G102" s="31"/>
      <c r="H102" s="31"/>
      <c r="I102" s="14">
        <v>0</v>
      </c>
    </row>
    <row r="103" spans="1:9" ht="15.75" customHeight="1">
      <c r="A103" s="37"/>
      <c r="B103" s="34" t="s">
        <v>147</v>
      </c>
      <c r="C103" s="25"/>
      <c r="D103" s="25"/>
      <c r="E103" s="25"/>
      <c r="F103" s="25"/>
      <c r="G103" s="25"/>
      <c r="H103" s="25"/>
      <c r="I103" s="32">
        <f>I93+I101</f>
        <v>44684.357679999994</v>
      </c>
    </row>
    <row r="104" spans="1:9" ht="15.75" customHeight="1">
      <c r="A104" s="210" t="s">
        <v>297</v>
      </c>
      <c r="B104" s="210"/>
      <c r="C104" s="210"/>
      <c r="D104" s="210"/>
      <c r="E104" s="210"/>
      <c r="F104" s="210"/>
      <c r="G104" s="210"/>
      <c r="H104" s="210"/>
      <c r="I104" s="210"/>
    </row>
    <row r="105" spans="1:9" ht="15.75" customHeight="1">
      <c r="A105" s="43"/>
      <c r="B105" s="211" t="s">
        <v>298</v>
      </c>
      <c r="C105" s="211"/>
      <c r="D105" s="211"/>
      <c r="E105" s="211"/>
      <c r="F105" s="211"/>
      <c r="G105" s="211"/>
      <c r="H105" s="52"/>
      <c r="I105" s="2"/>
    </row>
    <row r="106" spans="1:9" ht="15.75" customHeight="1">
      <c r="A106" s="98"/>
      <c r="B106" s="195" t="s">
        <v>6</v>
      </c>
      <c r="C106" s="195"/>
      <c r="D106" s="195"/>
      <c r="E106" s="195"/>
      <c r="F106" s="195"/>
      <c r="G106" s="195"/>
      <c r="H106" s="16"/>
      <c r="I106" s="4"/>
    </row>
    <row r="107" spans="1:9" ht="7.5" customHeight="1">
      <c r="A107" s="7"/>
      <c r="B107" s="7"/>
      <c r="C107" s="7"/>
      <c r="D107" s="7"/>
      <c r="E107" s="7"/>
      <c r="F107" s="7"/>
      <c r="G107" s="7"/>
      <c r="H107" s="7"/>
      <c r="I107" s="7"/>
    </row>
    <row r="108" spans="1:9" ht="15.75" customHeight="1">
      <c r="A108" s="212" t="s">
        <v>7</v>
      </c>
      <c r="B108" s="212"/>
      <c r="C108" s="212"/>
      <c r="D108" s="212"/>
      <c r="E108" s="212"/>
      <c r="F108" s="212"/>
      <c r="G108" s="212"/>
      <c r="H108" s="212"/>
      <c r="I108" s="212"/>
    </row>
    <row r="109" spans="1:9" ht="15.75">
      <c r="A109" s="212" t="s">
        <v>8</v>
      </c>
      <c r="B109" s="212"/>
      <c r="C109" s="212"/>
      <c r="D109" s="212"/>
      <c r="E109" s="212"/>
      <c r="F109" s="212"/>
      <c r="G109" s="212"/>
      <c r="H109" s="212"/>
      <c r="I109" s="212"/>
    </row>
    <row r="110" spans="1:9" ht="15.75">
      <c r="A110" s="199" t="s">
        <v>61</v>
      </c>
      <c r="B110" s="199"/>
      <c r="C110" s="199"/>
      <c r="D110" s="199"/>
      <c r="E110" s="199"/>
      <c r="F110" s="199"/>
      <c r="G110" s="199"/>
      <c r="H110" s="199"/>
      <c r="I110" s="199"/>
    </row>
    <row r="111" spans="1:9" ht="8.25" customHeight="1">
      <c r="A111" s="8"/>
    </row>
    <row r="112" spans="1:9" ht="15.75">
      <c r="A112" s="193" t="s">
        <v>9</v>
      </c>
      <c r="B112" s="193"/>
      <c r="C112" s="193"/>
      <c r="D112" s="193"/>
      <c r="E112" s="193"/>
      <c r="F112" s="193"/>
      <c r="G112" s="193"/>
      <c r="H112" s="193"/>
      <c r="I112" s="193"/>
    </row>
    <row r="113" spans="1:9" ht="15.75">
      <c r="A113" s="3"/>
    </row>
    <row r="114" spans="1:9" ht="15.75" customHeight="1">
      <c r="B114" s="94" t="s">
        <v>10</v>
      </c>
      <c r="C114" s="194" t="s">
        <v>190</v>
      </c>
      <c r="D114" s="194"/>
      <c r="E114" s="194"/>
      <c r="F114" s="50"/>
      <c r="I114" s="96"/>
    </row>
    <row r="115" spans="1:9" ht="15.75" customHeight="1">
      <c r="A115" s="98"/>
      <c r="C115" s="195" t="s">
        <v>11</v>
      </c>
      <c r="D115" s="195"/>
      <c r="E115" s="195"/>
      <c r="F115" s="16"/>
      <c r="I115" s="93" t="s">
        <v>12</v>
      </c>
    </row>
    <row r="116" spans="1:9" ht="15.75" customHeight="1">
      <c r="A116" s="17"/>
      <c r="C116" s="9"/>
      <c r="D116" s="9"/>
      <c r="G116" s="9"/>
      <c r="H116" s="9"/>
    </row>
    <row r="117" spans="1:9" ht="15.75" customHeight="1">
      <c r="B117" s="94" t="s">
        <v>13</v>
      </c>
      <c r="C117" s="196"/>
      <c r="D117" s="196"/>
      <c r="E117" s="196"/>
      <c r="F117" s="51"/>
      <c r="I117" s="96"/>
    </row>
    <row r="118" spans="1:9">
      <c r="A118" s="98"/>
      <c r="C118" s="197" t="s">
        <v>11</v>
      </c>
      <c r="D118" s="197"/>
      <c r="E118" s="197"/>
      <c r="F118" s="98"/>
      <c r="I118" s="93" t="s">
        <v>12</v>
      </c>
    </row>
    <row r="119" spans="1:9" ht="15.75">
      <c r="A119" s="3" t="s">
        <v>14</v>
      </c>
    </row>
    <row r="120" spans="1:9">
      <c r="A120" s="198" t="s">
        <v>15</v>
      </c>
      <c r="B120" s="198"/>
      <c r="C120" s="198"/>
      <c r="D120" s="198"/>
      <c r="E120" s="198"/>
      <c r="F120" s="198"/>
      <c r="G120" s="198"/>
      <c r="H120" s="198"/>
      <c r="I120" s="198"/>
    </row>
    <row r="121" spans="1:9" ht="45" customHeight="1">
      <c r="A121" s="192" t="s">
        <v>16</v>
      </c>
      <c r="B121" s="192"/>
      <c r="C121" s="192"/>
      <c r="D121" s="192"/>
      <c r="E121" s="192"/>
      <c r="F121" s="192"/>
      <c r="G121" s="192"/>
      <c r="H121" s="192"/>
      <c r="I121" s="192"/>
    </row>
    <row r="122" spans="1:9" ht="30" customHeight="1">
      <c r="A122" s="192" t="s">
        <v>17</v>
      </c>
      <c r="B122" s="192"/>
      <c r="C122" s="192"/>
      <c r="D122" s="192"/>
      <c r="E122" s="192"/>
      <c r="F122" s="192"/>
      <c r="G122" s="192"/>
      <c r="H122" s="192"/>
      <c r="I122" s="192"/>
    </row>
    <row r="123" spans="1:9" ht="30" customHeight="1">
      <c r="A123" s="192" t="s">
        <v>21</v>
      </c>
      <c r="B123" s="192"/>
      <c r="C123" s="192"/>
      <c r="D123" s="192"/>
      <c r="E123" s="192"/>
      <c r="F123" s="192"/>
      <c r="G123" s="192"/>
      <c r="H123" s="192"/>
      <c r="I123" s="192"/>
    </row>
    <row r="124" spans="1:9" ht="15" customHeight="1">
      <c r="A124" s="192" t="s">
        <v>20</v>
      </c>
      <c r="B124" s="192"/>
      <c r="C124" s="192"/>
      <c r="D124" s="192"/>
      <c r="E124" s="192"/>
      <c r="F124" s="192"/>
      <c r="G124" s="192"/>
      <c r="H124" s="192"/>
      <c r="I124" s="192"/>
    </row>
  </sheetData>
  <mergeCells count="28">
    <mergeCell ref="A14:I14"/>
    <mergeCell ref="A3:I3"/>
    <mergeCell ref="A4:I4"/>
    <mergeCell ref="A5:I5"/>
    <mergeCell ref="A8:I8"/>
    <mergeCell ref="A10:I10"/>
    <mergeCell ref="A110:I110"/>
    <mergeCell ref="A15:I15"/>
    <mergeCell ref="A28:I28"/>
    <mergeCell ref="A45:I45"/>
    <mergeCell ref="A57:I57"/>
    <mergeCell ref="A90:I90"/>
    <mergeCell ref="A94:I94"/>
    <mergeCell ref="A104:I104"/>
    <mergeCell ref="B105:G105"/>
    <mergeCell ref="B106:G106"/>
    <mergeCell ref="A108:I108"/>
    <mergeCell ref="A109:I109"/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2"/>
  <sheetViews>
    <sheetView tabSelected="1" view="pageBreakPreview" topLeftCell="A83" zoomScale="60" zoomScaleNormal="100" workbookViewId="0">
      <selection activeCell="K111" sqref="K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3.7109375" hidden="1" customWidth="1"/>
    <col min="6" max="6" width="14.2851562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102</v>
      </c>
      <c r="B3" s="214"/>
      <c r="C3" s="214"/>
      <c r="D3" s="214"/>
      <c r="E3" s="214"/>
      <c r="F3" s="214"/>
      <c r="G3" s="214"/>
      <c r="H3" s="214"/>
      <c r="I3" s="214"/>
    </row>
    <row r="4" spans="1:9" ht="31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299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95"/>
      <c r="C6" s="95"/>
      <c r="D6" s="95"/>
      <c r="E6" s="95"/>
      <c r="F6" s="95"/>
      <c r="G6" s="95"/>
      <c r="H6" s="95"/>
      <c r="I6" s="22">
        <v>44561</v>
      </c>
    </row>
    <row r="7" spans="1:9" ht="15.75">
      <c r="B7" s="94"/>
      <c r="C7" s="94"/>
      <c r="D7" s="94"/>
      <c r="E7" s="2"/>
      <c r="F7" s="2"/>
      <c r="G7" s="2"/>
      <c r="H7" s="2"/>
    </row>
    <row r="8" spans="1:9" ht="78.75" customHeight="1">
      <c r="A8" s="217" t="s">
        <v>191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47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 ht="1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5.7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59" t="s">
        <v>105</v>
      </c>
      <c r="C18" s="160" t="s">
        <v>83</v>
      </c>
      <c r="D18" s="159" t="s">
        <v>177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F18/18*G18</f>
        <v>1630.6828800000001</v>
      </c>
    </row>
    <row r="19" spans="1:9" ht="15.75" hidden="1" customHeight="1">
      <c r="A19" s="21"/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.75" customHeight="1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si="1"/>
        <v>9.9076295999999994E-2</v>
      </c>
      <c r="I25" s="10">
        <f>0.0638*G25</f>
        <v>49.538148</v>
      </c>
    </row>
    <row r="26" spans="1:9" ht="15.75" hidden="1" customHeight="1">
      <c r="A26" s="21">
        <v>7</v>
      </c>
      <c r="B26" s="159" t="s">
        <v>169</v>
      </c>
      <c r="C26" s="160" t="s">
        <v>150</v>
      </c>
      <c r="D26" s="159" t="s">
        <v>174</v>
      </c>
      <c r="E26" s="161">
        <v>4.8</v>
      </c>
      <c r="F26" s="162">
        <f>E26*258</f>
        <v>1238.3999999999999</v>
      </c>
      <c r="G26" s="162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hidden="1" customHeight="1">
      <c r="A27" s="21">
        <v>5</v>
      </c>
      <c r="B27" s="61" t="s">
        <v>23</v>
      </c>
      <c r="C27" s="55" t="s">
        <v>24</v>
      </c>
      <c r="D27" s="61" t="s">
        <v>130</v>
      </c>
      <c r="E27" s="56">
        <v>2579.4</v>
      </c>
      <c r="F27" s="57">
        <f>SUM(E27*12)</f>
        <v>30952.800000000003</v>
      </c>
      <c r="G27" s="57">
        <v>3.34</v>
      </c>
      <c r="H27" s="58">
        <f t="shared" ref="H27" si="2">SUM(F27*G27/1000)</f>
        <v>103.382352</v>
      </c>
      <c r="I27" s="10">
        <f>F27/12*G27</f>
        <v>8615.1959999999999</v>
      </c>
    </row>
    <row r="28" spans="1:9" ht="15.75" customHeight="1">
      <c r="A28" s="201" t="s">
        <v>81</v>
      </c>
      <c r="B28" s="202"/>
      <c r="C28" s="202"/>
      <c r="D28" s="202"/>
      <c r="E28" s="202"/>
      <c r="F28" s="202"/>
      <c r="G28" s="202"/>
      <c r="H28" s="202"/>
      <c r="I28" s="203"/>
    </row>
    <row r="29" spans="1:9" ht="15.75" hidden="1" customHeight="1">
      <c r="A29" s="21"/>
      <c r="B29" s="73" t="s">
        <v>27</v>
      </c>
      <c r="C29" s="55"/>
      <c r="D29" s="54"/>
      <c r="E29" s="56"/>
      <c r="F29" s="57"/>
      <c r="G29" s="57"/>
      <c r="H29" s="58"/>
      <c r="I29" s="10"/>
    </row>
    <row r="30" spans="1:9" ht="15.75" hidden="1" customHeight="1">
      <c r="A30" s="21">
        <v>6</v>
      </c>
      <c r="B30" s="54" t="s">
        <v>91</v>
      </c>
      <c r="C30" s="55" t="s">
        <v>85</v>
      </c>
      <c r="D30" s="54" t="s">
        <v>137</v>
      </c>
      <c r="E30" s="57">
        <v>124.74</v>
      </c>
      <c r="F30" s="57">
        <f>SUM(E30*52/1000)</f>
        <v>6.4864799999999994</v>
      </c>
      <c r="G30" s="57">
        <v>204.44</v>
      </c>
      <c r="H30" s="58">
        <f t="shared" ref="H30:H35" si="3">SUM(F30*G30/1000)</f>
        <v>1.3260959712</v>
      </c>
      <c r="I30" s="10">
        <f>F30/6*G30</f>
        <v>221.01599519999996</v>
      </c>
    </row>
    <row r="31" spans="1:9" ht="31.5" hidden="1" customHeight="1">
      <c r="A31" s="21">
        <v>7</v>
      </c>
      <c r="B31" s="54" t="s">
        <v>132</v>
      </c>
      <c r="C31" s="55" t="s">
        <v>85</v>
      </c>
      <c r="D31" s="54" t="s">
        <v>138</v>
      </c>
      <c r="E31" s="57">
        <v>31.4</v>
      </c>
      <c r="F31" s="57">
        <f>SUM(E31*52/1000)</f>
        <v>1.6328</v>
      </c>
      <c r="G31" s="57">
        <v>339.21</v>
      </c>
      <c r="H31" s="58">
        <f t="shared" si="3"/>
        <v>0.55386208799999992</v>
      </c>
      <c r="I31" s="10">
        <f t="shared" ref="I31:I33" si="4">F31/6*G31</f>
        <v>92.310347999999991</v>
      </c>
    </row>
    <row r="32" spans="1:9" ht="15.75" hidden="1" customHeight="1">
      <c r="A32" s="21"/>
      <c r="B32" s="54" t="s">
        <v>26</v>
      </c>
      <c r="C32" s="55" t="s">
        <v>85</v>
      </c>
      <c r="D32" s="54" t="s">
        <v>54</v>
      </c>
      <c r="E32" s="57">
        <v>124.7</v>
      </c>
      <c r="F32" s="57">
        <f>SUM(E32/1000)</f>
        <v>0.12470000000000001</v>
      </c>
      <c r="G32" s="57">
        <v>3961.23</v>
      </c>
      <c r="H32" s="58">
        <f t="shared" si="3"/>
        <v>0.49396538100000004</v>
      </c>
      <c r="I32" s="10">
        <f t="shared" si="4"/>
        <v>82.327563500000011</v>
      </c>
    </row>
    <row r="33" spans="1:9" ht="15.75" hidden="1" customHeight="1">
      <c r="A33" s="21">
        <v>8</v>
      </c>
      <c r="B33" s="54" t="s">
        <v>90</v>
      </c>
      <c r="C33" s="55" t="s">
        <v>30</v>
      </c>
      <c r="D33" s="54" t="s">
        <v>63</v>
      </c>
      <c r="E33" s="60">
        <f>1/3</f>
        <v>0.33333333333333331</v>
      </c>
      <c r="F33" s="57">
        <f>155/3</f>
        <v>51.666666666666664</v>
      </c>
      <c r="G33" s="57">
        <v>74.349999999999994</v>
      </c>
      <c r="H33" s="58">
        <f t="shared" si="3"/>
        <v>3.841416666666666</v>
      </c>
      <c r="I33" s="10">
        <f t="shared" si="4"/>
        <v>640.23611111111109</v>
      </c>
    </row>
    <row r="34" spans="1:9" ht="15.75" hidden="1" customHeight="1">
      <c r="A34" s="21"/>
      <c r="B34" s="54" t="s">
        <v>64</v>
      </c>
      <c r="C34" s="55" t="s">
        <v>32</v>
      </c>
      <c r="D34" s="54" t="s">
        <v>66</v>
      </c>
      <c r="E34" s="56"/>
      <c r="F34" s="57">
        <v>2</v>
      </c>
      <c r="G34" s="57">
        <v>250.92</v>
      </c>
      <c r="H34" s="58">
        <f t="shared" si="3"/>
        <v>0.50183999999999995</v>
      </c>
      <c r="I34" s="10">
        <v>0</v>
      </c>
    </row>
    <row r="35" spans="1:9" ht="15.75" hidden="1" customHeight="1">
      <c r="A35" s="21"/>
      <c r="B35" s="54" t="s">
        <v>65</v>
      </c>
      <c r="C35" s="55" t="s">
        <v>31</v>
      </c>
      <c r="D35" s="54" t="s">
        <v>66</v>
      </c>
      <c r="E35" s="56"/>
      <c r="F35" s="57">
        <v>1</v>
      </c>
      <c r="G35" s="57">
        <v>1490.31</v>
      </c>
      <c r="H35" s="58">
        <f t="shared" si="3"/>
        <v>1.49031</v>
      </c>
      <c r="I35" s="10">
        <v>0</v>
      </c>
    </row>
    <row r="36" spans="1:9" ht="15.75" customHeight="1">
      <c r="A36" s="21"/>
      <c r="B36" s="73" t="s">
        <v>5</v>
      </c>
      <c r="C36" s="55"/>
      <c r="D36" s="54"/>
      <c r="E36" s="56"/>
      <c r="F36" s="57"/>
      <c r="G36" s="57"/>
      <c r="H36" s="58" t="s">
        <v>130</v>
      </c>
      <c r="I36" s="10"/>
    </row>
    <row r="37" spans="1:9" ht="15.75" customHeight="1">
      <c r="A37" s="21">
        <v>7</v>
      </c>
      <c r="B37" s="54" t="s">
        <v>25</v>
      </c>
      <c r="C37" s="55" t="s">
        <v>31</v>
      </c>
      <c r="D37" s="54" t="s">
        <v>300</v>
      </c>
      <c r="E37" s="56"/>
      <c r="F37" s="57">
        <v>6</v>
      </c>
      <c r="G37" s="177">
        <v>2003</v>
      </c>
      <c r="H37" s="58">
        <f>SUM(F37*G37/1000)</f>
        <v>12.018000000000001</v>
      </c>
      <c r="I37" s="10">
        <f>G37*0.5</f>
        <v>1001.5</v>
      </c>
    </row>
    <row r="38" spans="1:9" ht="15.75" customHeight="1">
      <c r="A38" s="21">
        <v>8</v>
      </c>
      <c r="B38" s="172" t="s">
        <v>67</v>
      </c>
      <c r="C38" s="173" t="s">
        <v>28</v>
      </c>
      <c r="D38" s="172" t="s">
        <v>176</v>
      </c>
      <c r="E38" s="174">
        <v>26.07</v>
      </c>
      <c r="F38" s="174">
        <f>SUM(E38*30/1000)</f>
        <v>0.78210000000000002</v>
      </c>
      <c r="G38" s="174">
        <v>2757.78</v>
      </c>
      <c r="H38" s="58">
        <f t="shared" ref="H38:H43" si="5">SUM(F38*G38/1000)</f>
        <v>2.1568597380000001</v>
      </c>
      <c r="I38" s="10">
        <f t="shared" ref="I38:I41" si="6">F38/6*G38</f>
        <v>359.47662300000002</v>
      </c>
    </row>
    <row r="39" spans="1:9" ht="15.75" customHeight="1">
      <c r="A39" s="21">
        <v>9</v>
      </c>
      <c r="B39" s="159" t="s">
        <v>68</v>
      </c>
      <c r="C39" s="160" t="s">
        <v>28</v>
      </c>
      <c r="D39" s="159" t="s">
        <v>175</v>
      </c>
      <c r="E39" s="162">
        <v>31.4</v>
      </c>
      <c r="F39" s="174">
        <f>SUM(E39*155/1000)</f>
        <v>4.867</v>
      </c>
      <c r="G39" s="162">
        <v>460.02</v>
      </c>
      <c r="H39" s="58">
        <f t="shared" si="5"/>
        <v>2.23891734</v>
      </c>
      <c r="I39" s="10">
        <f t="shared" si="6"/>
        <v>373.15289000000001</v>
      </c>
    </row>
    <row r="40" spans="1:9" ht="27" hidden="1" customHeight="1">
      <c r="A40" s="21">
        <v>8</v>
      </c>
      <c r="B40" s="159" t="s">
        <v>115</v>
      </c>
      <c r="C40" s="160" t="s">
        <v>55</v>
      </c>
      <c r="D40" s="159" t="s">
        <v>185</v>
      </c>
      <c r="E40" s="166"/>
      <c r="F40" s="174">
        <v>110</v>
      </c>
      <c r="G40" s="162">
        <v>314</v>
      </c>
      <c r="H40" s="58">
        <f t="shared" si="5"/>
        <v>34.54</v>
      </c>
      <c r="I40" s="10">
        <f t="shared" si="6"/>
        <v>5756.6666666666661</v>
      </c>
    </row>
    <row r="41" spans="1:9" ht="47.25" customHeight="1">
      <c r="A41" s="21">
        <v>10</v>
      </c>
      <c r="B41" s="159" t="s">
        <v>80</v>
      </c>
      <c r="C41" s="160" t="s">
        <v>85</v>
      </c>
      <c r="D41" s="159" t="s">
        <v>176</v>
      </c>
      <c r="E41" s="162">
        <v>26.07</v>
      </c>
      <c r="F41" s="174">
        <f>SUM(E41*30/1000)</f>
        <v>0.78210000000000002</v>
      </c>
      <c r="G41" s="162">
        <v>7611.16</v>
      </c>
      <c r="H41" s="58">
        <f t="shared" si="5"/>
        <v>5.9526882360000002</v>
      </c>
      <c r="I41" s="10">
        <f t="shared" si="6"/>
        <v>992.11470599999996</v>
      </c>
    </row>
    <row r="42" spans="1:9" ht="15.75" hidden="1" customHeight="1">
      <c r="A42" s="21">
        <v>10</v>
      </c>
      <c r="B42" s="159" t="s">
        <v>86</v>
      </c>
      <c r="C42" s="160" t="s">
        <v>85</v>
      </c>
      <c r="D42" s="159" t="s">
        <v>177</v>
      </c>
      <c r="E42" s="162">
        <v>26.07</v>
      </c>
      <c r="F42" s="174">
        <f>SUM(E42*24/1000)</f>
        <v>0.62568000000000001</v>
      </c>
      <c r="G42" s="162">
        <v>562.25</v>
      </c>
      <c r="H42" s="58">
        <f t="shared" si="5"/>
        <v>0.35178858000000002</v>
      </c>
      <c r="I42" s="10">
        <f>G42*F42/24*1</f>
        <v>14.6578575</v>
      </c>
    </row>
    <row r="43" spans="1:9" ht="15.75" hidden="1" customHeight="1">
      <c r="A43" s="21">
        <v>11</v>
      </c>
      <c r="B43" s="172" t="s">
        <v>69</v>
      </c>
      <c r="C43" s="173" t="s">
        <v>32</v>
      </c>
      <c r="D43" s="172"/>
      <c r="E43" s="175"/>
      <c r="F43" s="174">
        <v>0.3</v>
      </c>
      <c r="G43" s="174">
        <v>974.83</v>
      </c>
      <c r="H43" s="58">
        <f t="shared" si="5"/>
        <v>0.29244900000000001</v>
      </c>
      <c r="I43" s="10">
        <f>G43*F43/24*1</f>
        <v>12.185375000000001</v>
      </c>
    </row>
    <row r="44" spans="1:9" ht="32.25" customHeight="1">
      <c r="A44" s="21">
        <v>11</v>
      </c>
      <c r="B44" s="91" t="s">
        <v>166</v>
      </c>
      <c r="C44" s="92" t="s">
        <v>28</v>
      </c>
      <c r="D44" s="172" t="s">
        <v>172</v>
      </c>
      <c r="E44" s="175">
        <v>3</v>
      </c>
      <c r="F44" s="174">
        <f>SUM(E44*12/1000)</f>
        <v>3.5999999999999997E-2</v>
      </c>
      <c r="G44" s="174">
        <v>20547.34</v>
      </c>
      <c r="H44" s="49"/>
      <c r="I44" s="10">
        <f>G44*F44/6*1</f>
        <v>123.28403999999999</v>
      </c>
    </row>
    <row r="45" spans="1:9" ht="15.75" customHeight="1">
      <c r="A45" s="201" t="s">
        <v>124</v>
      </c>
      <c r="B45" s="202"/>
      <c r="C45" s="202"/>
      <c r="D45" s="202"/>
      <c r="E45" s="202"/>
      <c r="F45" s="202"/>
      <c r="G45" s="202"/>
      <c r="H45" s="202"/>
      <c r="I45" s="203"/>
    </row>
    <row r="46" spans="1:9" ht="15.75" hidden="1" customHeight="1">
      <c r="A46" s="21"/>
      <c r="B46" s="54" t="s">
        <v>92</v>
      </c>
      <c r="C46" s="55" t="s">
        <v>85</v>
      </c>
      <c r="D46" s="54" t="s">
        <v>42</v>
      </c>
      <c r="E46" s="56">
        <v>1109.4000000000001</v>
      </c>
      <c r="F46" s="57">
        <f>SUM(E46*2/1000)</f>
        <v>2.2188000000000003</v>
      </c>
      <c r="G46" s="10">
        <v>1172.4100000000001</v>
      </c>
      <c r="H46" s="58">
        <f t="shared" ref="H46:H56" si="7">SUM(F46*G46/1000)</f>
        <v>2.6013433080000006</v>
      </c>
      <c r="I46" s="10">
        <v>0</v>
      </c>
    </row>
    <row r="47" spans="1:9" ht="15.75" hidden="1" customHeight="1">
      <c r="A47" s="21"/>
      <c r="B47" s="54" t="s">
        <v>35</v>
      </c>
      <c r="C47" s="55" t="s">
        <v>85</v>
      </c>
      <c r="D47" s="54" t="s">
        <v>42</v>
      </c>
      <c r="E47" s="56">
        <v>66</v>
      </c>
      <c r="F47" s="57">
        <f>SUM(E47*2/1000)</f>
        <v>0.13200000000000001</v>
      </c>
      <c r="G47" s="10">
        <v>4419.05</v>
      </c>
      <c r="H47" s="58">
        <f t="shared" si="7"/>
        <v>0.58331460000000002</v>
      </c>
      <c r="I47" s="10">
        <v>0</v>
      </c>
    </row>
    <row r="48" spans="1:9" ht="15.75" hidden="1" customHeight="1">
      <c r="A48" s="21"/>
      <c r="B48" s="54" t="s">
        <v>36</v>
      </c>
      <c r="C48" s="55" t="s">
        <v>85</v>
      </c>
      <c r="D48" s="54" t="s">
        <v>42</v>
      </c>
      <c r="E48" s="56">
        <v>1563.2750000000001</v>
      </c>
      <c r="F48" s="57">
        <f>SUM(E48*2/1000)</f>
        <v>3.1265500000000004</v>
      </c>
      <c r="G48" s="10">
        <v>1803.69</v>
      </c>
      <c r="H48" s="58">
        <f t="shared" si="7"/>
        <v>5.6393269695000008</v>
      </c>
      <c r="I48" s="10">
        <v>0</v>
      </c>
    </row>
    <row r="49" spans="1:9" ht="15.75" hidden="1" customHeight="1">
      <c r="A49" s="21"/>
      <c r="B49" s="54" t="s">
        <v>37</v>
      </c>
      <c r="C49" s="55" t="s">
        <v>85</v>
      </c>
      <c r="D49" s="54" t="s">
        <v>42</v>
      </c>
      <c r="E49" s="56">
        <v>1619.6</v>
      </c>
      <c r="F49" s="57">
        <f>SUM(E49*2/1000)</f>
        <v>3.2391999999999999</v>
      </c>
      <c r="G49" s="10">
        <v>1243.43</v>
      </c>
      <c r="H49" s="58">
        <f t="shared" si="7"/>
        <v>4.0277184559999997</v>
      </c>
      <c r="I49" s="10">
        <v>0</v>
      </c>
    </row>
    <row r="50" spans="1:9" ht="15.75" hidden="1" customHeight="1">
      <c r="A50" s="21"/>
      <c r="B50" s="54" t="s">
        <v>33</v>
      </c>
      <c r="C50" s="55" t="s">
        <v>34</v>
      </c>
      <c r="D50" s="54" t="s">
        <v>42</v>
      </c>
      <c r="E50" s="56">
        <v>85.84</v>
      </c>
      <c r="F50" s="57">
        <f>SUM(E50*2/100)</f>
        <v>1.7168000000000001</v>
      </c>
      <c r="G50" s="10">
        <v>1352.76</v>
      </c>
      <c r="H50" s="58">
        <f t="shared" si="7"/>
        <v>2.3224183680000001</v>
      </c>
      <c r="I50" s="10">
        <v>0</v>
      </c>
    </row>
    <row r="51" spans="1:9" ht="15.75" customHeight="1">
      <c r="A51" s="21">
        <v>12</v>
      </c>
      <c r="B51" s="54" t="s">
        <v>56</v>
      </c>
      <c r="C51" s="55" t="s">
        <v>85</v>
      </c>
      <c r="D51" s="54" t="s">
        <v>177</v>
      </c>
      <c r="E51" s="178">
        <v>887.5</v>
      </c>
      <c r="F51" s="177">
        <f>SUM(E51*5/1000)</f>
        <v>4.4375</v>
      </c>
      <c r="G51" s="151">
        <v>1809.27</v>
      </c>
      <c r="H51" s="58">
        <f t="shared" si="7"/>
        <v>8.0286356249999997</v>
      </c>
      <c r="I51" s="10">
        <f>F51/5*G51</f>
        <v>1605.7271249999999</v>
      </c>
    </row>
    <row r="52" spans="1:9" ht="31.5" hidden="1" customHeight="1">
      <c r="A52" s="21">
        <v>9</v>
      </c>
      <c r="B52" s="54" t="s">
        <v>87</v>
      </c>
      <c r="C52" s="55" t="s">
        <v>85</v>
      </c>
      <c r="D52" s="54" t="s">
        <v>42</v>
      </c>
      <c r="E52" s="56">
        <v>2579.4</v>
      </c>
      <c r="F52" s="57">
        <f>SUM(E52*2/1000)</f>
        <v>5.1588000000000003</v>
      </c>
      <c r="G52" s="10">
        <v>1591.6</v>
      </c>
      <c r="H52" s="58">
        <f t="shared" si="7"/>
        <v>8.2107460800000016</v>
      </c>
      <c r="I52" s="10">
        <f>F52/2*G52</f>
        <v>4105.3730400000004</v>
      </c>
    </row>
    <row r="53" spans="1:9" ht="31.5" hidden="1" customHeight="1">
      <c r="A53" s="21">
        <v>10</v>
      </c>
      <c r="B53" s="54" t="s">
        <v>88</v>
      </c>
      <c r="C53" s="55" t="s">
        <v>38</v>
      </c>
      <c r="D53" s="54" t="s">
        <v>42</v>
      </c>
      <c r="E53" s="56">
        <v>20</v>
      </c>
      <c r="F53" s="57">
        <f>SUM(E53*2/100)</f>
        <v>0.4</v>
      </c>
      <c r="G53" s="10">
        <v>4058.32</v>
      </c>
      <c r="H53" s="58">
        <f t="shared" si="7"/>
        <v>1.6233280000000001</v>
      </c>
      <c r="I53" s="10">
        <f t="shared" ref="I53:I54" si="8">F53/2*G53</f>
        <v>811.6640000000001</v>
      </c>
    </row>
    <row r="54" spans="1:9" ht="15.75" hidden="1" customHeight="1">
      <c r="A54" s="21">
        <v>11</v>
      </c>
      <c r="B54" s="54" t="s">
        <v>39</v>
      </c>
      <c r="C54" s="55" t="s">
        <v>40</v>
      </c>
      <c r="D54" s="54" t="s">
        <v>42</v>
      </c>
      <c r="E54" s="56">
        <v>1</v>
      </c>
      <c r="F54" s="57">
        <v>0.02</v>
      </c>
      <c r="G54" s="10">
        <v>7412.92</v>
      </c>
      <c r="H54" s="58">
        <f t="shared" si="7"/>
        <v>0.14825839999999998</v>
      </c>
      <c r="I54" s="10">
        <f t="shared" si="8"/>
        <v>74.129199999999997</v>
      </c>
    </row>
    <row r="55" spans="1:9" ht="15.75" hidden="1" customHeight="1">
      <c r="A55" s="21">
        <v>15</v>
      </c>
      <c r="B55" s="54" t="s">
        <v>98</v>
      </c>
      <c r="C55" s="55" t="s">
        <v>93</v>
      </c>
      <c r="D55" s="54" t="s">
        <v>70</v>
      </c>
      <c r="E55" s="56">
        <v>62</v>
      </c>
      <c r="F55" s="57">
        <f>SUM(E55*3)</f>
        <v>186</v>
      </c>
      <c r="G55" s="10">
        <v>185.08</v>
      </c>
      <c r="H55" s="58">
        <f t="shared" si="7"/>
        <v>34.424880000000002</v>
      </c>
      <c r="I55" s="10">
        <v>0</v>
      </c>
    </row>
    <row r="56" spans="1:9" ht="15.75" hidden="1" customHeight="1">
      <c r="A56" s="75">
        <v>16</v>
      </c>
      <c r="B56" s="63" t="s">
        <v>41</v>
      </c>
      <c r="C56" s="62" t="s">
        <v>93</v>
      </c>
      <c r="D56" s="63" t="s">
        <v>70</v>
      </c>
      <c r="E56" s="64">
        <v>124</v>
      </c>
      <c r="F56" s="65">
        <f>SUM(E56)*3</f>
        <v>372</v>
      </c>
      <c r="G56" s="76">
        <v>86.15</v>
      </c>
      <c r="H56" s="66">
        <f t="shared" si="7"/>
        <v>32.047800000000002</v>
      </c>
      <c r="I56" s="76">
        <v>0</v>
      </c>
    </row>
    <row r="57" spans="1:9" ht="15.75" customHeight="1">
      <c r="A57" s="204" t="s">
        <v>125</v>
      </c>
      <c r="B57" s="205"/>
      <c r="C57" s="205"/>
      <c r="D57" s="205"/>
      <c r="E57" s="205"/>
      <c r="F57" s="205"/>
      <c r="G57" s="205"/>
      <c r="H57" s="205"/>
      <c r="I57" s="206"/>
    </row>
    <row r="58" spans="1:9" ht="15.75" customHeight="1">
      <c r="A58" s="77"/>
      <c r="B58" s="78" t="s">
        <v>43</v>
      </c>
      <c r="C58" s="79"/>
      <c r="D58" s="80"/>
      <c r="E58" s="81"/>
      <c r="F58" s="82"/>
      <c r="G58" s="82"/>
      <c r="H58" s="83"/>
      <c r="I58" s="84"/>
    </row>
    <row r="59" spans="1:9" ht="31.5" customHeight="1">
      <c r="A59" s="21">
        <v>13</v>
      </c>
      <c r="B59" s="54" t="s">
        <v>101</v>
      </c>
      <c r="C59" s="55" t="s">
        <v>83</v>
      </c>
      <c r="D59" s="54"/>
      <c r="E59" s="56">
        <v>126.94</v>
      </c>
      <c r="F59" s="57">
        <f>SUM(E59*6/100)</f>
        <v>7.6163999999999996</v>
      </c>
      <c r="G59" s="151">
        <v>2306.83</v>
      </c>
      <c r="H59" s="58">
        <f>SUM(F59*G59/1000)</f>
        <v>17.569740011999997</v>
      </c>
      <c r="I59" s="10">
        <f>G59*0.688</f>
        <v>1587.0990399999998</v>
      </c>
    </row>
    <row r="60" spans="1:9" ht="31.5" customHeight="1">
      <c r="A60" s="21">
        <v>14</v>
      </c>
      <c r="B60" s="54" t="s">
        <v>77</v>
      </c>
      <c r="C60" s="55" t="s">
        <v>83</v>
      </c>
      <c r="D60" s="54" t="s">
        <v>173</v>
      </c>
      <c r="E60" s="15">
        <v>19.899999999999999</v>
      </c>
      <c r="F60" s="57">
        <f>SUM(E60*6/100)</f>
        <v>1.194</v>
      </c>
      <c r="G60" s="179">
        <v>2306.83</v>
      </c>
      <c r="H60" s="58">
        <f t="shared" ref="H60:H61" si="9">SUM(F60*G60/1000)</f>
        <v>2.7543550199999998</v>
      </c>
      <c r="I60" s="10">
        <f t="shared" ref="I60" si="10">F60/6*G60</f>
        <v>459.05916999999994</v>
      </c>
    </row>
    <row r="61" spans="1:9" ht="16.5" customHeight="1">
      <c r="A61" s="21">
        <v>15</v>
      </c>
      <c r="B61" s="63" t="s">
        <v>121</v>
      </c>
      <c r="C61" s="62" t="s">
        <v>122</v>
      </c>
      <c r="D61" s="63" t="s">
        <v>294</v>
      </c>
      <c r="E61" s="85"/>
      <c r="F61" s="65">
        <v>3</v>
      </c>
      <c r="G61" s="179">
        <v>1800</v>
      </c>
      <c r="H61" s="58">
        <f t="shared" si="9"/>
        <v>5.4</v>
      </c>
      <c r="I61" s="10">
        <f>G61*1</f>
        <v>1800</v>
      </c>
    </row>
    <row r="62" spans="1:9" ht="13.5" customHeight="1">
      <c r="A62" s="21"/>
      <c r="B62" s="74" t="s">
        <v>44</v>
      </c>
      <c r="C62" s="62"/>
      <c r="D62" s="63"/>
      <c r="E62" s="64"/>
      <c r="F62" s="65"/>
      <c r="G62" s="49"/>
      <c r="H62" s="66"/>
      <c r="I62" s="84"/>
    </row>
    <row r="63" spans="1:9" ht="16.5" hidden="1" customHeight="1">
      <c r="A63" s="21"/>
      <c r="B63" s="63" t="s">
        <v>45</v>
      </c>
      <c r="C63" s="62" t="s">
        <v>83</v>
      </c>
      <c r="D63" s="63" t="s">
        <v>54</v>
      </c>
      <c r="E63" s="64">
        <v>450</v>
      </c>
      <c r="F63" s="57">
        <f>SUM(E63/100)</f>
        <v>4.5</v>
      </c>
      <c r="G63" s="10">
        <v>1040.8399999999999</v>
      </c>
      <c r="H63" s="67">
        <v>7.6349999999999998</v>
      </c>
      <c r="I63" s="10">
        <v>0</v>
      </c>
    </row>
    <row r="64" spans="1:9" ht="16.5" customHeight="1">
      <c r="A64" s="21">
        <v>16</v>
      </c>
      <c r="B64" s="149" t="s">
        <v>188</v>
      </c>
      <c r="C64" s="150" t="s">
        <v>150</v>
      </c>
      <c r="D64" s="149" t="s">
        <v>177</v>
      </c>
      <c r="E64" s="170">
        <v>48</v>
      </c>
      <c r="F64" s="171">
        <v>576</v>
      </c>
      <c r="G64" s="26">
        <v>1.4</v>
      </c>
      <c r="H64" s="67"/>
      <c r="I64" s="10">
        <f>G64*F64/12</f>
        <v>67.2</v>
      </c>
    </row>
    <row r="65" spans="1:9" ht="17.25" customHeight="1">
      <c r="A65" s="21"/>
      <c r="B65" s="74" t="s">
        <v>46</v>
      </c>
      <c r="C65" s="62"/>
      <c r="D65" s="63"/>
      <c r="E65" s="64"/>
      <c r="F65" s="65"/>
      <c r="G65" s="68"/>
      <c r="H65" s="66" t="s">
        <v>130</v>
      </c>
      <c r="I65" s="10"/>
    </row>
    <row r="66" spans="1:9" ht="17.25" hidden="1" customHeight="1">
      <c r="A66" s="21">
        <v>15</v>
      </c>
      <c r="B66" s="11" t="s">
        <v>47</v>
      </c>
      <c r="C66" s="13" t="s">
        <v>93</v>
      </c>
      <c r="D66" s="11" t="s">
        <v>66</v>
      </c>
      <c r="E66" s="15">
        <v>5</v>
      </c>
      <c r="F66" s="57">
        <f>E66</f>
        <v>5</v>
      </c>
      <c r="G66" s="10">
        <v>291.68</v>
      </c>
      <c r="H66" s="53">
        <f t="shared" ref="H66:H73" si="11">SUM(F66*G66/1000)</f>
        <v>1.4584000000000001</v>
      </c>
      <c r="I66" s="10">
        <f>G66*2</f>
        <v>583.36</v>
      </c>
    </row>
    <row r="67" spans="1:9" ht="15.75" customHeight="1">
      <c r="A67" s="21">
        <v>17</v>
      </c>
      <c r="B67" s="11" t="s">
        <v>48</v>
      </c>
      <c r="C67" s="13" t="s">
        <v>93</v>
      </c>
      <c r="D67" s="11" t="s">
        <v>177</v>
      </c>
      <c r="E67" s="15">
        <v>2</v>
      </c>
      <c r="F67" s="57">
        <f>E67</f>
        <v>2</v>
      </c>
      <c r="G67" s="151">
        <v>113.69</v>
      </c>
      <c r="H67" s="53">
        <f t="shared" si="11"/>
        <v>0.22738</v>
      </c>
      <c r="I67" s="10">
        <f>G67*1</f>
        <v>113.69</v>
      </c>
    </row>
    <row r="68" spans="1:9" ht="18" hidden="1" customHeight="1">
      <c r="A68" s="21"/>
      <c r="B68" s="11" t="s">
        <v>49</v>
      </c>
      <c r="C68" s="13" t="s">
        <v>94</v>
      </c>
      <c r="D68" s="11" t="s">
        <v>54</v>
      </c>
      <c r="E68" s="56">
        <v>13313</v>
      </c>
      <c r="F68" s="10">
        <f>SUM(E68/100)</f>
        <v>133.13</v>
      </c>
      <c r="G68" s="10">
        <v>278.24</v>
      </c>
      <c r="H68" s="53">
        <f t="shared" si="11"/>
        <v>37.042091200000002</v>
      </c>
      <c r="I68" s="10">
        <v>0</v>
      </c>
    </row>
    <row r="69" spans="1:9" ht="18" hidden="1" customHeight="1">
      <c r="A69" s="21"/>
      <c r="B69" s="11" t="s">
        <v>50</v>
      </c>
      <c r="C69" s="13" t="s">
        <v>95</v>
      </c>
      <c r="D69" s="11"/>
      <c r="E69" s="56">
        <v>13313</v>
      </c>
      <c r="F69" s="10">
        <f>SUM(E69/1000)</f>
        <v>13.313000000000001</v>
      </c>
      <c r="G69" s="10">
        <v>216.68</v>
      </c>
      <c r="H69" s="53">
        <f t="shared" si="11"/>
        <v>2.88466084</v>
      </c>
      <c r="I69" s="10">
        <v>0</v>
      </c>
    </row>
    <row r="70" spans="1:9" ht="23.25" hidden="1" customHeight="1">
      <c r="A70" s="21"/>
      <c r="B70" s="11" t="s">
        <v>51</v>
      </c>
      <c r="C70" s="13" t="s">
        <v>75</v>
      </c>
      <c r="D70" s="11" t="s">
        <v>54</v>
      </c>
      <c r="E70" s="56">
        <v>2184</v>
      </c>
      <c r="F70" s="10">
        <f>SUM(E70/100)</f>
        <v>21.84</v>
      </c>
      <c r="G70" s="10">
        <v>2720.94</v>
      </c>
      <c r="H70" s="53">
        <f t="shared" si="11"/>
        <v>59.425329599999998</v>
      </c>
      <c r="I70" s="10">
        <v>0</v>
      </c>
    </row>
    <row r="71" spans="1:9" ht="23.25" hidden="1" customHeight="1">
      <c r="A71" s="21"/>
      <c r="B71" s="69" t="s">
        <v>96</v>
      </c>
      <c r="C71" s="13" t="s">
        <v>32</v>
      </c>
      <c r="D71" s="11"/>
      <c r="E71" s="56">
        <v>12.2</v>
      </c>
      <c r="F71" s="10">
        <f>SUM(E71)</f>
        <v>12.2</v>
      </c>
      <c r="G71" s="10">
        <v>42.61</v>
      </c>
      <c r="H71" s="53">
        <f t="shared" si="11"/>
        <v>0.51984200000000003</v>
      </c>
      <c r="I71" s="10">
        <v>0</v>
      </c>
    </row>
    <row r="72" spans="1:9" ht="13.5" hidden="1" customHeight="1">
      <c r="A72" s="21"/>
      <c r="B72" s="69" t="s">
        <v>131</v>
      </c>
      <c r="C72" s="13" t="s">
        <v>32</v>
      </c>
      <c r="D72" s="11"/>
      <c r="E72" s="56">
        <v>12.2</v>
      </c>
      <c r="F72" s="10">
        <f>SUM(E72)</f>
        <v>12.2</v>
      </c>
      <c r="G72" s="10">
        <v>46.04</v>
      </c>
      <c r="H72" s="53">
        <f t="shared" si="11"/>
        <v>0.56168799999999997</v>
      </c>
      <c r="I72" s="10">
        <v>0</v>
      </c>
    </row>
    <row r="73" spans="1:9" ht="18.75" hidden="1" customHeight="1">
      <c r="A73" s="21"/>
      <c r="B73" s="11" t="s">
        <v>57</v>
      </c>
      <c r="C73" s="13" t="s">
        <v>58</v>
      </c>
      <c r="D73" s="11" t="s">
        <v>54</v>
      </c>
      <c r="E73" s="15">
        <v>3</v>
      </c>
      <c r="F73" s="57">
        <v>3</v>
      </c>
      <c r="G73" s="10">
        <v>65.42</v>
      </c>
      <c r="H73" s="53">
        <f t="shared" si="11"/>
        <v>0.19625999999999999</v>
      </c>
      <c r="I73" s="10">
        <v>0</v>
      </c>
    </row>
    <row r="74" spans="1:9" ht="15.75" customHeight="1">
      <c r="A74" s="21"/>
      <c r="B74" s="97" t="s">
        <v>71</v>
      </c>
      <c r="C74" s="13"/>
      <c r="D74" s="11"/>
      <c r="E74" s="15"/>
      <c r="F74" s="10"/>
      <c r="G74" s="10"/>
      <c r="H74" s="53" t="s">
        <v>130</v>
      </c>
      <c r="I74" s="10"/>
    </row>
    <row r="75" spans="1:9" ht="15.75" hidden="1" customHeight="1">
      <c r="A75" s="21"/>
      <c r="B75" s="11" t="s">
        <v>117</v>
      </c>
      <c r="C75" s="13" t="s">
        <v>93</v>
      </c>
      <c r="D75" s="11" t="s">
        <v>66</v>
      </c>
      <c r="E75" s="15">
        <v>1</v>
      </c>
      <c r="F75" s="10">
        <v>1</v>
      </c>
      <c r="G75" s="10">
        <v>1029.1199999999999</v>
      </c>
      <c r="H75" s="53">
        <f t="shared" ref="H75:H78" si="12">SUM(F75*G75/1000)</f>
        <v>1.0291199999999998</v>
      </c>
      <c r="I75" s="10">
        <v>0</v>
      </c>
    </row>
    <row r="76" spans="1:9" ht="15.75" hidden="1" customHeight="1">
      <c r="A76" s="21"/>
      <c r="B76" s="11" t="s">
        <v>118</v>
      </c>
      <c r="C76" s="13" t="s">
        <v>119</v>
      </c>
      <c r="D76" s="11"/>
      <c r="E76" s="15">
        <v>1</v>
      </c>
      <c r="F76" s="10">
        <f>E76</f>
        <v>1</v>
      </c>
      <c r="G76" s="10">
        <v>735</v>
      </c>
      <c r="H76" s="53">
        <f t="shared" si="12"/>
        <v>0.73499999999999999</v>
      </c>
      <c r="I76" s="10">
        <v>0</v>
      </c>
    </row>
    <row r="77" spans="1:9" ht="15.75" hidden="1" customHeight="1">
      <c r="A77" s="21"/>
      <c r="B77" s="11" t="s">
        <v>72</v>
      </c>
      <c r="C77" s="13" t="s">
        <v>73</v>
      </c>
      <c r="D77" s="11" t="s">
        <v>66</v>
      </c>
      <c r="E77" s="15">
        <v>3</v>
      </c>
      <c r="F77" s="10">
        <v>0.2</v>
      </c>
      <c r="G77" s="10">
        <v>657.87</v>
      </c>
      <c r="H77" s="53">
        <f t="shared" si="12"/>
        <v>0.13157400000000002</v>
      </c>
      <c r="I77" s="10">
        <v>0</v>
      </c>
    </row>
    <row r="78" spans="1:9" ht="15.75" hidden="1" customHeight="1">
      <c r="A78" s="21"/>
      <c r="B78" s="11" t="s">
        <v>120</v>
      </c>
      <c r="C78" s="13" t="s">
        <v>93</v>
      </c>
      <c r="D78" s="11" t="s">
        <v>66</v>
      </c>
      <c r="E78" s="15">
        <v>1</v>
      </c>
      <c r="F78" s="57">
        <f>SUM(E78)</f>
        <v>1</v>
      </c>
      <c r="G78" s="10">
        <v>1118.72</v>
      </c>
      <c r="H78" s="53">
        <f t="shared" si="12"/>
        <v>1.1187199999999999</v>
      </c>
      <c r="I78" s="10">
        <v>0</v>
      </c>
    </row>
    <row r="79" spans="1:9" ht="15.75" hidden="1" customHeight="1">
      <c r="A79" s="21"/>
      <c r="B79" s="39" t="s">
        <v>140</v>
      </c>
      <c r="C79" s="40" t="s">
        <v>93</v>
      </c>
      <c r="D79" s="11" t="s">
        <v>66</v>
      </c>
      <c r="E79" s="15">
        <v>1</v>
      </c>
      <c r="F79" s="49">
        <v>1</v>
      </c>
      <c r="G79" s="10">
        <v>1605.83</v>
      </c>
      <c r="H79" s="53">
        <f>SUM(F79*G79/1000)</f>
        <v>1.6058299999999999</v>
      </c>
      <c r="I79" s="10">
        <v>0</v>
      </c>
    </row>
    <row r="80" spans="1:9" ht="15.75" customHeight="1">
      <c r="A80" s="21">
        <v>18</v>
      </c>
      <c r="B80" s="91" t="s">
        <v>141</v>
      </c>
      <c r="C80" s="92" t="s">
        <v>93</v>
      </c>
      <c r="D80" s="152" t="s">
        <v>173</v>
      </c>
      <c r="E80" s="14">
        <v>2</v>
      </c>
      <c r="F80" s="162">
        <f>E80*12</f>
        <v>24</v>
      </c>
      <c r="G80" s="26">
        <v>425</v>
      </c>
      <c r="H80" s="53">
        <f t="shared" ref="H80" si="13">SUM(F80*G80/1000)</f>
        <v>10.199999999999999</v>
      </c>
      <c r="I80" s="10">
        <f>G80*2</f>
        <v>850</v>
      </c>
    </row>
    <row r="81" spans="1:9" ht="15.75" hidden="1" customHeight="1">
      <c r="A81" s="21"/>
      <c r="B81" s="71" t="s">
        <v>74</v>
      </c>
      <c r="C81" s="13"/>
      <c r="D81" s="11"/>
      <c r="E81" s="15"/>
      <c r="F81" s="10"/>
      <c r="G81" s="10" t="s">
        <v>130</v>
      </c>
      <c r="H81" s="53" t="s">
        <v>130</v>
      </c>
      <c r="I81" s="10"/>
    </row>
    <row r="82" spans="1:9" ht="15.75" hidden="1" customHeight="1">
      <c r="A82" s="21"/>
      <c r="B82" s="35" t="s">
        <v>99</v>
      </c>
      <c r="C82" s="13" t="s">
        <v>75</v>
      </c>
      <c r="D82" s="11"/>
      <c r="E82" s="15"/>
      <c r="F82" s="10">
        <v>0.1</v>
      </c>
      <c r="G82" s="10">
        <v>2949.85</v>
      </c>
      <c r="H82" s="53">
        <f t="shared" ref="H82" si="14">SUM(F82*G82/1000)</f>
        <v>0.294985</v>
      </c>
      <c r="I82" s="10">
        <v>0</v>
      </c>
    </row>
    <row r="83" spans="1:9" ht="15.75" customHeight="1">
      <c r="A83" s="21"/>
      <c r="B83" s="86" t="s">
        <v>142</v>
      </c>
      <c r="C83" s="40"/>
      <c r="D83" s="11"/>
      <c r="E83" s="15"/>
      <c r="F83" s="49"/>
      <c r="G83" s="10"/>
      <c r="H83" s="53"/>
      <c r="I83" s="10"/>
    </row>
    <row r="84" spans="1:9" ht="15.75" customHeight="1">
      <c r="A84" s="21">
        <v>19</v>
      </c>
      <c r="B84" s="152" t="s">
        <v>143</v>
      </c>
      <c r="C84" s="28" t="s">
        <v>144</v>
      </c>
      <c r="D84" s="152"/>
      <c r="E84" s="14">
        <v>3227.7</v>
      </c>
      <c r="F84" s="26">
        <f>SUM(E84*12)</f>
        <v>38732.399999999994</v>
      </c>
      <c r="G84" s="26">
        <v>2.6</v>
      </c>
      <c r="H84" s="53">
        <f t="shared" ref="H84" si="15">SUM(F84*G84/1000)</f>
        <v>100.70423999999998</v>
      </c>
      <c r="I84" s="10">
        <f>F84/12*G84</f>
        <v>8392.0199999999986</v>
      </c>
    </row>
    <row r="85" spans="1:9" ht="23.25" customHeight="1">
      <c r="A85" s="21"/>
      <c r="B85" s="97" t="s">
        <v>89</v>
      </c>
      <c r="C85" s="71"/>
      <c r="D85" s="23"/>
      <c r="E85" s="24"/>
      <c r="F85" s="59"/>
      <c r="G85" s="59"/>
      <c r="H85" s="72">
        <f>SUM(H59:H82)</f>
        <v>150.789975672</v>
      </c>
      <c r="I85" s="59"/>
    </row>
    <row r="86" spans="1:9" ht="14.25" customHeight="1">
      <c r="A86" s="21">
        <v>20</v>
      </c>
      <c r="B86" s="11" t="s">
        <v>145</v>
      </c>
      <c r="C86" s="13"/>
      <c r="D86" s="11"/>
      <c r="E86" s="11"/>
      <c r="F86" s="10">
        <v>1</v>
      </c>
      <c r="G86" s="10">
        <v>6840</v>
      </c>
      <c r="H86" s="53">
        <f>G86*F86/1000</f>
        <v>6.84</v>
      </c>
      <c r="I86" s="10">
        <f>G86*1</f>
        <v>6840</v>
      </c>
    </row>
    <row r="87" spans="1:9" ht="18" hidden="1" customHeight="1">
      <c r="A87" s="21"/>
      <c r="B87" s="11" t="s">
        <v>146</v>
      </c>
      <c r="C87" s="13"/>
      <c r="D87" s="11"/>
      <c r="E87" s="11"/>
      <c r="F87" s="10">
        <v>62</v>
      </c>
      <c r="G87" s="10">
        <v>700</v>
      </c>
      <c r="H87" s="53">
        <f t="shared" ref="H87" si="16">G87*F87/1000</f>
        <v>43.4</v>
      </c>
      <c r="I87" s="10">
        <v>0</v>
      </c>
    </row>
    <row r="88" spans="1:9" ht="15.75" customHeight="1">
      <c r="A88" s="201" t="s">
        <v>126</v>
      </c>
      <c r="B88" s="202"/>
      <c r="C88" s="202"/>
      <c r="D88" s="202"/>
      <c r="E88" s="202"/>
      <c r="F88" s="202"/>
      <c r="G88" s="202"/>
      <c r="H88" s="202"/>
      <c r="I88" s="203"/>
    </row>
    <row r="89" spans="1:9" ht="15.75" customHeight="1">
      <c r="A89" s="21">
        <v>21</v>
      </c>
      <c r="B89" s="159" t="s">
        <v>97</v>
      </c>
      <c r="C89" s="153" t="s">
        <v>55</v>
      </c>
      <c r="D89" s="38"/>
      <c r="E89" s="26">
        <v>3227.7</v>
      </c>
      <c r="F89" s="26">
        <f>SUM(E89*12)</f>
        <v>38732.399999999994</v>
      </c>
      <c r="G89" s="26">
        <v>3.5</v>
      </c>
      <c r="H89" s="53">
        <f t="shared" ref="H89" si="17">G89*F89/1000</f>
        <v>135.56339999999997</v>
      </c>
      <c r="I89" s="10">
        <f>F89/12*G89</f>
        <v>11296.949999999997</v>
      </c>
    </row>
    <row r="90" spans="1:9" ht="31.5" customHeight="1">
      <c r="A90" s="21">
        <v>22</v>
      </c>
      <c r="B90" s="152" t="s">
        <v>186</v>
      </c>
      <c r="C90" s="153" t="s">
        <v>150</v>
      </c>
      <c r="D90" s="90"/>
      <c r="E90" s="166">
        <f>E89</f>
        <v>3227.7</v>
      </c>
      <c r="F90" s="26">
        <f>E90*12</f>
        <v>38732.399999999994</v>
      </c>
      <c r="G90" s="26">
        <v>3.2</v>
      </c>
      <c r="H90" s="53">
        <f>F90*G90/1000</f>
        <v>123.94367999999999</v>
      </c>
      <c r="I90" s="10">
        <f>F90/12*G90</f>
        <v>10328.64</v>
      </c>
    </row>
    <row r="91" spans="1:9" ht="15.75" customHeight="1">
      <c r="A91" s="21"/>
      <c r="B91" s="27" t="s">
        <v>78</v>
      </c>
      <c r="C91" s="71"/>
      <c r="D91" s="70"/>
      <c r="E91" s="59"/>
      <c r="F91" s="59"/>
      <c r="G91" s="59"/>
      <c r="H91" s="72">
        <f>SUM(H90)</f>
        <v>123.94367999999999</v>
      </c>
      <c r="I91" s="59">
        <f>I90+I89+I86+I84++I80+I67+I64+I61+I60+I59+I51+I44+I41+I39+I38+I37+I24+I21+I20+I18+I17+I16</f>
        <v>53365.90744499999</v>
      </c>
    </row>
    <row r="92" spans="1:9" ht="15.75" customHeight="1">
      <c r="A92" s="207" t="s">
        <v>60</v>
      </c>
      <c r="B92" s="208"/>
      <c r="C92" s="208"/>
      <c r="D92" s="208"/>
      <c r="E92" s="208"/>
      <c r="F92" s="208"/>
      <c r="G92" s="208"/>
      <c r="H92" s="208"/>
      <c r="I92" s="209"/>
    </row>
    <row r="93" spans="1:9" ht="15.75" customHeight="1">
      <c r="A93" s="21">
        <v>23</v>
      </c>
      <c r="B93" s="105" t="s">
        <v>301</v>
      </c>
      <c r="C93" s="28" t="s">
        <v>107</v>
      </c>
      <c r="D93" s="90" t="s">
        <v>304</v>
      </c>
      <c r="E93" s="26"/>
      <c r="F93" s="26">
        <v>0.12</v>
      </c>
      <c r="G93" s="26">
        <v>2787.6</v>
      </c>
      <c r="H93" s="53"/>
      <c r="I93" s="10">
        <f>G93*0.12</f>
        <v>334.512</v>
      </c>
    </row>
    <row r="94" spans="1:9" ht="30.75" customHeight="1">
      <c r="A94" s="21">
        <v>24</v>
      </c>
      <c r="B94" s="91" t="s">
        <v>302</v>
      </c>
      <c r="C94" s="92" t="s">
        <v>206</v>
      </c>
      <c r="D94" s="152" t="s">
        <v>306</v>
      </c>
      <c r="E94" s="26"/>
      <c r="F94" s="26">
        <v>1</v>
      </c>
      <c r="G94" s="26">
        <v>949.97</v>
      </c>
      <c r="H94" s="53"/>
      <c r="I94" s="10">
        <f>G94*1</f>
        <v>949.97</v>
      </c>
    </row>
    <row r="95" spans="1:9" ht="29.25" customHeight="1">
      <c r="A95" s="21">
        <v>25</v>
      </c>
      <c r="B95" s="91" t="s">
        <v>218</v>
      </c>
      <c r="C95" s="92" t="s">
        <v>136</v>
      </c>
      <c r="D95" s="90" t="s">
        <v>305</v>
      </c>
      <c r="E95" s="26"/>
      <c r="F95" s="26">
        <v>5</v>
      </c>
      <c r="G95" s="26">
        <v>1584.54</v>
      </c>
      <c r="H95" s="89"/>
      <c r="I95" s="10">
        <f>G95*3</f>
        <v>4753.62</v>
      </c>
    </row>
    <row r="96" spans="1:9" ht="16.5" customHeight="1">
      <c r="A96" s="21">
        <v>26</v>
      </c>
      <c r="B96" s="91" t="s">
        <v>181</v>
      </c>
      <c r="C96" s="92" t="s">
        <v>40</v>
      </c>
      <c r="D96" s="90" t="s">
        <v>172</v>
      </c>
      <c r="E96" s="26"/>
      <c r="F96" s="26">
        <v>0.1</v>
      </c>
      <c r="G96" s="26">
        <v>28224.75</v>
      </c>
      <c r="H96" s="89"/>
      <c r="I96" s="10">
        <v>0</v>
      </c>
    </row>
    <row r="97" spans="1:9" ht="16.5" customHeight="1">
      <c r="A97" s="21">
        <v>27</v>
      </c>
      <c r="B97" s="156" t="s">
        <v>50</v>
      </c>
      <c r="C97" s="153" t="s">
        <v>95</v>
      </c>
      <c r="D97" s="152"/>
      <c r="E97" s="166"/>
      <c r="F97" s="26">
        <v>13.313000000000001</v>
      </c>
      <c r="G97" s="26">
        <v>256.16000000000003</v>
      </c>
      <c r="H97" s="89"/>
      <c r="I97" s="10">
        <f>G97*13.313</f>
        <v>3410.2580800000005</v>
      </c>
    </row>
    <row r="98" spans="1:9" ht="27.75" customHeight="1">
      <c r="A98" s="21">
        <v>28</v>
      </c>
      <c r="B98" s="91" t="s">
        <v>303</v>
      </c>
      <c r="C98" s="42" t="s">
        <v>73</v>
      </c>
      <c r="D98" s="90"/>
      <c r="E98" s="26"/>
      <c r="F98" s="26">
        <v>0.1</v>
      </c>
      <c r="G98" s="26">
        <v>12171.02</v>
      </c>
      <c r="H98" s="89"/>
      <c r="I98" s="10">
        <f>G98*0.1</f>
        <v>1217.1020000000001</v>
      </c>
    </row>
    <row r="99" spans="1:9">
      <c r="A99" s="21"/>
      <c r="B99" s="33" t="s">
        <v>52</v>
      </c>
      <c r="C99" s="29"/>
      <c r="D99" s="36"/>
      <c r="E99" s="29">
        <v>1</v>
      </c>
      <c r="F99" s="29"/>
      <c r="G99" s="29"/>
      <c r="H99" s="29"/>
      <c r="I99" s="24">
        <f>SUM(I93:I98)</f>
        <v>10665.462080000001</v>
      </c>
    </row>
    <row r="100" spans="1:9" ht="15.75" customHeight="1">
      <c r="A100" s="21"/>
      <c r="B100" s="35" t="s">
        <v>76</v>
      </c>
      <c r="C100" s="12"/>
      <c r="D100" s="12"/>
      <c r="E100" s="30"/>
      <c r="F100" s="30"/>
      <c r="G100" s="31"/>
      <c r="H100" s="31"/>
      <c r="I100" s="14">
        <v>0</v>
      </c>
    </row>
    <row r="101" spans="1:9" ht="15.75" customHeight="1">
      <c r="A101" s="37"/>
      <c r="B101" s="34" t="s">
        <v>147</v>
      </c>
      <c r="C101" s="25"/>
      <c r="D101" s="25"/>
      <c r="E101" s="25"/>
      <c r="F101" s="25"/>
      <c r="G101" s="25"/>
      <c r="H101" s="25"/>
      <c r="I101" s="32">
        <f>I91+I99</f>
        <v>64031.369524999987</v>
      </c>
    </row>
    <row r="102" spans="1:9" ht="15.75" customHeight="1">
      <c r="A102" s="210" t="s">
        <v>307</v>
      </c>
      <c r="B102" s="210"/>
      <c r="C102" s="210"/>
      <c r="D102" s="210"/>
      <c r="E102" s="210"/>
      <c r="F102" s="210"/>
      <c r="G102" s="210"/>
      <c r="H102" s="210"/>
      <c r="I102" s="210"/>
    </row>
    <row r="103" spans="1:9" ht="15.75" customHeight="1">
      <c r="A103" s="43"/>
      <c r="B103" s="211" t="s">
        <v>308</v>
      </c>
      <c r="C103" s="211"/>
      <c r="D103" s="211"/>
      <c r="E103" s="211"/>
      <c r="F103" s="211"/>
      <c r="G103" s="211"/>
      <c r="H103" s="52"/>
      <c r="I103" s="2"/>
    </row>
    <row r="104" spans="1:9" ht="15.75" customHeight="1">
      <c r="A104" s="98"/>
      <c r="B104" s="195" t="s">
        <v>6</v>
      </c>
      <c r="C104" s="195"/>
      <c r="D104" s="195"/>
      <c r="E104" s="195"/>
      <c r="F104" s="195"/>
      <c r="G104" s="195"/>
      <c r="H104" s="16"/>
      <c r="I104" s="4"/>
    </row>
    <row r="105" spans="1:9" ht="7.5" customHeight="1">
      <c r="A105" s="7"/>
      <c r="B105" s="7"/>
      <c r="C105" s="7"/>
      <c r="D105" s="7"/>
      <c r="E105" s="7"/>
      <c r="F105" s="7"/>
      <c r="G105" s="7"/>
      <c r="H105" s="7"/>
      <c r="I105" s="7"/>
    </row>
    <row r="106" spans="1:9" ht="15.75" customHeight="1">
      <c r="A106" s="212" t="s">
        <v>7</v>
      </c>
      <c r="B106" s="212"/>
      <c r="C106" s="212"/>
      <c r="D106" s="212"/>
      <c r="E106" s="212"/>
      <c r="F106" s="212"/>
      <c r="G106" s="212"/>
      <c r="H106" s="212"/>
      <c r="I106" s="212"/>
    </row>
    <row r="107" spans="1:9" ht="15.75">
      <c r="A107" s="212" t="s">
        <v>8</v>
      </c>
      <c r="B107" s="212"/>
      <c r="C107" s="212"/>
      <c r="D107" s="212"/>
      <c r="E107" s="212"/>
      <c r="F107" s="212"/>
      <c r="G107" s="212"/>
      <c r="H107" s="212"/>
      <c r="I107" s="212"/>
    </row>
    <row r="108" spans="1:9" ht="15.75">
      <c r="A108" s="199" t="s">
        <v>61</v>
      </c>
      <c r="B108" s="199"/>
      <c r="C108" s="199"/>
      <c r="D108" s="199"/>
      <c r="E108" s="199"/>
      <c r="F108" s="199"/>
      <c r="G108" s="199"/>
      <c r="H108" s="199"/>
      <c r="I108" s="199"/>
    </row>
    <row r="109" spans="1:9" ht="8.25" customHeight="1">
      <c r="A109" s="8"/>
    </row>
    <row r="110" spans="1:9" ht="15.75">
      <c r="A110" s="193" t="s">
        <v>9</v>
      </c>
      <c r="B110" s="193"/>
      <c r="C110" s="193"/>
      <c r="D110" s="193"/>
      <c r="E110" s="193"/>
      <c r="F110" s="193"/>
      <c r="G110" s="193"/>
      <c r="H110" s="193"/>
      <c r="I110" s="193"/>
    </row>
    <row r="111" spans="1:9" ht="15.75">
      <c r="A111" s="3"/>
    </row>
    <row r="112" spans="1:9" ht="15.75" customHeight="1">
      <c r="B112" s="94" t="s">
        <v>10</v>
      </c>
      <c r="C112" s="194" t="s">
        <v>190</v>
      </c>
      <c r="D112" s="194"/>
      <c r="E112" s="194"/>
      <c r="F112" s="50"/>
      <c r="I112" s="96"/>
    </row>
    <row r="113" spans="1:9" ht="15.75" customHeight="1">
      <c r="A113" s="98"/>
      <c r="C113" s="195" t="s">
        <v>11</v>
      </c>
      <c r="D113" s="195"/>
      <c r="E113" s="195"/>
      <c r="F113" s="16"/>
      <c r="I113" s="93" t="s">
        <v>12</v>
      </c>
    </row>
    <row r="114" spans="1:9" ht="15.75" customHeight="1">
      <c r="A114" s="17"/>
      <c r="C114" s="9"/>
      <c r="D114" s="9"/>
      <c r="G114" s="9"/>
      <c r="H114" s="9"/>
    </row>
    <row r="115" spans="1:9" ht="15.75" customHeight="1">
      <c r="B115" s="94" t="s">
        <v>13</v>
      </c>
      <c r="C115" s="196"/>
      <c r="D115" s="196"/>
      <c r="E115" s="196"/>
      <c r="F115" s="51"/>
      <c r="I115" s="96"/>
    </row>
    <row r="116" spans="1:9">
      <c r="A116" s="98"/>
      <c r="C116" s="197" t="s">
        <v>11</v>
      </c>
      <c r="D116" s="197"/>
      <c r="E116" s="197"/>
      <c r="F116" s="98"/>
      <c r="I116" s="93" t="s">
        <v>12</v>
      </c>
    </row>
    <row r="117" spans="1:9" ht="15.75">
      <c r="A117" s="3" t="s">
        <v>14</v>
      </c>
    </row>
    <row r="118" spans="1:9">
      <c r="A118" s="198" t="s">
        <v>15</v>
      </c>
      <c r="B118" s="198"/>
      <c r="C118" s="198"/>
      <c r="D118" s="198"/>
      <c r="E118" s="198"/>
      <c r="F118" s="198"/>
      <c r="G118" s="198"/>
      <c r="H118" s="198"/>
      <c r="I118" s="198"/>
    </row>
    <row r="119" spans="1:9" ht="45" customHeight="1">
      <c r="A119" s="192" t="s">
        <v>16</v>
      </c>
      <c r="B119" s="192"/>
      <c r="C119" s="192"/>
      <c r="D119" s="192"/>
      <c r="E119" s="192"/>
      <c r="F119" s="192"/>
      <c r="G119" s="192"/>
      <c r="H119" s="192"/>
      <c r="I119" s="192"/>
    </row>
    <row r="120" spans="1:9" ht="30" customHeight="1">
      <c r="A120" s="192" t="s">
        <v>17</v>
      </c>
      <c r="B120" s="192"/>
      <c r="C120" s="192"/>
      <c r="D120" s="192"/>
      <c r="E120" s="192"/>
      <c r="F120" s="192"/>
      <c r="G120" s="192"/>
      <c r="H120" s="192"/>
      <c r="I120" s="192"/>
    </row>
    <row r="121" spans="1:9" ht="30" customHeight="1">
      <c r="A121" s="192" t="s">
        <v>21</v>
      </c>
      <c r="B121" s="192"/>
      <c r="C121" s="192"/>
      <c r="D121" s="192"/>
      <c r="E121" s="192"/>
      <c r="F121" s="192"/>
      <c r="G121" s="192"/>
      <c r="H121" s="192"/>
      <c r="I121" s="192"/>
    </row>
    <row r="122" spans="1:9" ht="15" customHeight="1">
      <c r="A122" s="192" t="s">
        <v>20</v>
      </c>
      <c r="B122" s="192"/>
      <c r="C122" s="192"/>
      <c r="D122" s="192"/>
      <c r="E122" s="192"/>
      <c r="F122" s="192"/>
      <c r="G122" s="192"/>
      <c r="H122" s="192"/>
      <c r="I122" s="192"/>
    </row>
  </sheetData>
  <mergeCells count="28">
    <mergeCell ref="A14:I14"/>
    <mergeCell ref="A3:I3"/>
    <mergeCell ref="A4:I4"/>
    <mergeCell ref="A5:I5"/>
    <mergeCell ref="A8:I8"/>
    <mergeCell ref="A10:I10"/>
    <mergeCell ref="A108:I108"/>
    <mergeCell ref="A15:I15"/>
    <mergeCell ref="A28:I28"/>
    <mergeCell ref="A45:I45"/>
    <mergeCell ref="A57:I57"/>
    <mergeCell ref="A88:I88"/>
    <mergeCell ref="A92:I92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  <rowBreaks count="1" manualBreakCount="1">
    <brk id="10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23"/>
  <sheetViews>
    <sheetView topLeftCell="A50" workbookViewId="0">
      <selection activeCell="B88" sqref="B88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134</v>
      </c>
      <c r="B3" s="214"/>
      <c r="C3" s="214"/>
      <c r="D3" s="214"/>
      <c r="E3" s="214"/>
      <c r="F3" s="214"/>
      <c r="G3" s="214"/>
      <c r="H3" s="214"/>
      <c r="I3" s="214"/>
    </row>
    <row r="4" spans="1:9" ht="31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201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01"/>
      <c r="C6" s="101"/>
      <c r="D6" s="101"/>
      <c r="E6" s="101"/>
      <c r="F6" s="101"/>
      <c r="G6" s="101"/>
      <c r="H6" s="101"/>
      <c r="I6" s="184" t="s">
        <v>202</v>
      </c>
    </row>
    <row r="7" spans="1:9" ht="15.75">
      <c r="B7" s="100"/>
      <c r="C7" s="100"/>
      <c r="D7" s="100"/>
      <c r="E7" s="2"/>
      <c r="F7" s="2"/>
      <c r="G7" s="2"/>
      <c r="H7" s="2"/>
    </row>
    <row r="8" spans="1:9" ht="78.75" customHeight="1">
      <c r="A8" s="217" t="s">
        <v>191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47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 ht="1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5.7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59" t="s">
        <v>105</v>
      </c>
      <c r="C18" s="160" t="s">
        <v>83</v>
      </c>
      <c r="D18" s="159" t="s">
        <v>177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F18/18*G18</f>
        <v>1630.6828800000001</v>
      </c>
    </row>
    <row r="19" spans="1:9" ht="15.75" hidden="1" customHeight="1">
      <c r="A19" s="21"/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.75" customHeight="1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si="1"/>
        <v>9.9076295999999994E-2</v>
      </c>
      <c r="I25" s="10">
        <f>0.0638*G25</f>
        <v>49.538148</v>
      </c>
    </row>
    <row r="26" spans="1:9" ht="15.75" customHeight="1">
      <c r="A26" s="21">
        <v>7</v>
      </c>
      <c r="B26" s="159" t="s">
        <v>169</v>
      </c>
      <c r="C26" s="160" t="s">
        <v>150</v>
      </c>
      <c r="D26" s="159" t="s">
        <v>174</v>
      </c>
      <c r="E26" s="161">
        <v>4.8</v>
      </c>
      <c r="F26" s="162">
        <f>E26*258</f>
        <v>1238.3999999999999</v>
      </c>
      <c r="G26" s="162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customHeight="1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15.75" hidden="1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5.75" hidden="1" customHeight="1">
      <c r="A29" s="21">
        <v>6</v>
      </c>
      <c r="B29" s="54" t="s">
        <v>91</v>
      </c>
      <c r="C29" s="55" t="s">
        <v>85</v>
      </c>
      <c r="D29" s="54" t="s">
        <v>137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2">SUM(F29*G29/1000)</f>
        <v>1.3260959712</v>
      </c>
      <c r="I29" s="10">
        <f>F29/6*G29</f>
        <v>221.01599519999996</v>
      </c>
    </row>
    <row r="30" spans="1:9" ht="31.5" hidden="1" customHeight="1">
      <c r="A30" s="21">
        <v>7</v>
      </c>
      <c r="B30" s="54" t="s">
        <v>132</v>
      </c>
      <c r="C30" s="55" t="s">
        <v>85</v>
      </c>
      <c r="D30" s="54" t="s">
        <v>138</v>
      </c>
      <c r="E30" s="57">
        <v>31.4</v>
      </c>
      <c r="F30" s="57">
        <f>SUM(E30*52/1000)</f>
        <v>1.6328</v>
      </c>
      <c r="G30" s="57">
        <v>339.21</v>
      </c>
      <c r="H30" s="58">
        <f t="shared" si="2"/>
        <v>0.55386208799999992</v>
      </c>
      <c r="I30" s="10">
        <f t="shared" ref="I30:I32" si="3">F30/6*G30</f>
        <v>92.310347999999991</v>
      </c>
    </row>
    <row r="31" spans="1:9" ht="15.75" hidden="1" customHeight="1">
      <c r="A31" s="21"/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2"/>
        <v>0.49396538100000004</v>
      </c>
      <c r="I31" s="10">
        <f t="shared" si="3"/>
        <v>82.327563500000011</v>
      </c>
    </row>
    <row r="32" spans="1:9" ht="15.75" hidden="1" customHeight="1">
      <c r="A32" s="21">
        <v>8</v>
      </c>
      <c r="B32" s="54" t="s">
        <v>90</v>
      </c>
      <c r="C32" s="55" t="s">
        <v>30</v>
      </c>
      <c r="D32" s="54" t="s">
        <v>63</v>
      </c>
      <c r="E32" s="60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2"/>
        <v>3.841416666666666</v>
      </c>
      <c r="I32" s="10">
        <f t="shared" si="3"/>
        <v>640.23611111111109</v>
      </c>
    </row>
    <row r="33" spans="1:9" ht="15.75" hidden="1" customHeight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2"/>
        <v>0.50183999999999995</v>
      </c>
      <c r="I33" s="10">
        <v>0</v>
      </c>
    </row>
    <row r="34" spans="1:9" ht="15.75" hidden="1" customHeight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2"/>
        <v>1.49031</v>
      </c>
      <c r="I34" s="10">
        <v>0</v>
      </c>
    </row>
    <row r="35" spans="1:9" ht="15.75" customHeight="1">
      <c r="A35" s="21"/>
      <c r="B35" s="73" t="s">
        <v>5</v>
      </c>
      <c r="C35" s="55"/>
      <c r="D35" s="54"/>
      <c r="E35" s="56"/>
      <c r="F35" s="57"/>
      <c r="G35" s="57"/>
      <c r="H35" s="58" t="s">
        <v>130</v>
      </c>
      <c r="I35" s="10"/>
    </row>
    <row r="36" spans="1:9" ht="15" customHeight="1">
      <c r="A36" s="21">
        <v>8</v>
      </c>
      <c r="B36" s="54" t="s">
        <v>25</v>
      </c>
      <c r="C36" s="55" t="s">
        <v>31</v>
      </c>
      <c r="D36" s="54" t="s">
        <v>203</v>
      </c>
      <c r="E36" s="56"/>
      <c r="F36" s="57">
        <v>6</v>
      </c>
      <c r="G36" s="177">
        <v>2003</v>
      </c>
      <c r="H36" s="58">
        <f>SUM(F36*G36/1000)</f>
        <v>12.018000000000001</v>
      </c>
      <c r="I36" s="10">
        <f>G36*0.3</f>
        <v>600.9</v>
      </c>
    </row>
    <row r="37" spans="1:9" ht="15.75" customHeight="1">
      <c r="A37" s="21">
        <v>9</v>
      </c>
      <c r="B37" s="172" t="s">
        <v>67</v>
      </c>
      <c r="C37" s="173" t="s">
        <v>28</v>
      </c>
      <c r="D37" s="172" t="s">
        <v>176</v>
      </c>
      <c r="E37" s="174">
        <v>26.07</v>
      </c>
      <c r="F37" s="174">
        <f>SUM(E37*30/1000)</f>
        <v>0.78210000000000002</v>
      </c>
      <c r="G37" s="174">
        <v>2757.78</v>
      </c>
      <c r="H37" s="58">
        <f t="shared" ref="H37:H42" si="4">SUM(F37*G37/1000)</f>
        <v>2.1568597380000001</v>
      </c>
      <c r="I37" s="10">
        <f t="shared" ref="I37:I40" si="5">F37/6*G37</f>
        <v>359.47662300000002</v>
      </c>
    </row>
    <row r="38" spans="1:9" ht="15.75" customHeight="1">
      <c r="A38" s="21">
        <v>10</v>
      </c>
      <c r="B38" s="159" t="s">
        <v>68</v>
      </c>
      <c r="C38" s="160" t="s">
        <v>28</v>
      </c>
      <c r="D38" s="159" t="s">
        <v>175</v>
      </c>
      <c r="E38" s="162">
        <v>31.4</v>
      </c>
      <c r="F38" s="174">
        <f>SUM(E38*155/1000)</f>
        <v>4.867</v>
      </c>
      <c r="G38" s="162">
        <v>460.02</v>
      </c>
      <c r="H38" s="58">
        <f t="shared" si="4"/>
        <v>2.23891734</v>
      </c>
      <c r="I38" s="10">
        <f t="shared" si="5"/>
        <v>373.15289000000001</v>
      </c>
    </row>
    <row r="39" spans="1:9" ht="15.75" hidden="1" customHeight="1">
      <c r="A39" s="21">
        <v>7</v>
      </c>
      <c r="B39" s="159" t="s">
        <v>115</v>
      </c>
      <c r="C39" s="160" t="s">
        <v>55</v>
      </c>
      <c r="D39" s="159" t="s">
        <v>185</v>
      </c>
      <c r="E39" s="166"/>
      <c r="F39" s="174">
        <v>110</v>
      </c>
      <c r="G39" s="162">
        <v>314</v>
      </c>
      <c r="H39" s="58">
        <f t="shared" si="4"/>
        <v>34.54</v>
      </c>
      <c r="I39" s="10">
        <f t="shared" si="5"/>
        <v>5756.6666666666661</v>
      </c>
    </row>
    <row r="40" spans="1:9" ht="47.25" customHeight="1">
      <c r="A40" s="21">
        <v>11</v>
      </c>
      <c r="B40" s="159" t="s">
        <v>80</v>
      </c>
      <c r="C40" s="160" t="s">
        <v>85</v>
      </c>
      <c r="D40" s="159" t="s">
        <v>176</v>
      </c>
      <c r="E40" s="162">
        <v>26.07</v>
      </c>
      <c r="F40" s="174">
        <f>SUM(E40*30/1000)</f>
        <v>0.78210000000000002</v>
      </c>
      <c r="G40" s="162">
        <v>7611.16</v>
      </c>
      <c r="H40" s="58">
        <f t="shared" si="4"/>
        <v>5.9526882360000002</v>
      </c>
      <c r="I40" s="10">
        <f t="shared" si="5"/>
        <v>992.11470599999996</v>
      </c>
    </row>
    <row r="41" spans="1:9" ht="15.75" hidden="1" customHeight="1">
      <c r="A41" s="21">
        <v>8</v>
      </c>
      <c r="B41" s="159" t="s">
        <v>86</v>
      </c>
      <c r="C41" s="160" t="s">
        <v>85</v>
      </c>
      <c r="D41" s="159" t="s">
        <v>177</v>
      </c>
      <c r="E41" s="162">
        <v>26.07</v>
      </c>
      <c r="F41" s="174">
        <f>SUM(E41*24/1000)</f>
        <v>0.62568000000000001</v>
      </c>
      <c r="G41" s="162">
        <v>562.25</v>
      </c>
      <c r="H41" s="58">
        <f t="shared" si="4"/>
        <v>0.35178858000000002</v>
      </c>
      <c r="I41" s="10">
        <f>G41*F41/24*1</f>
        <v>14.6578575</v>
      </c>
    </row>
    <row r="42" spans="1:9" ht="15.75" hidden="1" customHeight="1">
      <c r="A42" s="21">
        <v>9</v>
      </c>
      <c r="B42" s="172" t="s">
        <v>69</v>
      </c>
      <c r="C42" s="173" t="s">
        <v>32</v>
      </c>
      <c r="D42" s="172"/>
      <c r="E42" s="175"/>
      <c r="F42" s="174">
        <v>0.3</v>
      </c>
      <c r="G42" s="174">
        <v>974.83</v>
      </c>
      <c r="H42" s="58">
        <f t="shared" si="4"/>
        <v>0.29244900000000001</v>
      </c>
      <c r="I42" s="10">
        <f>G42*F42/24*1</f>
        <v>12.185375000000001</v>
      </c>
    </row>
    <row r="43" spans="1:9" ht="30" customHeight="1">
      <c r="A43" s="180">
        <v>12</v>
      </c>
      <c r="B43" s="91" t="s">
        <v>166</v>
      </c>
      <c r="C43" s="92" t="s">
        <v>28</v>
      </c>
      <c r="D43" s="172" t="s">
        <v>172</v>
      </c>
      <c r="E43" s="175">
        <v>3</v>
      </c>
      <c r="F43" s="174">
        <f>SUM(E43*12/1000)</f>
        <v>3.5999999999999997E-2</v>
      </c>
      <c r="G43" s="174">
        <v>20547.34</v>
      </c>
      <c r="H43" s="49"/>
      <c r="I43" s="10">
        <f>G43*F43/6*1</f>
        <v>123.28403999999999</v>
      </c>
    </row>
    <row r="44" spans="1:9" ht="15.75" customHeight="1">
      <c r="A44" s="201" t="s">
        <v>124</v>
      </c>
      <c r="B44" s="202"/>
      <c r="C44" s="202"/>
      <c r="D44" s="202"/>
      <c r="E44" s="202"/>
      <c r="F44" s="202"/>
      <c r="G44" s="202"/>
      <c r="H44" s="202"/>
      <c r="I44" s="203"/>
    </row>
    <row r="45" spans="1:9" ht="15.75" hidden="1" customHeight="1">
      <c r="A45" s="21"/>
      <c r="B45" s="54" t="s">
        <v>92</v>
      </c>
      <c r="C45" s="55" t="s">
        <v>85</v>
      </c>
      <c r="D45" s="54" t="s">
        <v>42</v>
      </c>
      <c r="E45" s="56">
        <v>1109.4000000000001</v>
      </c>
      <c r="F45" s="57">
        <f>SUM(E45*2/1000)</f>
        <v>2.2188000000000003</v>
      </c>
      <c r="G45" s="10">
        <v>1172.4100000000001</v>
      </c>
      <c r="H45" s="58">
        <f t="shared" ref="H45:H55" si="6">SUM(F45*G45/1000)</f>
        <v>2.6013433080000006</v>
      </c>
      <c r="I45" s="10">
        <v>0</v>
      </c>
    </row>
    <row r="46" spans="1:9" ht="15.75" hidden="1" customHeight="1">
      <c r="A46" s="21"/>
      <c r="B46" s="54" t="s">
        <v>35</v>
      </c>
      <c r="C46" s="55" t="s">
        <v>85</v>
      </c>
      <c r="D46" s="54" t="s">
        <v>42</v>
      </c>
      <c r="E46" s="56">
        <v>66</v>
      </c>
      <c r="F46" s="57">
        <f>SUM(E46*2/1000)</f>
        <v>0.13200000000000001</v>
      </c>
      <c r="G46" s="10">
        <v>4419.05</v>
      </c>
      <c r="H46" s="58">
        <f t="shared" si="6"/>
        <v>0.58331460000000002</v>
      </c>
      <c r="I46" s="10">
        <v>0</v>
      </c>
    </row>
    <row r="47" spans="1:9" ht="15.75" hidden="1" customHeight="1">
      <c r="A47" s="21"/>
      <c r="B47" s="54" t="s">
        <v>36</v>
      </c>
      <c r="C47" s="55" t="s">
        <v>85</v>
      </c>
      <c r="D47" s="54" t="s">
        <v>42</v>
      </c>
      <c r="E47" s="56">
        <v>1563.2750000000001</v>
      </c>
      <c r="F47" s="57">
        <f>SUM(E47*2/1000)</f>
        <v>3.1265500000000004</v>
      </c>
      <c r="G47" s="10">
        <v>1803.69</v>
      </c>
      <c r="H47" s="58">
        <f t="shared" si="6"/>
        <v>5.6393269695000008</v>
      </c>
      <c r="I47" s="10">
        <v>0</v>
      </c>
    </row>
    <row r="48" spans="1:9" ht="15.75" hidden="1" customHeight="1">
      <c r="A48" s="21"/>
      <c r="B48" s="54" t="s">
        <v>37</v>
      </c>
      <c r="C48" s="55" t="s">
        <v>85</v>
      </c>
      <c r="D48" s="54" t="s">
        <v>42</v>
      </c>
      <c r="E48" s="56">
        <v>1619.6</v>
      </c>
      <c r="F48" s="57">
        <f>SUM(E48*2/1000)</f>
        <v>3.2391999999999999</v>
      </c>
      <c r="G48" s="10">
        <v>1243.43</v>
      </c>
      <c r="H48" s="58">
        <f t="shared" si="6"/>
        <v>4.0277184559999997</v>
      </c>
      <c r="I48" s="10">
        <v>0</v>
      </c>
    </row>
    <row r="49" spans="1:9" ht="15.75" hidden="1" customHeight="1">
      <c r="A49" s="21"/>
      <c r="B49" s="54" t="s">
        <v>33</v>
      </c>
      <c r="C49" s="55" t="s">
        <v>34</v>
      </c>
      <c r="D49" s="54" t="s">
        <v>42</v>
      </c>
      <c r="E49" s="56">
        <v>85.84</v>
      </c>
      <c r="F49" s="57">
        <f>SUM(E49*2/100)</f>
        <v>1.7168000000000001</v>
      </c>
      <c r="G49" s="10">
        <v>1352.76</v>
      </c>
      <c r="H49" s="58">
        <f t="shared" si="6"/>
        <v>2.3224183680000001</v>
      </c>
      <c r="I49" s="10">
        <v>0</v>
      </c>
    </row>
    <row r="50" spans="1:9" ht="15.75" customHeight="1">
      <c r="A50" s="21">
        <v>13</v>
      </c>
      <c r="B50" s="54" t="s">
        <v>56</v>
      </c>
      <c r="C50" s="55" t="s">
        <v>85</v>
      </c>
      <c r="D50" s="54" t="s">
        <v>177</v>
      </c>
      <c r="E50" s="178">
        <v>887.5</v>
      </c>
      <c r="F50" s="177">
        <f>SUM(E50*5/1000)</f>
        <v>4.4375</v>
      </c>
      <c r="G50" s="151">
        <v>1809.27</v>
      </c>
      <c r="H50" s="58">
        <f t="shared" ref="H50" si="7">SUM(F50*G50/1000)</f>
        <v>8.0286356249999997</v>
      </c>
      <c r="I50" s="10">
        <f>F50/5*G50</f>
        <v>1605.7271249999999</v>
      </c>
    </row>
    <row r="51" spans="1:9" ht="31.5" hidden="1" customHeight="1">
      <c r="A51" s="21">
        <v>9</v>
      </c>
      <c r="B51" s="54" t="s">
        <v>87</v>
      </c>
      <c r="C51" s="55" t="s">
        <v>85</v>
      </c>
      <c r="D51" s="54" t="s">
        <v>42</v>
      </c>
      <c r="E51" s="56">
        <v>2579.4</v>
      </c>
      <c r="F51" s="57">
        <f>SUM(E51*2/1000)</f>
        <v>5.1588000000000003</v>
      </c>
      <c r="G51" s="10">
        <v>1591.6</v>
      </c>
      <c r="H51" s="58">
        <f t="shared" si="6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4" t="s">
        <v>88</v>
      </c>
      <c r="C52" s="55" t="s">
        <v>38</v>
      </c>
      <c r="D52" s="54" t="s">
        <v>42</v>
      </c>
      <c r="E52" s="56">
        <v>20</v>
      </c>
      <c r="F52" s="57">
        <f>SUM(E52*2/100)</f>
        <v>0.4</v>
      </c>
      <c r="G52" s="10">
        <v>4058.32</v>
      </c>
      <c r="H52" s="58">
        <f t="shared" si="6"/>
        <v>1.6233280000000001</v>
      </c>
      <c r="I52" s="10">
        <f t="shared" ref="I52:I53" si="8">F52/2*G52</f>
        <v>811.6640000000001</v>
      </c>
    </row>
    <row r="53" spans="1:9" ht="15.75" hidden="1" customHeight="1">
      <c r="A53" s="21">
        <v>11</v>
      </c>
      <c r="B53" s="54" t="s">
        <v>39</v>
      </c>
      <c r="C53" s="55" t="s">
        <v>40</v>
      </c>
      <c r="D53" s="54" t="s">
        <v>42</v>
      </c>
      <c r="E53" s="56">
        <v>1</v>
      </c>
      <c r="F53" s="57">
        <v>0.02</v>
      </c>
      <c r="G53" s="10">
        <v>7412.92</v>
      </c>
      <c r="H53" s="58">
        <f t="shared" si="6"/>
        <v>0.14825839999999998</v>
      </c>
      <c r="I53" s="10">
        <f t="shared" si="8"/>
        <v>74.129199999999997</v>
      </c>
    </row>
    <row r="54" spans="1:9" ht="15.75" hidden="1" customHeight="1">
      <c r="A54" s="21">
        <v>14</v>
      </c>
      <c r="B54" s="54" t="s">
        <v>98</v>
      </c>
      <c r="C54" s="55" t="s">
        <v>93</v>
      </c>
      <c r="D54" s="54" t="s">
        <v>70</v>
      </c>
      <c r="E54" s="56">
        <v>62</v>
      </c>
      <c r="F54" s="57">
        <f>SUM(E54*3)</f>
        <v>186</v>
      </c>
      <c r="G54" s="10">
        <v>185.08</v>
      </c>
      <c r="H54" s="58">
        <f t="shared" si="6"/>
        <v>34.424880000000002</v>
      </c>
      <c r="I54" s="10">
        <f>F54/3*G54</f>
        <v>11474.960000000001</v>
      </c>
    </row>
    <row r="55" spans="1:9" ht="15.75" hidden="1" customHeight="1">
      <c r="A55" s="75">
        <v>15</v>
      </c>
      <c r="B55" s="63" t="s">
        <v>41</v>
      </c>
      <c r="C55" s="62" t="s">
        <v>93</v>
      </c>
      <c r="D55" s="63" t="s">
        <v>70</v>
      </c>
      <c r="E55" s="64">
        <v>124</v>
      </c>
      <c r="F55" s="65">
        <f>SUM(E55)*3</f>
        <v>372</v>
      </c>
      <c r="G55" s="76">
        <v>86.15</v>
      </c>
      <c r="H55" s="66">
        <f t="shared" si="6"/>
        <v>32.047800000000002</v>
      </c>
      <c r="I55" s="10">
        <f>F55/3*G55</f>
        <v>10682.6</v>
      </c>
    </row>
    <row r="56" spans="1:9" ht="15.75" customHeight="1">
      <c r="A56" s="204" t="s">
        <v>125</v>
      </c>
      <c r="B56" s="205"/>
      <c r="C56" s="205"/>
      <c r="D56" s="205"/>
      <c r="E56" s="205"/>
      <c r="F56" s="205"/>
      <c r="G56" s="205"/>
      <c r="H56" s="205"/>
      <c r="I56" s="206"/>
    </row>
    <row r="57" spans="1:9" ht="15.75" customHeight="1">
      <c r="A57" s="77"/>
      <c r="B57" s="78" t="s">
        <v>43</v>
      </c>
      <c r="C57" s="79"/>
      <c r="D57" s="80"/>
      <c r="E57" s="81"/>
      <c r="F57" s="82"/>
      <c r="G57" s="82"/>
      <c r="H57" s="83"/>
      <c r="I57" s="84"/>
    </row>
    <row r="58" spans="1:9" ht="31.5" customHeight="1">
      <c r="A58" s="21">
        <v>14</v>
      </c>
      <c r="B58" s="54" t="s">
        <v>101</v>
      </c>
      <c r="C58" s="55" t="s">
        <v>83</v>
      </c>
      <c r="D58" s="54"/>
      <c r="E58" s="56">
        <v>126.94</v>
      </c>
      <c r="F58" s="57">
        <f>SUM(E58*6/100)</f>
        <v>7.6163999999999996</v>
      </c>
      <c r="G58" s="151">
        <v>2306.83</v>
      </c>
      <c r="H58" s="58">
        <f>SUM(F58*G58/1000)</f>
        <v>17.569740011999997</v>
      </c>
      <c r="I58" s="10">
        <f>G58*1.06</f>
        <v>2445.2397999999998</v>
      </c>
    </row>
    <row r="59" spans="1:9" ht="31.5" customHeight="1">
      <c r="A59" s="21">
        <v>15</v>
      </c>
      <c r="B59" s="54" t="s">
        <v>77</v>
      </c>
      <c r="C59" s="55" t="s">
        <v>83</v>
      </c>
      <c r="D59" s="54" t="s">
        <v>173</v>
      </c>
      <c r="E59" s="15">
        <v>19.899999999999999</v>
      </c>
      <c r="F59" s="57">
        <f>SUM(E59*6/100)</f>
        <v>1.194</v>
      </c>
      <c r="G59" s="179">
        <v>2306.83</v>
      </c>
      <c r="H59" s="58">
        <f t="shared" ref="H59" si="9">SUM(F59*G59/1000)</f>
        <v>2.7543550199999998</v>
      </c>
      <c r="I59" s="10">
        <f t="shared" ref="I59" si="10">F59/6*G59</f>
        <v>459.05916999999994</v>
      </c>
    </row>
    <row r="60" spans="1:9" ht="15.75" customHeight="1">
      <c r="A60" s="21">
        <v>16</v>
      </c>
      <c r="B60" s="63" t="s">
        <v>121</v>
      </c>
      <c r="C60" s="62" t="s">
        <v>122</v>
      </c>
      <c r="D60" s="63" t="s">
        <v>204</v>
      </c>
      <c r="E60" s="85"/>
      <c r="F60" s="65">
        <v>3</v>
      </c>
      <c r="G60" s="179">
        <v>1800</v>
      </c>
      <c r="H60" s="58">
        <f t="shared" ref="H60" si="11">SUM(F60*G60/1000)</f>
        <v>5.4</v>
      </c>
      <c r="I60" s="10">
        <f>G60*1.5</f>
        <v>2700</v>
      </c>
    </row>
    <row r="61" spans="1:9" ht="23.25" customHeight="1">
      <c r="A61" s="21"/>
      <c r="B61" s="74" t="s">
        <v>44</v>
      </c>
      <c r="C61" s="62"/>
      <c r="D61" s="63"/>
      <c r="E61" s="64"/>
      <c r="F61" s="65"/>
      <c r="G61" s="49"/>
      <c r="H61" s="66"/>
      <c r="I61" s="84"/>
    </row>
    <row r="62" spans="1:9" ht="23.25" hidden="1" customHeight="1">
      <c r="A62" s="21"/>
      <c r="B62" s="63" t="s">
        <v>45</v>
      </c>
      <c r="C62" s="62" t="s">
        <v>83</v>
      </c>
      <c r="D62" s="63" t="s">
        <v>54</v>
      </c>
      <c r="E62" s="64">
        <v>450</v>
      </c>
      <c r="F62" s="57">
        <f>SUM(E62/100)</f>
        <v>4.5</v>
      </c>
      <c r="G62" s="10">
        <v>1040.8399999999999</v>
      </c>
      <c r="H62" s="67">
        <v>7.6349999999999998</v>
      </c>
      <c r="I62" s="10">
        <v>0</v>
      </c>
    </row>
    <row r="63" spans="1:9" ht="16.5" customHeight="1">
      <c r="A63" s="21">
        <v>17</v>
      </c>
      <c r="B63" s="149" t="s">
        <v>188</v>
      </c>
      <c r="C63" s="150" t="s">
        <v>150</v>
      </c>
      <c r="D63" s="149" t="s">
        <v>177</v>
      </c>
      <c r="E63" s="170">
        <v>48</v>
      </c>
      <c r="F63" s="171">
        <v>576</v>
      </c>
      <c r="G63" s="26">
        <v>1.4</v>
      </c>
      <c r="H63" s="67"/>
      <c r="I63" s="10">
        <f>G63*F63/12</f>
        <v>67.2</v>
      </c>
    </row>
    <row r="64" spans="1:9" ht="20.25" hidden="1" customHeight="1">
      <c r="A64" s="21"/>
      <c r="B64" s="74" t="s">
        <v>46</v>
      </c>
      <c r="C64" s="62"/>
      <c r="D64" s="63"/>
      <c r="E64" s="64"/>
      <c r="F64" s="65"/>
      <c r="G64" s="68"/>
      <c r="H64" s="66" t="s">
        <v>130</v>
      </c>
      <c r="I64" s="10"/>
    </row>
    <row r="65" spans="1:9" ht="18.75" hidden="1" customHeight="1">
      <c r="A65" s="21">
        <v>16</v>
      </c>
      <c r="B65" s="11" t="s">
        <v>47</v>
      </c>
      <c r="C65" s="13" t="s">
        <v>93</v>
      </c>
      <c r="D65" s="11" t="s">
        <v>66</v>
      </c>
      <c r="E65" s="15">
        <v>5</v>
      </c>
      <c r="F65" s="57">
        <f>E65</f>
        <v>5</v>
      </c>
      <c r="G65" s="10">
        <v>291.68</v>
      </c>
      <c r="H65" s="53">
        <f t="shared" ref="H65:H72" si="12">SUM(F65*G65/1000)</f>
        <v>1.4584000000000001</v>
      </c>
      <c r="I65" s="10">
        <f>G65</f>
        <v>291.68</v>
      </c>
    </row>
    <row r="66" spans="1:9" ht="21.75" hidden="1" customHeight="1">
      <c r="A66" s="21"/>
      <c r="B66" s="11" t="s">
        <v>48</v>
      </c>
      <c r="C66" s="13" t="s">
        <v>93</v>
      </c>
      <c r="D66" s="11" t="s">
        <v>66</v>
      </c>
      <c r="E66" s="15">
        <v>2</v>
      </c>
      <c r="F66" s="57">
        <f>E66</f>
        <v>2</v>
      </c>
      <c r="G66" s="10">
        <v>100.01</v>
      </c>
      <c r="H66" s="53">
        <f t="shared" si="12"/>
        <v>0.20002</v>
      </c>
      <c r="I66" s="10">
        <v>0</v>
      </c>
    </row>
    <row r="67" spans="1:9" ht="24" hidden="1" customHeight="1">
      <c r="A67" s="21"/>
      <c r="B67" s="11" t="s">
        <v>49</v>
      </c>
      <c r="C67" s="13" t="s">
        <v>94</v>
      </c>
      <c r="D67" s="11" t="s">
        <v>54</v>
      </c>
      <c r="E67" s="56">
        <v>13313</v>
      </c>
      <c r="F67" s="10">
        <f>SUM(E67/100)</f>
        <v>133.13</v>
      </c>
      <c r="G67" s="10">
        <v>278.24</v>
      </c>
      <c r="H67" s="53">
        <f t="shared" si="12"/>
        <v>37.042091200000002</v>
      </c>
      <c r="I67" s="10">
        <v>0</v>
      </c>
    </row>
    <row r="68" spans="1:9" ht="21.75" hidden="1" customHeight="1">
      <c r="A68" s="21"/>
      <c r="B68" s="11" t="s">
        <v>50</v>
      </c>
      <c r="C68" s="13" t="s">
        <v>95</v>
      </c>
      <c r="D68" s="11"/>
      <c r="E68" s="56">
        <v>13313</v>
      </c>
      <c r="F68" s="10">
        <f>SUM(E68/1000)</f>
        <v>13.313000000000001</v>
      </c>
      <c r="G68" s="10">
        <v>216.68</v>
      </c>
      <c r="H68" s="53">
        <f t="shared" si="12"/>
        <v>2.88466084</v>
      </c>
      <c r="I68" s="10">
        <v>0</v>
      </c>
    </row>
    <row r="69" spans="1:9" ht="19.5" hidden="1" customHeight="1">
      <c r="A69" s="21"/>
      <c r="B69" s="11" t="s">
        <v>51</v>
      </c>
      <c r="C69" s="13" t="s">
        <v>75</v>
      </c>
      <c r="D69" s="11" t="s">
        <v>54</v>
      </c>
      <c r="E69" s="56">
        <v>2184</v>
      </c>
      <c r="F69" s="10">
        <f>SUM(E69/100)</f>
        <v>21.84</v>
      </c>
      <c r="G69" s="10">
        <v>2720.94</v>
      </c>
      <c r="H69" s="53">
        <f t="shared" si="12"/>
        <v>59.425329599999998</v>
      </c>
      <c r="I69" s="10">
        <v>0</v>
      </c>
    </row>
    <row r="70" spans="1:9" ht="19.5" hidden="1" customHeight="1">
      <c r="A70" s="21"/>
      <c r="B70" s="69" t="s">
        <v>96</v>
      </c>
      <c r="C70" s="13" t="s">
        <v>32</v>
      </c>
      <c r="D70" s="11"/>
      <c r="E70" s="56">
        <v>12.2</v>
      </c>
      <c r="F70" s="10">
        <f>SUM(E70)</f>
        <v>12.2</v>
      </c>
      <c r="G70" s="10">
        <v>42.61</v>
      </c>
      <c r="H70" s="53">
        <f t="shared" si="12"/>
        <v>0.51984200000000003</v>
      </c>
      <c r="I70" s="10">
        <v>0</v>
      </c>
    </row>
    <row r="71" spans="1:9" ht="15" hidden="1" customHeight="1">
      <c r="A71" s="21"/>
      <c r="B71" s="69" t="s">
        <v>131</v>
      </c>
      <c r="C71" s="13" t="s">
        <v>32</v>
      </c>
      <c r="D71" s="11"/>
      <c r="E71" s="56">
        <v>12.2</v>
      </c>
      <c r="F71" s="10">
        <f>SUM(E71)</f>
        <v>12.2</v>
      </c>
      <c r="G71" s="10">
        <v>46.04</v>
      </c>
      <c r="H71" s="53">
        <f t="shared" si="12"/>
        <v>0.56168799999999997</v>
      </c>
      <c r="I71" s="10">
        <v>0</v>
      </c>
    </row>
    <row r="72" spans="1:9" ht="16.5" hidden="1" customHeight="1">
      <c r="A72" s="21"/>
      <c r="B72" s="11" t="s">
        <v>57</v>
      </c>
      <c r="C72" s="13" t="s">
        <v>58</v>
      </c>
      <c r="D72" s="11" t="s">
        <v>54</v>
      </c>
      <c r="E72" s="15">
        <v>3</v>
      </c>
      <c r="F72" s="57">
        <v>3</v>
      </c>
      <c r="G72" s="10">
        <v>65.42</v>
      </c>
      <c r="H72" s="53">
        <f t="shared" si="12"/>
        <v>0.19625999999999999</v>
      </c>
      <c r="I72" s="10">
        <v>0</v>
      </c>
    </row>
    <row r="73" spans="1:9" ht="15" customHeight="1">
      <c r="A73" s="21"/>
      <c r="B73" s="103" t="s">
        <v>71</v>
      </c>
      <c r="C73" s="13"/>
      <c r="D73" s="11"/>
      <c r="E73" s="15"/>
      <c r="F73" s="10"/>
      <c r="G73" s="10"/>
      <c r="H73" s="53" t="s">
        <v>130</v>
      </c>
      <c r="I73" s="10"/>
    </row>
    <row r="74" spans="1:9" ht="24.75" hidden="1" customHeight="1">
      <c r="A74" s="21"/>
      <c r="B74" s="11" t="s">
        <v>117</v>
      </c>
      <c r="C74" s="13" t="s">
        <v>93</v>
      </c>
      <c r="D74" s="11" t="s">
        <v>66</v>
      </c>
      <c r="E74" s="15">
        <v>1</v>
      </c>
      <c r="F74" s="10">
        <v>1</v>
      </c>
      <c r="G74" s="10">
        <v>1029.1199999999999</v>
      </c>
      <c r="H74" s="53">
        <f t="shared" ref="H74:H77" si="13">SUM(F74*G74/1000)</f>
        <v>1.0291199999999998</v>
      </c>
      <c r="I74" s="10">
        <v>0</v>
      </c>
    </row>
    <row r="75" spans="1:9" ht="24.75" hidden="1" customHeight="1">
      <c r="A75" s="21"/>
      <c r="B75" s="11" t="s">
        <v>118</v>
      </c>
      <c r="C75" s="13" t="s">
        <v>119</v>
      </c>
      <c r="D75" s="11"/>
      <c r="E75" s="15">
        <v>1</v>
      </c>
      <c r="F75" s="10">
        <f>E75</f>
        <v>1</v>
      </c>
      <c r="G75" s="10">
        <v>735</v>
      </c>
      <c r="H75" s="53">
        <f t="shared" si="13"/>
        <v>0.73499999999999999</v>
      </c>
      <c r="I75" s="10">
        <v>0</v>
      </c>
    </row>
    <row r="76" spans="1:9" ht="21" hidden="1" customHeight="1">
      <c r="A76" s="21"/>
      <c r="B76" s="11" t="s">
        <v>72</v>
      </c>
      <c r="C76" s="13" t="s">
        <v>73</v>
      </c>
      <c r="D76" s="11" t="s">
        <v>66</v>
      </c>
      <c r="E76" s="15">
        <v>3</v>
      </c>
      <c r="F76" s="10">
        <v>0.2</v>
      </c>
      <c r="G76" s="10">
        <v>657.87</v>
      </c>
      <c r="H76" s="53">
        <f t="shared" si="13"/>
        <v>0.13157400000000002</v>
      </c>
      <c r="I76" s="10">
        <v>0</v>
      </c>
    </row>
    <row r="77" spans="1:9" ht="15" hidden="1" customHeight="1">
      <c r="A77" s="21"/>
      <c r="B77" s="11" t="s">
        <v>120</v>
      </c>
      <c r="C77" s="13" t="s">
        <v>93</v>
      </c>
      <c r="D77" s="11" t="s">
        <v>66</v>
      </c>
      <c r="E77" s="15">
        <v>1</v>
      </c>
      <c r="F77" s="57">
        <f>SUM(E77)</f>
        <v>1</v>
      </c>
      <c r="G77" s="10">
        <v>1118.72</v>
      </c>
      <c r="H77" s="53">
        <f t="shared" si="13"/>
        <v>1.1187199999999999</v>
      </c>
      <c r="I77" s="10">
        <v>0</v>
      </c>
    </row>
    <row r="78" spans="1:9" ht="16.5" hidden="1" customHeight="1">
      <c r="A78" s="21"/>
      <c r="B78" s="39" t="s">
        <v>140</v>
      </c>
      <c r="C78" s="40" t="s">
        <v>93</v>
      </c>
      <c r="D78" s="11" t="s">
        <v>66</v>
      </c>
      <c r="E78" s="15">
        <v>1</v>
      </c>
      <c r="F78" s="49">
        <v>1</v>
      </c>
      <c r="G78" s="10">
        <v>1605.83</v>
      </c>
      <c r="H78" s="53">
        <f>SUM(F78*G78/1000)</f>
        <v>1.6058299999999999</v>
      </c>
      <c r="I78" s="10">
        <v>0</v>
      </c>
    </row>
    <row r="79" spans="1:9" ht="29.25" customHeight="1">
      <c r="A79" s="21">
        <v>18</v>
      </c>
      <c r="B79" s="91" t="s">
        <v>141</v>
      </c>
      <c r="C79" s="92" t="s">
        <v>93</v>
      </c>
      <c r="D79" s="152" t="s">
        <v>173</v>
      </c>
      <c r="E79" s="14">
        <v>2</v>
      </c>
      <c r="F79" s="162">
        <f>E79*12</f>
        <v>24</v>
      </c>
      <c r="G79" s="26">
        <v>425</v>
      </c>
      <c r="H79" s="53">
        <f t="shared" ref="H79" si="14">SUM(F79*G79/1000)</f>
        <v>10.199999999999999</v>
      </c>
      <c r="I79" s="10">
        <f>G79*2</f>
        <v>850</v>
      </c>
    </row>
    <row r="80" spans="1:9" ht="24" hidden="1" customHeight="1">
      <c r="A80" s="21"/>
      <c r="B80" s="71" t="s">
        <v>74</v>
      </c>
      <c r="C80" s="13"/>
      <c r="D80" s="11"/>
      <c r="E80" s="15"/>
      <c r="F80" s="10"/>
      <c r="G80" s="10" t="s">
        <v>130</v>
      </c>
      <c r="H80" s="53" t="s">
        <v>130</v>
      </c>
      <c r="I80" s="10"/>
    </row>
    <row r="81" spans="1:9" ht="24" hidden="1" customHeight="1">
      <c r="A81" s="21"/>
      <c r="B81" s="35" t="s">
        <v>99</v>
      </c>
      <c r="C81" s="13" t="s">
        <v>75</v>
      </c>
      <c r="D81" s="11"/>
      <c r="E81" s="15"/>
      <c r="F81" s="10">
        <v>0.1</v>
      </c>
      <c r="G81" s="10">
        <v>2949.85</v>
      </c>
      <c r="H81" s="53">
        <f t="shared" ref="H81" si="15">SUM(F81*G81/1000)</f>
        <v>0.294985</v>
      </c>
      <c r="I81" s="10">
        <v>0</v>
      </c>
    </row>
    <row r="82" spans="1:9" ht="15.75" customHeight="1">
      <c r="A82" s="21"/>
      <c r="B82" s="86" t="s">
        <v>142</v>
      </c>
      <c r="C82" s="40"/>
      <c r="D82" s="11"/>
      <c r="E82" s="15"/>
      <c r="F82" s="49"/>
      <c r="G82" s="10"/>
      <c r="H82" s="53"/>
      <c r="I82" s="10"/>
    </row>
    <row r="83" spans="1:9" ht="15.75" customHeight="1">
      <c r="A83" s="21">
        <v>19</v>
      </c>
      <c r="B83" s="152" t="s">
        <v>143</v>
      </c>
      <c r="C83" s="28" t="s">
        <v>144</v>
      </c>
      <c r="D83" s="152"/>
      <c r="E83" s="14">
        <v>3227.7</v>
      </c>
      <c r="F83" s="26">
        <f>SUM(E83*12)</f>
        <v>38732.399999999994</v>
      </c>
      <c r="G83" s="26">
        <v>2.6</v>
      </c>
      <c r="H83" s="53">
        <f t="shared" ref="H83" si="16">SUM(F83*G83/1000)</f>
        <v>100.70423999999998</v>
      </c>
      <c r="I83" s="10">
        <f>F83/12*G83</f>
        <v>8392.0199999999986</v>
      </c>
    </row>
    <row r="84" spans="1:9" ht="15.75" hidden="1" customHeight="1">
      <c r="A84" s="21"/>
      <c r="B84" s="103" t="s">
        <v>89</v>
      </c>
      <c r="C84" s="71"/>
      <c r="D84" s="23"/>
      <c r="E84" s="24"/>
      <c r="F84" s="59"/>
      <c r="G84" s="59"/>
      <c r="H84" s="72">
        <f>SUM(H58:H81)</f>
        <v>150.76261567200001</v>
      </c>
      <c r="I84" s="59"/>
    </row>
    <row r="85" spans="1:9" ht="15.75" hidden="1" customHeight="1">
      <c r="A85" s="21"/>
      <c r="B85" s="11" t="s">
        <v>145</v>
      </c>
      <c r="C85" s="13"/>
      <c r="D85" s="11"/>
      <c r="E85" s="11"/>
      <c r="F85" s="10">
        <v>1</v>
      </c>
      <c r="G85" s="10">
        <v>20408</v>
      </c>
      <c r="H85" s="53">
        <f>G85*F85/1000</f>
        <v>20.408000000000001</v>
      </c>
      <c r="I85" s="10">
        <v>0</v>
      </c>
    </row>
    <row r="86" spans="1:9" ht="15.75" hidden="1" customHeight="1">
      <c r="A86" s="21"/>
      <c r="B86" s="11" t="s">
        <v>146</v>
      </c>
      <c r="C86" s="13"/>
      <c r="D86" s="11"/>
      <c r="E86" s="11"/>
      <c r="F86" s="10">
        <v>62</v>
      </c>
      <c r="G86" s="10">
        <v>700</v>
      </c>
      <c r="H86" s="53">
        <f t="shared" ref="H86" si="17">G86*F86/1000</f>
        <v>43.4</v>
      </c>
      <c r="I86" s="10">
        <v>0</v>
      </c>
    </row>
    <row r="87" spans="1:9" ht="15.75" customHeight="1">
      <c r="A87" s="201" t="s">
        <v>126</v>
      </c>
      <c r="B87" s="202"/>
      <c r="C87" s="202"/>
      <c r="D87" s="202"/>
      <c r="E87" s="202"/>
      <c r="F87" s="202"/>
      <c r="G87" s="202"/>
      <c r="H87" s="202"/>
      <c r="I87" s="203"/>
    </row>
    <row r="88" spans="1:9" ht="15.75" customHeight="1">
      <c r="A88" s="21">
        <v>20</v>
      </c>
      <c r="B88" s="159" t="s">
        <v>97</v>
      </c>
      <c r="C88" s="153" t="s">
        <v>55</v>
      </c>
      <c r="D88" s="38"/>
      <c r="E88" s="26">
        <v>3227.7</v>
      </c>
      <c r="F88" s="26">
        <f>SUM(E88*12)</f>
        <v>38732.399999999994</v>
      </c>
      <c r="G88" s="26">
        <v>3.5</v>
      </c>
      <c r="H88" s="53">
        <f t="shared" ref="H88" si="18">G88*F88/1000</f>
        <v>135.56339999999997</v>
      </c>
      <c r="I88" s="10">
        <f>F88/12*G88</f>
        <v>11296.949999999997</v>
      </c>
    </row>
    <row r="89" spans="1:9" ht="31.5" customHeight="1">
      <c r="A89" s="21">
        <v>21</v>
      </c>
      <c r="B89" s="152" t="s">
        <v>186</v>
      </c>
      <c r="C89" s="153" t="s">
        <v>150</v>
      </c>
      <c r="D89" s="90"/>
      <c r="E89" s="166">
        <f>E88</f>
        <v>3227.7</v>
      </c>
      <c r="F89" s="26">
        <f>E89*12</f>
        <v>38732.399999999994</v>
      </c>
      <c r="G89" s="26">
        <v>3.2</v>
      </c>
      <c r="H89" s="53">
        <f>F89*G89/1000</f>
        <v>123.94367999999999</v>
      </c>
      <c r="I89" s="10">
        <f>F89/12*G89</f>
        <v>10328.64</v>
      </c>
    </row>
    <row r="90" spans="1:9" ht="15.75" customHeight="1">
      <c r="A90" s="21"/>
      <c r="B90" s="27" t="s">
        <v>78</v>
      </c>
      <c r="C90" s="71"/>
      <c r="D90" s="70"/>
      <c r="E90" s="59"/>
      <c r="F90" s="59"/>
      <c r="G90" s="59"/>
      <c r="H90" s="72">
        <f>SUM(H89)</f>
        <v>123.94367999999999</v>
      </c>
      <c r="I90" s="59">
        <f>I89+I88+I83+I79+I63+I60+I59+I58+I50+I43+I40+I38+I37+I36+I26+I24+I21+I20+I18+I17+I16</f>
        <v>48885.350204999995</v>
      </c>
    </row>
    <row r="91" spans="1:9" ht="15.75" customHeight="1">
      <c r="A91" s="207" t="s">
        <v>60</v>
      </c>
      <c r="B91" s="208"/>
      <c r="C91" s="208"/>
      <c r="D91" s="208"/>
      <c r="E91" s="208"/>
      <c r="F91" s="208"/>
      <c r="G91" s="208"/>
      <c r="H91" s="208"/>
      <c r="I91" s="209"/>
    </row>
    <row r="92" spans="1:9" ht="15.75" customHeight="1">
      <c r="A92" s="21">
        <v>22</v>
      </c>
      <c r="B92" s="91" t="s">
        <v>79</v>
      </c>
      <c r="C92" s="92" t="s">
        <v>93</v>
      </c>
      <c r="D92" s="90"/>
      <c r="E92" s="26"/>
      <c r="F92" s="26">
        <v>3</v>
      </c>
      <c r="G92" s="26">
        <v>224.48</v>
      </c>
      <c r="H92" s="10"/>
      <c r="I92" s="10">
        <f>G92*1</f>
        <v>224.48</v>
      </c>
    </row>
    <row r="93" spans="1:9" ht="32.25" customHeight="1">
      <c r="A93" s="21">
        <v>23</v>
      </c>
      <c r="B93" s="91" t="s">
        <v>205</v>
      </c>
      <c r="C93" s="92" t="s">
        <v>206</v>
      </c>
      <c r="D93" s="90"/>
      <c r="E93" s="26"/>
      <c r="F93" s="26">
        <v>1</v>
      </c>
      <c r="G93" s="26">
        <v>113.47</v>
      </c>
      <c r="H93" s="10"/>
      <c r="I93" s="10">
        <f>G93*1</f>
        <v>113.47</v>
      </c>
    </row>
    <row r="94" spans="1:9" ht="18" customHeight="1">
      <c r="A94" s="21">
        <v>24</v>
      </c>
      <c r="B94" s="91" t="s">
        <v>207</v>
      </c>
      <c r="C94" s="92" t="s">
        <v>30</v>
      </c>
      <c r="D94" s="90" t="s">
        <v>209</v>
      </c>
      <c r="E94" s="26"/>
      <c r="F94" s="26">
        <v>4</v>
      </c>
      <c r="G94" s="26">
        <v>1500</v>
      </c>
      <c r="H94" s="89"/>
      <c r="I94" s="10">
        <f>G94*4</f>
        <v>6000</v>
      </c>
    </row>
    <row r="95" spans="1:9" ht="18" customHeight="1">
      <c r="A95" s="21">
        <v>25</v>
      </c>
      <c r="B95" s="41" t="s">
        <v>208</v>
      </c>
      <c r="C95" s="42" t="s">
        <v>93</v>
      </c>
      <c r="D95" s="90" t="s">
        <v>211</v>
      </c>
      <c r="E95" s="26"/>
      <c r="F95" s="26">
        <v>1</v>
      </c>
      <c r="G95" s="26">
        <v>368.33</v>
      </c>
      <c r="H95" s="89"/>
      <c r="I95" s="10">
        <f>G95*1</f>
        <v>368.33</v>
      </c>
    </row>
    <row r="96" spans="1:9" ht="18" hidden="1" customHeight="1">
      <c r="A96" s="21">
        <v>20</v>
      </c>
      <c r="B96" s="91"/>
      <c r="C96" s="92"/>
      <c r="D96" s="28"/>
      <c r="E96" s="14"/>
      <c r="F96" s="26"/>
      <c r="G96" s="26"/>
      <c r="H96" s="89"/>
      <c r="I96" s="10"/>
    </row>
    <row r="97" spans="1:9" ht="33" hidden="1" customHeight="1">
      <c r="A97" s="21">
        <v>21</v>
      </c>
      <c r="B97" s="105"/>
      <c r="C97" s="28"/>
      <c r="D97" s="28"/>
      <c r="E97" s="14"/>
      <c r="F97" s="26"/>
      <c r="G97" s="26"/>
      <c r="H97" s="89"/>
      <c r="I97" s="10"/>
    </row>
    <row r="98" spans="1:9" ht="15.75" hidden="1" customHeight="1">
      <c r="A98" s="21">
        <v>22</v>
      </c>
      <c r="B98" s="91"/>
      <c r="C98" s="92"/>
      <c r="D98" s="152"/>
      <c r="E98" s="14"/>
      <c r="F98" s="26"/>
      <c r="G98" s="26"/>
      <c r="H98" s="89"/>
      <c r="I98" s="10"/>
    </row>
    <row r="99" spans="1:9" ht="15.75" customHeight="1">
      <c r="A99" s="21">
        <v>26</v>
      </c>
      <c r="B99" s="91" t="s">
        <v>151</v>
      </c>
      <c r="C99" s="92" t="s">
        <v>136</v>
      </c>
      <c r="D99" s="90" t="s">
        <v>210</v>
      </c>
      <c r="E99" s="26"/>
      <c r="F99" s="26">
        <v>20</v>
      </c>
      <c r="G99" s="26">
        <v>295.36</v>
      </c>
      <c r="H99" s="89"/>
      <c r="I99" s="10">
        <v>0</v>
      </c>
    </row>
    <row r="100" spans="1:9">
      <c r="A100" s="21"/>
      <c r="B100" s="33" t="s">
        <v>52</v>
      </c>
      <c r="C100" s="29"/>
      <c r="D100" s="36"/>
      <c r="E100" s="29">
        <v>1</v>
      </c>
      <c r="F100" s="29"/>
      <c r="G100" s="29"/>
      <c r="H100" s="29"/>
      <c r="I100" s="24">
        <f>SUM(I92:I98)</f>
        <v>6706.28</v>
      </c>
    </row>
    <row r="101" spans="1:9" ht="15.75" customHeight="1">
      <c r="A101" s="21"/>
      <c r="B101" s="35" t="s">
        <v>76</v>
      </c>
      <c r="C101" s="12"/>
      <c r="D101" s="12"/>
      <c r="E101" s="30"/>
      <c r="F101" s="30"/>
      <c r="G101" s="31"/>
      <c r="H101" s="31"/>
      <c r="I101" s="14">
        <v>0</v>
      </c>
    </row>
    <row r="102" spans="1:9" ht="15.75" customHeight="1">
      <c r="A102" s="37"/>
      <c r="B102" s="34" t="s">
        <v>147</v>
      </c>
      <c r="C102" s="25"/>
      <c r="D102" s="25"/>
      <c r="E102" s="25"/>
      <c r="F102" s="25"/>
      <c r="G102" s="25"/>
      <c r="H102" s="25"/>
      <c r="I102" s="32">
        <f>I90+I100</f>
        <v>55591.630204999994</v>
      </c>
    </row>
    <row r="103" spans="1:9" ht="15.75" customHeight="1">
      <c r="A103" s="210" t="s">
        <v>212</v>
      </c>
      <c r="B103" s="210"/>
      <c r="C103" s="210"/>
      <c r="D103" s="210"/>
      <c r="E103" s="210"/>
      <c r="F103" s="210"/>
      <c r="G103" s="210"/>
      <c r="H103" s="210"/>
      <c r="I103" s="210"/>
    </row>
    <row r="104" spans="1:9" ht="15.75" customHeight="1">
      <c r="A104" s="43"/>
      <c r="B104" s="211" t="s">
        <v>213</v>
      </c>
      <c r="C104" s="211"/>
      <c r="D104" s="211"/>
      <c r="E104" s="211"/>
      <c r="F104" s="211"/>
      <c r="G104" s="211"/>
      <c r="H104" s="52"/>
      <c r="I104" s="2"/>
    </row>
    <row r="105" spans="1:9" ht="15.75" customHeight="1">
      <c r="A105" s="104"/>
      <c r="B105" s="195" t="s">
        <v>6</v>
      </c>
      <c r="C105" s="195"/>
      <c r="D105" s="195"/>
      <c r="E105" s="195"/>
      <c r="F105" s="195"/>
      <c r="G105" s="195"/>
      <c r="H105" s="16"/>
      <c r="I105" s="4"/>
    </row>
    <row r="106" spans="1:9" ht="7.5" customHeight="1">
      <c r="A106" s="7"/>
      <c r="B106" s="7"/>
      <c r="C106" s="7"/>
      <c r="D106" s="7"/>
      <c r="E106" s="7"/>
      <c r="F106" s="7"/>
      <c r="G106" s="7"/>
      <c r="H106" s="7"/>
      <c r="I106" s="7"/>
    </row>
    <row r="107" spans="1:9" ht="15.75" customHeight="1">
      <c r="A107" s="212" t="s">
        <v>7</v>
      </c>
      <c r="B107" s="212"/>
      <c r="C107" s="212"/>
      <c r="D107" s="212"/>
      <c r="E107" s="212"/>
      <c r="F107" s="212"/>
      <c r="G107" s="212"/>
      <c r="H107" s="212"/>
      <c r="I107" s="212"/>
    </row>
    <row r="108" spans="1:9" ht="15.75">
      <c r="A108" s="212" t="s">
        <v>8</v>
      </c>
      <c r="B108" s="212"/>
      <c r="C108" s="212"/>
      <c r="D108" s="212"/>
      <c r="E108" s="212"/>
      <c r="F108" s="212"/>
      <c r="G108" s="212"/>
      <c r="H108" s="212"/>
      <c r="I108" s="212"/>
    </row>
    <row r="109" spans="1:9" ht="15.75">
      <c r="A109" s="199" t="s">
        <v>61</v>
      </c>
      <c r="B109" s="199"/>
      <c r="C109" s="199"/>
      <c r="D109" s="199"/>
      <c r="E109" s="199"/>
      <c r="F109" s="199"/>
      <c r="G109" s="199"/>
      <c r="H109" s="199"/>
      <c r="I109" s="199"/>
    </row>
    <row r="110" spans="1:9" ht="8.25" customHeight="1">
      <c r="A110" s="8"/>
    </row>
    <row r="111" spans="1:9" ht="15.75">
      <c r="A111" s="193" t="s">
        <v>9</v>
      </c>
      <c r="B111" s="193"/>
      <c r="C111" s="193"/>
      <c r="D111" s="193"/>
      <c r="E111" s="193"/>
      <c r="F111" s="193"/>
      <c r="G111" s="193"/>
      <c r="H111" s="193"/>
      <c r="I111" s="193"/>
    </row>
    <row r="112" spans="1:9" ht="15.75">
      <c r="A112" s="3"/>
    </row>
    <row r="113" spans="1:9" ht="15.75" customHeight="1">
      <c r="B113" s="100" t="s">
        <v>10</v>
      </c>
      <c r="C113" s="194" t="s">
        <v>214</v>
      </c>
      <c r="D113" s="194"/>
      <c r="E113" s="194"/>
      <c r="F113" s="50"/>
      <c r="I113" s="102"/>
    </row>
    <row r="114" spans="1:9" ht="15.75" customHeight="1">
      <c r="A114" s="104"/>
      <c r="C114" s="195" t="s">
        <v>11</v>
      </c>
      <c r="D114" s="195"/>
      <c r="E114" s="195"/>
      <c r="F114" s="16"/>
      <c r="I114" s="99" t="s">
        <v>12</v>
      </c>
    </row>
    <row r="115" spans="1:9" ht="15.75" customHeight="1">
      <c r="A115" s="17"/>
      <c r="C115" s="9"/>
      <c r="D115" s="9"/>
      <c r="G115" s="9"/>
      <c r="H115" s="9"/>
    </row>
    <row r="116" spans="1:9" ht="15.75" customHeight="1">
      <c r="B116" s="100" t="s">
        <v>13</v>
      </c>
      <c r="C116" s="196"/>
      <c r="D116" s="196"/>
      <c r="E116" s="196"/>
      <c r="F116" s="51"/>
      <c r="I116" s="102"/>
    </row>
    <row r="117" spans="1:9">
      <c r="A117" s="104"/>
      <c r="C117" s="197" t="s">
        <v>11</v>
      </c>
      <c r="D117" s="197"/>
      <c r="E117" s="197"/>
      <c r="F117" s="104"/>
      <c r="I117" s="99" t="s">
        <v>12</v>
      </c>
    </row>
    <row r="118" spans="1:9" ht="15.75">
      <c r="A118" s="3" t="s">
        <v>14</v>
      </c>
    </row>
    <row r="119" spans="1:9">
      <c r="A119" s="198" t="s">
        <v>15</v>
      </c>
      <c r="B119" s="198"/>
      <c r="C119" s="198"/>
      <c r="D119" s="198"/>
      <c r="E119" s="198"/>
      <c r="F119" s="198"/>
      <c r="G119" s="198"/>
      <c r="H119" s="198"/>
      <c r="I119" s="198"/>
    </row>
    <row r="120" spans="1:9" ht="45" customHeight="1">
      <c r="A120" s="192" t="s">
        <v>16</v>
      </c>
      <c r="B120" s="192"/>
      <c r="C120" s="192"/>
      <c r="D120" s="192"/>
      <c r="E120" s="192"/>
      <c r="F120" s="192"/>
      <c r="G120" s="192"/>
      <c r="H120" s="192"/>
      <c r="I120" s="192"/>
    </row>
    <row r="121" spans="1:9" ht="30" customHeight="1">
      <c r="A121" s="192" t="s">
        <v>17</v>
      </c>
      <c r="B121" s="192"/>
      <c r="C121" s="192"/>
      <c r="D121" s="192"/>
      <c r="E121" s="192"/>
      <c r="F121" s="192"/>
      <c r="G121" s="192"/>
      <c r="H121" s="192"/>
      <c r="I121" s="192"/>
    </row>
    <row r="122" spans="1:9" ht="30" customHeight="1">
      <c r="A122" s="192" t="s">
        <v>21</v>
      </c>
      <c r="B122" s="192"/>
      <c r="C122" s="192"/>
      <c r="D122" s="192"/>
      <c r="E122" s="192"/>
      <c r="F122" s="192"/>
      <c r="G122" s="192"/>
      <c r="H122" s="192"/>
      <c r="I122" s="192"/>
    </row>
    <row r="123" spans="1:9" ht="15" customHeight="1">
      <c r="A123" s="192" t="s">
        <v>20</v>
      </c>
      <c r="B123" s="192"/>
      <c r="C123" s="192"/>
      <c r="D123" s="192"/>
      <c r="E123" s="192"/>
      <c r="F123" s="192"/>
      <c r="G123" s="192"/>
      <c r="H123" s="192"/>
      <c r="I123" s="192"/>
    </row>
  </sheetData>
  <mergeCells count="28">
    <mergeCell ref="A14:I14"/>
    <mergeCell ref="A3:I3"/>
    <mergeCell ref="A4:I4"/>
    <mergeCell ref="A5:I5"/>
    <mergeCell ref="A8:I8"/>
    <mergeCell ref="A10:I10"/>
    <mergeCell ref="A109:I109"/>
    <mergeCell ref="A15:I15"/>
    <mergeCell ref="A27:I27"/>
    <mergeCell ref="A44:I44"/>
    <mergeCell ref="A56:I56"/>
    <mergeCell ref="A87:I87"/>
    <mergeCell ref="A91:I91"/>
    <mergeCell ref="A103:I103"/>
    <mergeCell ref="B104:G104"/>
    <mergeCell ref="B105:G105"/>
    <mergeCell ref="A107:I107"/>
    <mergeCell ref="A108:I108"/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</mergeCells>
  <pageMargins left="0.70866141732283472" right="0.70866141732283472" top="0.27559055118110237" bottom="0.27559055118110237" header="0.31496062992125984" footer="0.31496062992125984"/>
  <pageSetup paperSize="9" scale="6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1"/>
  <sheetViews>
    <sheetView view="pageBreakPreview" topLeftCell="A87" zoomScale="60" zoomScaleNormal="100" workbookViewId="0">
      <selection activeCell="B103" sqref="B103:G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153</v>
      </c>
      <c r="B3" s="214"/>
      <c r="C3" s="214"/>
      <c r="D3" s="214"/>
      <c r="E3" s="214"/>
      <c r="F3" s="214"/>
      <c r="G3" s="214"/>
      <c r="H3" s="214"/>
      <c r="I3" s="214"/>
    </row>
    <row r="4" spans="1:9" ht="31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215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06"/>
      <c r="C6" s="106"/>
      <c r="D6" s="106"/>
      <c r="E6" s="106"/>
      <c r="F6" s="106"/>
      <c r="G6" s="106"/>
      <c r="H6" s="106"/>
      <c r="I6" s="22">
        <v>44286</v>
      </c>
    </row>
    <row r="7" spans="1:9" ht="15.75">
      <c r="B7" s="107"/>
      <c r="C7" s="107"/>
      <c r="D7" s="107"/>
      <c r="E7" s="2"/>
      <c r="F7" s="2"/>
      <c r="G7" s="2"/>
      <c r="H7" s="2"/>
    </row>
    <row r="8" spans="1:9" ht="78.75" customHeight="1">
      <c r="A8" s="217" t="s">
        <v>183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47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 ht="15" customHeight="1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5.7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59" t="s">
        <v>105</v>
      </c>
      <c r="C18" s="160" t="s">
        <v>83</v>
      </c>
      <c r="D18" s="159" t="s">
        <v>177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F18/18*G18</f>
        <v>1630.6828800000001</v>
      </c>
    </row>
    <row r="19" spans="1:9" ht="15.75" hidden="1" customHeight="1">
      <c r="A19" s="21"/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.75" customHeight="1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 ht="15.75" hidden="1" customHeight="1">
      <c r="A22" s="21"/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1"/>
        <v>2.8662815999999998</v>
      </c>
      <c r="I22" s="10">
        <f>3.57*G22</f>
        <v>1433.1407999999999</v>
      </c>
    </row>
    <row r="23" spans="1:9" ht="15.75" hidden="1" customHeight="1">
      <c r="A23" s="21"/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1"/>
        <v>5.1027984000000005E-2</v>
      </c>
      <c r="I23" s="10">
        <f>0.3864*G23</f>
        <v>25.513992000000002</v>
      </c>
    </row>
    <row r="24" spans="1:9" ht="15.75" customHeight="1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1"/>
        <v>1.045836</v>
      </c>
      <c r="I24" s="10">
        <f>0.15*G24</f>
        <v>87.152999999999992</v>
      </c>
    </row>
    <row r="25" spans="1:9" ht="15.75" hidden="1" customHeight="1">
      <c r="A25" s="21"/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si="1"/>
        <v>9.9076295999999994E-2</v>
      </c>
      <c r="I25" s="10">
        <f>0.0638*G25</f>
        <v>49.538148</v>
      </c>
    </row>
    <row r="26" spans="1:9" ht="15.75" hidden="1" customHeight="1">
      <c r="A26" s="21">
        <v>5</v>
      </c>
      <c r="B26" s="159" t="s">
        <v>169</v>
      </c>
      <c r="C26" s="160" t="s">
        <v>150</v>
      </c>
      <c r="D26" s="159" t="s">
        <v>174</v>
      </c>
      <c r="E26" s="161">
        <v>4.8</v>
      </c>
      <c r="F26" s="162">
        <f>E26*258</f>
        <v>1238.3999999999999</v>
      </c>
      <c r="G26" s="162">
        <v>10.81</v>
      </c>
      <c r="H26" s="58">
        <f t="shared" si="1"/>
        <v>13.387103999999999</v>
      </c>
      <c r="I26" s="10">
        <f>F26/12*G26</f>
        <v>1115.5919999999999</v>
      </c>
    </row>
    <row r="27" spans="1:9" ht="15.75" customHeight="1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15.75" hidden="1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5.75" hidden="1" customHeight="1">
      <c r="A29" s="21">
        <v>6</v>
      </c>
      <c r="B29" s="54" t="s">
        <v>91</v>
      </c>
      <c r="C29" s="55" t="s">
        <v>85</v>
      </c>
      <c r="D29" s="54" t="s">
        <v>137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2">SUM(F29*G29/1000)</f>
        <v>1.3260959712</v>
      </c>
      <c r="I29" s="10">
        <f>F29/6*G29</f>
        <v>221.01599519999996</v>
      </c>
    </row>
    <row r="30" spans="1:9" ht="31.5" hidden="1" customHeight="1">
      <c r="A30" s="21">
        <v>7</v>
      </c>
      <c r="B30" s="54" t="s">
        <v>132</v>
      </c>
      <c r="C30" s="55" t="s">
        <v>85</v>
      </c>
      <c r="D30" s="54" t="s">
        <v>138</v>
      </c>
      <c r="E30" s="57">
        <v>31.4</v>
      </c>
      <c r="F30" s="57">
        <f>SUM(E30*52/1000)</f>
        <v>1.6328</v>
      </c>
      <c r="G30" s="57">
        <v>339.21</v>
      </c>
      <c r="H30" s="58">
        <f t="shared" si="2"/>
        <v>0.55386208799999992</v>
      </c>
      <c r="I30" s="10">
        <f t="shared" ref="I30:I32" si="3">F30/6*G30</f>
        <v>92.310347999999991</v>
      </c>
    </row>
    <row r="31" spans="1:9" ht="15.75" hidden="1" customHeight="1">
      <c r="A31" s="21"/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2"/>
        <v>0.49396538100000004</v>
      </c>
      <c r="I31" s="10">
        <f t="shared" si="3"/>
        <v>82.327563500000011</v>
      </c>
    </row>
    <row r="32" spans="1:9" ht="15.75" hidden="1" customHeight="1">
      <c r="A32" s="21">
        <v>8</v>
      </c>
      <c r="B32" s="54" t="s">
        <v>90</v>
      </c>
      <c r="C32" s="55" t="s">
        <v>30</v>
      </c>
      <c r="D32" s="54" t="s">
        <v>63</v>
      </c>
      <c r="E32" s="60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2"/>
        <v>3.841416666666666</v>
      </c>
      <c r="I32" s="10">
        <f t="shared" si="3"/>
        <v>640.23611111111109</v>
      </c>
    </row>
    <row r="33" spans="1:9" ht="15.75" hidden="1" customHeight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2"/>
        <v>0.50183999999999995</v>
      </c>
      <c r="I33" s="10">
        <v>0</v>
      </c>
    </row>
    <row r="34" spans="1:9" ht="15.75" hidden="1" customHeight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2"/>
        <v>1.49031</v>
      </c>
      <c r="I34" s="10">
        <v>0</v>
      </c>
    </row>
    <row r="35" spans="1:9" ht="15.75" customHeight="1">
      <c r="A35" s="21"/>
      <c r="B35" s="73" t="s">
        <v>5</v>
      </c>
      <c r="C35" s="55"/>
      <c r="D35" s="54"/>
      <c r="E35" s="56"/>
      <c r="F35" s="57"/>
      <c r="G35" s="57"/>
      <c r="H35" s="58" t="s">
        <v>130</v>
      </c>
      <c r="I35" s="10"/>
    </row>
    <row r="36" spans="1:9" ht="15.75" hidden="1" customHeight="1">
      <c r="A36" s="21">
        <v>6</v>
      </c>
      <c r="B36" s="54" t="s">
        <v>25</v>
      </c>
      <c r="C36" s="55" t="s">
        <v>31</v>
      </c>
      <c r="D36" s="54"/>
      <c r="E36" s="56"/>
      <c r="F36" s="57">
        <v>6</v>
      </c>
      <c r="G36" s="57">
        <v>2003</v>
      </c>
      <c r="H36" s="58">
        <f>SUM(F36*G36/1000)</f>
        <v>12.018000000000001</v>
      </c>
      <c r="I36" s="10">
        <f>G36*1.3</f>
        <v>2603.9</v>
      </c>
    </row>
    <row r="37" spans="1:9" ht="15.75" customHeight="1">
      <c r="A37" s="21">
        <v>7</v>
      </c>
      <c r="B37" s="172" t="s">
        <v>67</v>
      </c>
      <c r="C37" s="173" t="s">
        <v>28</v>
      </c>
      <c r="D37" s="172" t="s">
        <v>176</v>
      </c>
      <c r="E37" s="174">
        <v>26.07</v>
      </c>
      <c r="F37" s="174">
        <f>SUM(E37*30/1000)</f>
        <v>0.78210000000000002</v>
      </c>
      <c r="G37" s="174">
        <v>2757.78</v>
      </c>
      <c r="H37" s="58">
        <f t="shared" ref="H37:H42" si="4">SUM(F37*G37/1000)</f>
        <v>2.1568597380000001</v>
      </c>
      <c r="I37" s="10">
        <f t="shared" ref="I37:I40" si="5">F37/6*G37</f>
        <v>359.47662300000002</v>
      </c>
    </row>
    <row r="38" spans="1:9" ht="15.75" customHeight="1">
      <c r="A38" s="21">
        <v>8</v>
      </c>
      <c r="B38" s="159" t="s">
        <v>68</v>
      </c>
      <c r="C38" s="160" t="s">
        <v>28</v>
      </c>
      <c r="D38" s="159" t="s">
        <v>175</v>
      </c>
      <c r="E38" s="162">
        <v>31.4</v>
      </c>
      <c r="F38" s="174">
        <f>SUM(E38*155/1000)</f>
        <v>4.867</v>
      </c>
      <c r="G38" s="162">
        <v>460.02</v>
      </c>
      <c r="H38" s="58">
        <f t="shared" si="4"/>
        <v>2.23891734</v>
      </c>
      <c r="I38" s="10">
        <f t="shared" si="5"/>
        <v>373.15289000000001</v>
      </c>
    </row>
    <row r="39" spans="1:9" ht="15.75" hidden="1" customHeight="1">
      <c r="A39" s="21">
        <v>10</v>
      </c>
      <c r="B39" s="159" t="s">
        <v>115</v>
      </c>
      <c r="C39" s="160" t="s">
        <v>55</v>
      </c>
      <c r="D39" s="159" t="s">
        <v>185</v>
      </c>
      <c r="E39" s="166"/>
      <c r="F39" s="174">
        <v>110</v>
      </c>
      <c r="G39" s="162">
        <v>314</v>
      </c>
      <c r="H39" s="58">
        <f t="shared" si="4"/>
        <v>34.54</v>
      </c>
      <c r="I39" s="10">
        <f t="shared" si="5"/>
        <v>5756.6666666666661</v>
      </c>
    </row>
    <row r="40" spans="1:9" ht="47.25" customHeight="1">
      <c r="A40" s="21">
        <v>9</v>
      </c>
      <c r="B40" s="159" t="s">
        <v>80</v>
      </c>
      <c r="C40" s="160" t="s">
        <v>85</v>
      </c>
      <c r="D40" s="159" t="s">
        <v>176</v>
      </c>
      <c r="E40" s="162">
        <v>26.07</v>
      </c>
      <c r="F40" s="174">
        <f>SUM(E40*30/1000)</f>
        <v>0.78210000000000002</v>
      </c>
      <c r="G40" s="162">
        <v>7611.16</v>
      </c>
      <c r="H40" s="58">
        <f t="shared" si="4"/>
        <v>5.9526882360000002</v>
      </c>
      <c r="I40" s="10">
        <f t="shared" si="5"/>
        <v>992.11470599999996</v>
      </c>
    </row>
    <row r="41" spans="1:9" ht="15.75" customHeight="1">
      <c r="A41" s="21">
        <v>10</v>
      </c>
      <c r="B41" s="159" t="s">
        <v>86</v>
      </c>
      <c r="C41" s="160" t="s">
        <v>85</v>
      </c>
      <c r="D41" s="159" t="s">
        <v>172</v>
      </c>
      <c r="E41" s="162">
        <v>26.07</v>
      </c>
      <c r="F41" s="174">
        <f>SUM(E41*24/1000)</f>
        <v>0.62568000000000001</v>
      </c>
      <c r="G41" s="162">
        <v>562.25</v>
      </c>
      <c r="H41" s="58">
        <f t="shared" si="4"/>
        <v>0.35178858000000002</v>
      </c>
      <c r="I41" s="10">
        <f>G41*F41/24*2</f>
        <v>29.315715000000001</v>
      </c>
    </row>
    <row r="42" spans="1:9" ht="15.75" customHeight="1">
      <c r="A42" s="21">
        <v>11</v>
      </c>
      <c r="B42" s="172" t="s">
        <v>69</v>
      </c>
      <c r="C42" s="173" t="s">
        <v>32</v>
      </c>
      <c r="D42" s="172"/>
      <c r="E42" s="175"/>
      <c r="F42" s="174">
        <v>0.3</v>
      </c>
      <c r="G42" s="174">
        <v>974.83</v>
      </c>
      <c r="H42" s="58">
        <f t="shared" si="4"/>
        <v>0.29244900000000001</v>
      </c>
      <c r="I42" s="10">
        <f>G42*F42/24*2</f>
        <v>24.370750000000001</v>
      </c>
    </row>
    <row r="43" spans="1:9" ht="36" customHeight="1">
      <c r="A43" s="180">
        <v>12</v>
      </c>
      <c r="B43" s="91" t="s">
        <v>166</v>
      </c>
      <c r="C43" s="92" t="s">
        <v>28</v>
      </c>
      <c r="D43" s="172" t="s">
        <v>172</v>
      </c>
      <c r="E43" s="175">
        <v>3</v>
      </c>
      <c r="F43" s="174">
        <f>SUM(E43*12/1000)</f>
        <v>3.5999999999999997E-2</v>
      </c>
      <c r="G43" s="174">
        <v>20547.34</v>
      </c>
      <c r="H43" s="49"/>
      <c r="I43" s="10">
        <f>G43*F43/6*1</f>
        <v>123.28403999999999</v>
      </c>
    </row>
    <row r="44" spans="1:9" ht="15.75" hidden="1" customHeight="1">
      <c r="A44" s="201" t="s">
        <v>124</v>
      </c>
      <c r="B44" s="202"/>
      <c r="C44" s="202"/>
      <c r="D44" s="202"/>
      <c r="E44" s="202"/>
      <c r="F44" s="202"/>
      <c r="G44" s="202"/>
      <c r="H44" s="202"/>
      <c r="I44" s="203"/>
    </row>
    <row r="45" spans="1:9" ht="15.75" hidden="1" customHeight="1">
      <c r="A45" s="21"/>
      <c r="B45" s="54" t="s">
        <v>92</v>
      </c>
      <c r="C45" s="55" t="s">
        <v>85</v>
      </c>
      <c r="D45" s="54" t="s">
        <v>42</v>
      </c>
      <c r="E45" s="56">
        <v>1109.4000000000001</v>
      </c>
      <c r="F45" s="57">
        <f>SUM(E45*2/1000)</f>
        <v>2.2188000000000003</v>
      </c>
      <c r="G45" s="10">
        <v>1172.4100000000001</v>
      </c>
      <c r="H45" s="58">
        <f t="shared" ref="H45:H55" si="6">SUM(F45*G45/1000)</f>
        <v>2.6013433080000006</v>
      </c>
      <c r="I45" s="10">
        <v>0</v>
      </c>
    </row>
    <row r="46" spans="1:9" ht="15.75" hidden="1" customHeight="1">
      <c r="A46" s="21"/>
      <c r="B46" s="54" t="s">
        <v>35</v>
      </c>
      <c r="C46" s="55" t="s">
        <v>85</v>
      </c>
      <c r="D46" s="54" t="s">
        <v>42</v>
      </c>
      <c r="E46" s="56">
        <v>66</v>
      </c>
      <c r="F46" s="57">
        <f>SUM(E46*2/1000)</f>
        <v>0.13200000000000001</v>
      </c>
      <c r="G46" s="10">
        <v>4419.05</v>
      </c>
      <c r="H46" s="58">
        <f t="shared" si="6"/>
        <v>0.58331460000000002</v>
      </c>
      <c r="I46" s="10">
        <v>0</v>
      </c>
    </row>
    <row r="47" spans="1:9" ht="15.75" hidden="1" customHeight="1">
      <c r="A47" s="21"/>
      <c r="B47" s="54" t="s">
        <v>36</v>
      </c>
      <c r="C47" s="55" t="s">
        <v>85</v>
      </c>
      <c r="D47" s="54" t="s">
        <v>42</v>
      </c>
      <c r="E47" s="56">
        <v>1563.2750000000001</v>
      </c>
      <c r="F47" s="57">
        <f>SUM(E47*2/1000)</f>
        <v>3.1265500000000004</v>
      </c>
      <c r="G47" s="10">
        <v>1803.69</v>
      </c>
      <c r="H47" s="58">
        <f t="shared" si="6"/>
        <v>5.6393269695000008</v>
      </c>
      <c r="I47" s="10">
        <v>0</v>
      </c>
    </row>
    <row r="48" spans="1:9" ht="15.75" hidden="1" customHeight="1">
      <c r="A48" s="21"/>
      <c r="B48" s="54" t="s">
        <v>37</v>
      </c>
      <c r="C48" s="55" t="s">
        <v>85</v>
      </c>
      <c r="D48" s="54" t="s">
        <v>42</v>
      </c>
      <c r="E48" s="56">
        <v>1619.6</v>
      </c>
      <c r="F48" s="57">
        <f>SUM(E48*2/1000)</f>
        <v>3.2391999999999999</v>
      </c>
      <c r="G48" s="10">
        <v>1243.43</v>
      </c>
      <c r="H48" s="58">
        <f t="shared" si="6"/>
        <v>4.0277184559999997</v>
      </c>
      <c r="I48" s="10">
        <v>0</v>
      </c>
    </row>
    <row r="49" spans="1:9" ht="15.75" hidden="1" customHeight="1">
      <c r="A49" s="21"/>
      <c r="B49" s="54" t="s">
        <v>33</v>
      </c>
      <c r="C49" s="55" t="s">
        <v>34</v>
      </c>
      <c r="D49" s="54" t="s">
        <v>42</v>
      </c>
      <c r="E49" s="56">
        <v>85.84</v>
      </c>
      <c r="F49" s="57">
        <f>SUM(E49*2/100)</f>
        <v>1.7168000000000001</v>
      </c>
      <c r="G49" s="10">
        <v>1352.76</v>
      </c>
      <c r="H49" s="58">
        <f t="shared" si="6"/>
        <v>2.3224183680000001</v>
      </c>
      <c r="I49" s="10">
        <v>0</v>
      </c>
    </row>
    <row r="50" spans="1:9" ht="15.75" hidden="1" customHeight="1">
      <c r="A50" s="21">
        <v>12</v>
      </c>
      <c r="B50" s="54" t="s">
        <v>56</v>
      </c>
      <c r="C50" s="55" t="s">
        <v>85</v>
      </c>
      <c r="D50" s="54" t="s">
        <v>133</v>
      </c>
      <c r="E50" s="56">
        <v>2579.4</v>
      </c>
      <c r="F50" s="57">
        <f>SUM(E50*5/1000)</f>
        <v>12.897</v>
      </c>
      <c r="G50" s="10">
        <v>1803.69</v>
      </c>
      <c r="H50" s="58">
        <f t="shared" si="6"/>
        <v>23.262189930000002</v>
      </c>
      <c r="I50" s="10">
        <f>F50/5*G50</f>
        <v>4652.4379860000008</v>
      </c>
    </row>
    <row r="51" spans="1:9" ht="31.5" hidden="1" customHeight="1">
      <c r="A51" s="21">
        <v>9</v>
      </c>
      <c r="B51" s="54" t="s">
        <v>87</v>
      </c>
      <c r="C51" s="55" t="s">
        <v>85</v>
      </c>
      <c r="D51" s="54" t="s">
        <v>42</v>
      </c>
      <c r="E51" s="56">
        <v>2579.4</v>
      </c>
      <c r="F51" s="57">
        <f>SUM(E51*2/1000)</f>
        <v>5.1588000000000003</v>
      </c>
      <c r="G51" s="10">
        <v>1591.6</v>
      </c>
      <c r="H51" s="58">
        <f t="shared" si="6"/>
        <v>8.2107460800000016</v>
      </c>
      <c r="I51" s="10">
        <f>F51/2*G51</f>
        <v>4105.3730400000004</v>
      </c>
    </row>
    <row r="52" spans="1:9" ht="31.5" hidden="1" customHeight="1">
      <c r="A52" s="21">
        <v>10</v>
      </c>
      <c r="B52" s="54" t="s">
        <v>88</v>
      </c>
      <c r="C52" s="55" t="s">
        <v>38</v>
      </c>
      <c r="D52" s="54" t="s">
        <v>42</v>
      </c>
      <c r="E52" s="56">
        <v>20</v>
      </c>
      <c r="F52" s="57">
        <f>SUM(E52*2/100)</f>
        <v>0.4</v>
      </c>
      <c r="G52" s="10">
        <v>4058.32</v>
      </c>
      <c r="H52" s="58">
        <f t="shared" si="6"/>
        <v>1.6233280000000001</v>
      </c>
      <c r="I52" s="10">
        <f t="shared" ref="I52:I53" si="7">F52/2*G52</f>
        <v>811.6640000000001</v>
      </c>
    </row>
    <row r="53" spans="1:9" ht="15.75" hidden="1" customHeight="1">
      <c r="A53" s="21">
        <v>11</v>
      </c>
      <c r="B53" s="54" t="s">
        <v>39</v>
      </c>
      <c r="C53" s="55" t="s">
        <v>40</v>
      </c>
      <c r="D53" s="54" t="s">
        <v>42</v>
      </c>
      <c r="E53" s="56">
        <v>1</v>
      </c>
      <c r="F53" s="57">
        <v>0.02</v>
      </c>
      <c r="G53" s="10">
        <v>7412.92</v>
      </c>
      <c r="H53" s="58">
        <f t="shared" si="6"/>
        <v>0.14825839999999998</v>
      </c>
      <c r="I53" s="10">
        <f t="shared" si="7"/>
        <v>74.129199999999997</v>
      </c>
    </row>
    <row r="54" spans="1:9" ht="15.75" hidden="1" customHeight="1">
      <c r="A54" s="21">
        <v>14</v>
      </c>
      <c r="B54" s="54" t="s">
        <v>98</v>
      </c>
      <c r="C54" s="55" t="s">
        <v>93</v>
      </c>
      <c r="D54" s="54" t="s">
        <v>70</v>
      </c>
      <c r="E54" s="56">
        <v>62</v>
      </c>
      <c r="F54" s="57">
        <f>SUM(E54*3)</f>
        <v>186</v>
      </c>
      <c r="G54" s="10">
        <v>185.08</v>
      </c>
      <c r="H54" s="58">
        <f t="shared" si="6"/>
        <v>34.424880000000002</v>
      </c>
      <c r="I54" s="10">
        <f>F54/3*G54</f>
        <v>11474.960000000001</v>
      </c>
    </row>
    <row r="55" spans="1:9" ht="15.75" hidden="1" customHeight="1">
      <c r="A55" s="75">
        <v>15</v>
      </c>
      <c r="B55" s="63" t="s">
        <v>41</v>
      </c>
      <c r="C55" s="62" t="s">
        <v>93</v>
      </c>
      <c r="D55" s="63" t="s">
        <v>70</v>
      </c>
      <c r="E55" s="64">
        <v>124</v>
      </c>
      <c r="F55" s="65">
        <f>SUM(E55)*3</f>
        <v>372</v>
      </c>
      <c r="G55" s="76">
        <v>86.15</v>
      </c>
      <c r="H55" s="66">
        <f t="shared" si="6"/>
        <v>32.047800000000002</v>
      </c>
      <c r="I55" s="10">
        <f>F55/3*G55</f>
        <v>10682.6</v>
      </c>
    </row>
    <row r="56" spans="1:9" ht="15.75" customHeight="1">
      <c r="A56" s="204" t="s">
        <v>127</v>
      </c>
      <c r="B56" s="205"/>
      <c r="C56" s="205"/>
      <c r="D56" s="205"/>
      <c r="E56" s="205"/>
      <c r="F56" s="205"/>
      <c r="G56" s="205"/>
      <c r="H56" s="205"/>
      <c r="I56" s="206"/>
    </row>
    <row r="57" spans="1:9" ht="15.75" customHeight="1">
      <c r="A57" s="77"/>
      <c r="B57" s="78" t="s">
        <v>43</v>
      </c>
      <c r="C57" s="79"/>
      <c r="D57" s="80"/>
      <c r="E57" s="81"/>
      <c r="F57" s="82"/>
      <c r="G57" s="82"/>
      <c r="H57" s="83"/>
      <c r="I57" s="84"/>
    </row>
    <row r="58" spans="1:9" ht="31.5" customHeight="1">
      <c r="A58" s="21">
        <v>13</v>
      </c>
      <c r="B58" s="54" t="s">
        <v>101</v>
      </c>
      <c r="C58" s="55" t="s">
        <v>83</v>
      </c>
      <c r="D58" s="54"/>
      <c r="E58" s="56">
        <v>126.94</v>
      </c>
      <c r="F58" s="57">
        <f>SUM(E58*6/100)</f>
        <v>7.6163999999999996</v>
      </c>
      <c r="G58" s="151">
        <v>2306.83</v>
      </c>
      <c r="H58" s="58">
        <f>SUM(F58*G58/1000)</f>
        <v>17.569740011999997</v>
      </c>
      <c r="I58" s="10">
        <f>G58*0.129</f>
        <v>297.58107000000001</v>
      </c>
    </row>
    <row r="59" spans="1:9" ht="31.5" customHeight="1">
      <c r="A59" s="21">
        <v>14</v>
      </c>
      <c r="B59" s="54" t="s">
        <v>77</v>
      </c>
      <c r="C59" s="55" t="s">
        <v>83</v>
      </c>
      <c r="D59" s="54" t="s">
        <v>173</v>
      </c>
      <c r="E59" s="15">
        <v>19.899999999999999</v>
      </c>
      <c r="F59" s="57">
        <f>SUM(E59*6/100)</f>
        <v>1.194</v>
      </c>
      <c r="G59" s="179">
        <v>2306.83</v>
      </c>
      <c r="H59" s="58">
        <f t="shared" ref="H59:H60" si="8">SUM(F59*G59/1000)</f>
        <v>2.7543550199999998</v>
      </c>
      <c r="I59" s="10">
        <f t="shared" ref="I59" si="9">F59/6*G59</f>
        <v>459.05916999999994</v>
      </c>
    </row>
    <row r="60" spans="1:9" ht="15.75" customHeight="1">
      <c r="A60" s="21">
        <v>15</v>
      </c>
      <c r="B60" s="63" t="s">
        <v>121</v>
      </c>
      <c r="C60" s="62" t="s">
        <v>122</v>
      </c>
      <c r="D60" s="63" t="s">
        <v>216</v>
      </c>
      <c r="E60" s="85"/>
      <c r="F60" s="65">
        <v>3</v>
      </c>
      <c r="G60" s="179">
        <v>1800</v>
      </c>
      <c r="H60" s="58">
        <f t="shared" si="8"/>
        <v>5.4</v>
      </c>
      <c r="I60" s="10">
        <f>G60*1</f>
        <v>1800</v>
      </c>
    </row>
    <row r="61" spans="1:9" ht="15.75" customHeight="1">
      <c r="A61" s="21"/>
      <c r="B61" s="74" t="s">
        <v>44</v>
      </c>
      <c r="C61" s="62"/>
      <c r="D61" s="63"/>
      <c r="E61" s="64"/>
      <c r="F61" s="65"/>
      <c r="G61" s="49"/>
      <c r="H61" s="66"/>
      <c r="I61" s="84"/>
    </row>
    <row r="62" spans="1:9" ht="15.75" customHeight="1">
      <c r="A62" s="21">
        <v>16</v>
      </c>
      <c r="B62" s="149" t="s">
        <v>188</v>
      </c>
      <c r="C62" s="150" t="s">
        <v>150</v>
      </c>
      <c r="D62" s="149" t="s">
        <v>177</v>
      </c>
      <c r="E62" s="170">
        <v>48</v>
      </c>
      <c r="F62" s="171">
        <v>576</v>
      </c>
      <c r="G62" s="26">
        <v>1.4</v>
      </c>
      <c r="H62" s="67"/>
      <c r="I62" s="10">
        <f>G62*F62/12</f>
        <v>67.2</v>
      </c>
    </row>
    <row r="63" spans="1:9" ht="15.75" customHeight="1">
      <c r="A63" s="21">
        <v>17</v>
      </c>
      <c r="B63" s="149" t="s">
        <v>45</v>
      </c>
      <c r="C63" s="150" t="s">
        <v>83</v>
      </c>
      <c r="D63" s="149" t="s">
        <v>217</v>
      </c>
      <c r="E63" s="170">
        <v>48</v>
      </c>
      <c r="F63" s="162">
        <f>SUM(E63/100)</f>
        <v>0.48</v>
      </c>
      <c r="G63" s="26">
        <v>1183.19</v>
      </c>
      <c r="H63" s="67">
        <v>7.6349999999999998</v>
      </c>
      <c r="I63" s="10">
        <f>G63*F63</f>
        <v>567.93119999999999</v>
      </c>
    </row>
    <row r="64" spans="1:9" ht="15.75" hidden="1" customHeight="1">
      <c r="A64" s="21"/>
      <c r="B64" s="74" t="s">
        <v>46</v>
      </c>
      <c r="C64" s="62"/>
      <c r="D64" s="63"/>
      <c r="E64" s="64"/>
      <c r="F64" s="65"/>
      <c r="G64" s="68"/>
      <c r="H64" s="66" t="s">
        <v>130</v>
      </c>
      <c r="I64" s="10"/>
    </row>
    <row r="65" spans="1:9" ht="15.75" hidden="1" customHeight="1">
      <c r="A65" s="21">
        <v>12</v>
      </c>
      <c r="B65" s="11" t="s">
        <v>47</v>
      </c>
      <c r="C65" s="13" t="s">
        <v>93</v>
      </c>
      <c r="D65" s="11" t="s">
        <v>177</v>
      </c>
      <c r="E65" s="15">
        <v>5</v>
      </c>
      <c r="F65" s="57">
        <f>E65</f>
        <v>5</v>
      </c>
      <c r="G65" s="10">
        <v>291.68</v>
      </c>
      <c r="H65" s="53">
        <f t="shared" ref="H65:H72" si="10">SUM(F65*G65/1000)</f>
        <v>1.4584000000000001</v>
      </c>
      <c r="I65" s="10">
        <f>G65</f>
        <v>291.68</v>
      </c>
    </row>
    <row r="66" spans="1:9" ht="15.75" hidden="1" customHeight="1">
      <c r="A66" s="21"/>
      <c r="B66" s="11" t="s">
        <v>48</v>
      </c>
      <c r="C66" s="13" t="s">
        <v>93</v>
      </c>
      <c r="D66" s="11" t="s">
        <v>66</v>
      </c>
      <c r="E66" s="15">
        <v>2</v>
      </c>
      <c r="F66" s="57">
        <f>E66</f>
        <v>2</v>
      </c>
      <c r="G66" s="10">
        <v>100.01</v>
      </c>
      <c r="H66" s="53">
        <f t="shared" si="10"/>
        <v>0.20002</v>
      </c>
      <c r="I66" s="10">
        <v>0</v>
      </c>
    </row>
    <row r="67" spans="1:9" ht="15.75" hidden="1" customHeight="1">
      <c r="A67" s="21"/>
      <c r="B67" s="11" t="s">
        <v>49</v>
      </c>
      <c r="C67" s="13" t="s">
        <v>94</v>
      </c>
      <c r="D67" s="11" t="s">
        <v>54</v>
      </c>
      <c r="E67" s="56">
        <v>13313</v>
      </c>
      <c r="F67" s="10">
        <f>SUM(E67/100)</f>
        <v>133.13</v>
      </c>
      <c r="G67" s="10">
        <v>278.24</v>
      </c>
      <c r="H67" s="53">
        <f t="shared" si="10"/>
        <v>37.042091200000002</v>
      </c>
      <c r="I67" s="10">
        <v>0</v>
      </c>
    </row>
    <row r="68" spans="1:9" ht="15.75" hidden="1" customHeight="1">
      <c r="A68" s="21"/>
      <c r="B68" s="11" t="s">
        <v>50</v>
      </c>
      <c r="C68" s="13" t="s">
        <v>95</v>
      </c>
      <c r="D68" s="11"/>
      <c r="E68" s="56">
        <v>13313</v>
      </c>
      <c r="F68" s="10">
        <f>SUM(E68/1000)</f>
        <v>13.313000000000001</v>
      </c>
      <c r="G68" s="10">
        <v>216.68</v>
      </c>
      <c r="H68" s="53">
        <f t="shared" si="10"/>
        <v>2.88466084</v>
      </c>
      <c r="I68" s="10">
        <v>0</v>
      </c>
    </row>
    <row r="69" spans="1:9" ht="15.75" hidden="1" customHeight="1">
      <c r="A69" s="21"/>
      <c r="B69" s="11" t="s">
        <v>51</v>
      </c>
      <c r="C69" s="13" t="s">
        <v>75</v>
      </c>
      <c r="D69" s="11" t="s">
        <v>54</v>
      </c>
      <c r="E69" s="56">
        <v>2184</v>
      </c>
      <c r="F69" s="10">
        <f>SUM(E69/100)</f>
        <v>21.84</v>
      </c>
      <c r="G69" s="10">
        <v>2720.94</v>
      </c>
      <c r="H69" s="53">
        <f t="shared" si="10"/>
        <v>59.425329599999998</v>
      </c>
      <c r="I69" s="10">
        <v>0</v>
      </c>
    </row>
    <row r="70" spans="1:9" ht="15.75" hidden="1" customHeight="1">
      <c r="A70" s="21"/>
      <c r="B70" s="69" t="s">
        <v>96</v>
      </c>
      <c r="C70" s="13" t="s">
        <v>32</v>
      </c>
      <c r="D70" s="11"/>
      <c r="E70" s="56">
        <v>12.2</v>
      </c>
      <c r="F70" s="10">
        <f>SUM(E70)</f>
        <v>12.2</v>
      </c>
      <c r="G70" s="10">
        <v>42.61</v>
      </c>
      <c r="H70" s="53">
        <f t="shared" si="10"/>
        <v>0.51984200000000003</v>
      </c>
      <c r="I70" s="10">
        <v>0</v>
      </c>
    </row>
    <row r="71" spans="1:9" ht="15.75" hidden="1" customHeight="1">
      <c r="A71" s="21"/>
      <c r="B71" s="69" t="s">
        <v>131</v>
      </c>
      <c r="C71" s="13" t="s">
        <v>32</v>
      </c>
      <c r="D71" s="11"/>
      <c r="E71" s="56">
        <v>12.2</v>
      </c>
      <c r="F71" s="10">
        <f>SUM(E71)</f>
        <v>12.2</v>
      </c>
      <c r="G71" s="10">
        <v>46.04</v>
      </c>
      <c r="H71" s="53">
        <f t="shared" si="10"/>
        <v>0.56168799999999997</v>
      </c>
      <c r="I71" s="10">
        <v>0</v>
      </c>
    </row>
    <row r="72" spans="1:9" ht="15.75" hidden="1" customHeight="1">
      <c r="A72" s="21"/>
      <c r="B72" s="11" t="s">
        <v>57</v>
      </c>
      <c r="C72" s="13" t="s">
        <v>58</v>
      </c>
      <c r="D72" s="11" t="s">
        <v>54</v>
      </c>
      <c r="E72" s="15">
        <v>3</v>
      </c>
      <c r="F72" s="57">
        <v>3</v>
      </c>
      <c r="G72" s="10">
        <v>65.42</v>
      </c>
      <c r="H72" s="53">
        <f t="shared" si="10"/>
        <v>0.19625999999999999</v>
      </c>
      <c r="I72" s="10">
        <v>0</v>
      </c>
    </row>
    <row r="73" spans="1:9" ht="15.75" customHeight="1">
      <c r="A73" s="21"/>
      <c r="B73" s="86" t="s">
        <v>142</v>
      </c>
      <c r="C73" s="40"/>
      <c r="D73" s="11"/>
      <c r="E73" s="15"/>
      <c r="F73" s="49"/>
      <c r="G73" s="10"/>
      <c r="H73" s="53"/>
      <c r="I73" s="10"/>
    </row>
    <row r="74" spans="1:9" ht="15.75" customHeight="1">
      <c r="A74" s="21">
        <v>18</v>
      </c>
      <c r="B74" s="152" t="s">
        <v>143</v>
      </c>
      <c r="C74" s="28" t="s">
        <v>144</v>
      </c>
      <c r="D74" s="152"/>
      <c r="E74" s="14">
        <v>3227.7</v>
      </c>
      <c r="F74" s="26">
        <f>SUM(E74*12)</f>
        <v>38732.399999999994</v>
      </c>
      <c r="G74" s="26">
        <v>2.6</v>
      </c>
      <c r="H74" s="53">
        <f t="shared" ref="H74" si="11">SUM(F74*G74/1000)</f>
        <v>100.70423999999998</v>
      </c>
      <c r="I74" s="10">
        <f>F74/12*G74</f>
        <v>8392.0199999999986</v>
      </c>
    </row>
    <row r="75" spans="1:9" ht="17.25" customHeight="1">
      <c r="A75" s="21"/>
      <c r="B75" s="111" t="s">
        <v>71</v>
      </c>
      <c r="C75" s="13"/>
      <c r="D75" s="11"/>
      <c r="E75" s="15"/>
      <c r="F75" s="10"/>
      <c r="G75" s="10"/>
      <c r="H75" s="53" t="s">
        <v>130</v>
      </c>
      <c r="I75" s="10"/>
    </row>
    <row r="76" spans="1:9" ht="23.25" hidden="1" customHeight="1">
      <c r="A76" s="21"/>
      <c r="B76" s="11" t="s">
        <v>117</v>
      </c>
      <c r="C76" s="13" t="s">
        <v>93</v>
      </c>
      <c r="D76" s="11" t="s">
        <v>66</v>
      </c>
      <c r="E76" s="15">
        <v>1</v>
      </c>
      <c r="F76" s="10">
        <v>1</v>
      </c>
      <c r="G76" s="10">
        <v>1029.1199999999999</v>
      </c>
      <c r="H76" s="53">
        <f t="shared" ref="H76:H79" si="12">SUM(F76*G76/1000)</f>
        <v>1.0291199999999998</v>
      </c>
      <c r="I76" s="10">
        <v>0</v>
      </c>
    </row>
    <row r="77" spans="1:9" ht="23.25" hidden="1" customHeight="1">
      <c r="A77" s="21"/>
      <c r="B77" s="11" t="s">
        <v>118</v>
      </c>
      <c r="C77" s="13" t="s">
        <v>119</v>
      </c>
      <c r="D77" s="11"/>
      <c r="E77" s="15">
        <v>1</v>
      </c>
      <c r="F77" s="10">
        <f>E77</f>
        <v>1</v>
      </c>
      <c r="G77" s="10">
        <v>735</v>
      </c>
      <c r="H77" s="53">
        <f t="shared" si="12"/>
        <v>0.73499999999999999</v>
      </c>
      <c r="I77" s="10">
        <v>0</v>
      </c>
    </row>
    <row r="78" spans="1:9" ht="21.75" hidden="1" customHeight="1">
      <c r="A78" s="21"/>
      <c r="B78" s="11" t="s">
        <v>72</v>
      </c>
      <c r="C78" s="13" t="s">
        <v>73</v>
      </c>
      <c r="D78" s="11" t="s">
        <v>66</v>
      </c>
      <c r="E78" s="15">
        <v>3</v>
      </c>
      <c r="F78" s="10">
        <v>0.2</v>
      </c>
      <c r="G78" s="10">
        <v>657.87</v>
      </c>
      <c r="H78" s="53">
        <f t="shared" si="12"/>
        <v>0.13157400000000002</v>
      </c>
      <c r="I78" s="10">
        <v>0</v>
      </c>
    </row>
    <row r="79" spans="1:9" ht="27.75" hidden="1" customHeight="1">
      <c r="A79" s="21"/>
      <c r="B79" s="11" t="s">
        <v>120</v>
      </c>
      <c r="C79" s="13" t="s">
        <v>93</v>
      </c>
      <c r="D79" s="11" t="s">
        <v>66</v>
      </c>
      <c r="E79" s="15">
        <v>1</v>
      </c>
      <c r="F79" s="57">
        <f>SUM(E79)</f>
        <v>1</v>
      </c>
      <c r="G79" s="10">
        <v>1118.72</v>
      </c>
      <c r="H79" s="53">
        <f t="shared" si="12"/>
        <v>1.1187199999999999</v>
      </c>
      <c r="I79" s="10">
        <v>0</v>
      </c>
    </row>
    <row r="80" spans="1:9" ht="21" hidden="1" customHeight="1">
      <c r="A80" s="21"/>
      <c r="B80" s="39" t="s">
        <v>140</v>
      </c>
      <c r="C80" s="40" t="s">
        <v>93</v>
      </c>
      <c r="D80" s="11" t="s">
        <v>66</v>
      </c>
      <c r="E80" s="15">
        <v>1</v>
      </c>
      <c r="F80" s="49">
        <v>1</v>
      </c>
      <c r="G80" s="10">
        <v>1605.83</v>
      </c>
      <c r="H80" s="53">
        <f>SUM(F80*G80/1000)</f>
        <v>1.6058299999999999</v>
      </c>
      <c r="I80" s="10">
        <v>0</v>
      </c>
    </row>
    <row r="81" spans="1:9" ht="27.75" customHeight="1">
      <c r="A81" s="21">
        <v>19</v>
      </c>
      <c r="B81" s="91" t="s">
        <v>141</v>
      </c>
      <c r="C81" s="92" t="s">
        <v>93</v>
      </c>
      <c r="D81" s="152" t="s">
        <v>173</v>
      </c>
      <c r="E81" s="14">
        <v>2</v>
      </c>
      <c r="F81" s="162">
        <f>E81*12</f>
        <v>24</v>
      </c>
      <c r="G81" s="26">
        <v>425</v>
      </c>
      <c r="H81" s="53">
        <f t="shared" ref="H81" si="13">SUM(F81*G81/1000)</f>
        <v>10.199999999999999</v>
      </c>
      <c r="I81" s="10">
        <f>G81*2</f>
        <v>850</v>
      </c>
    </row>
    <row r="82" spans="1:9" ht="21.75" hidden="1" customHeight="1">
      <c r="A82" s="21"/>
      <c r="B82" s="71" t="s">
        <v>74</v>
      </c>
      <c r="C82" s="13"/>
      <c r="D82" s="11"/>
      <c r="E82" s="15"/>
      <c r="F82" s="10"/>
      <c r="G82" s="10" t="s">
        <v>130</v>
      </c>
      <c r="H82" s="53" t="s">
        <v>130</v>
      </c>
      <c r="I82" s="10"/>
    </row>
    <row r="83" spans="1:9" ht="21.75" hidden="1" customHeight="1">
      <c r="A83" s="21"/>
      <c r="B83" s="35" t="s">
        <v>99</v>
      </c>
      <c r="C83" s="13" t="s">
        <v>75</v>
      </c>
      <c r="D83" s="11"/>
      <c r="E83" s="15"/>
      <c r="F83" s="10">
        <v>0.1</v>
      </c>
      <c r="G83" s="10">
        <v>2949.85</v>
      </c>
      <c r="H83" s="53">
        <f t="shared" ref="H83" si="14">SUM(F83*G83/1000)</f>
        <v>0.294985</v>
      </c>
      <c r="I83" s="10">
        <v>0</v>
      </c>
    </row>
    <row r="84" spans="1:9" ht="15.75" hidden="1" customHeight="1">
      <c r="A84" s="21"/>
      <c r="B84" s="111" t="s">
        <v>89</v>
      </c>
      <c r="C84" s="71"/>
      <c r="D84" s="23"/>
      <c r="E84" s="24"/>
      <c r="F84" s="59"/>
      <c r="G84" s="59"/>
      <c r="H84" s="72">
        <f>SUM(H58:H83)</f>
        <v>251.46685567200001</v>
      </c>
      <c r="I84" s="59"/>
    </row>
    <row r="85" spans="1:9" ht="15.75" hidden="1" customHeight="1">
      <c r="A85" s="21"/>
      <c r="B85" s="11" t="s">
        <v>145</v>
      </c>
      <c r="C85" s="13"/>
      <c r="D85" s="11"/>
      <c r="E85" s="11"/>
      <c r="F85" s="10">
        <v>1</v>
      </c>
      <c r="G85" s="10">
        <v>20408</v>
      </c>
      <c r="H85" s="53">
        <f>G85*F85/1000</f>
        <v>20.408000000000001</v>
      </c>
      <c r="I85" s="10">
        <v>0</v>
      </c>
    </row>
    <row r="86" spans="1:9" ht="15.75" hidden="1" customHeight="1">
      <c r="A86" s="21"/>
      <c r="B86" s="11" t="s">
        <v>146</v>
      </c>
      <c r="C86" s="13"/>
      <c r="D86" s="11"/>
      <c r="E86" s="11"/>
      <c r="F86" s="10">
        <v>62</v>
      </c>
      <c r="G86" s="10">
        <v>700</v>
      </c>
      <c r="H86" s="53">
        <f t="shared" ref="H86" si="15">G86*F86/1000</f>
        <v>43.4</v>
      </c>
      <c r="I86" s="10">
        <v>0</v>
      </c>
    </row>
    <row r="87" spans="1:9" ht="15.75" customHeight="1">
      <c r="A87" s="201" t="s">
        <v>128</v>
      </c>
      <c r="B87" s="202"/>
      <c r="C87" s="202"/>
      <c r="D87" s="202"/>
      <c r="E87" s="202"/>
      <c r="F87" s="202"/>
      <c r="G87" s="202"/>
      <c r="H87" s="202"/>
      <c r="I87" s="203"/>
    </row>
    <row r="88" spans="1:9" ht="15.75" customHeight="1">
      <c r="A88" s="21">
        <v>20</v>
      </c>
      <c r="B88" s="159" t="s">
        <v>97</v>
      </c>
      <c r="C88" s="153" t="s">
        <v>55</v>
      </c>
      <c r="D88" s="38"/>
      <c r="E88" s="26">
        <v>3227.7</v>
      </c>
      <c r="F88" s="26">
        <f>SUM(E88*12)</f>
        <v>38732.399999999994</v>
      </c>
      <c r="G88" s="26">
        <v>3.5</v>
      </c>
      <c r="H88" s="53">
        <f t="shared" ref="H88" si="16">G88*F88/1000</f>
        <v>135.56339999999997</v>
      </c>
      <c r="I88" s="10">
        <f>F88/12*G88</f>
        <v>11296.949999999997</v>
      </c>
    </row>
    <row r="89" spans="1:9" ht="31.5" customHeight="1">
      <c r="A89" s="21">
        <v>21</v>
      </c>
      <c r="B89" s="152" t="s">
        <v>186</v>
      </c>
      <c r="C89" s="153" t="s">
        <v>150</v>
      </c>
      <c r="D89" s="90"/>
      <c r="E89" s="166">
        <f>E88</f>
        <v>3227.7</v>
      </c>
      <c r="F89" s="26">
        <f>E89*12</f>
        <v>38732.399999999994</v>
      </c>
      <c r="G89" s="26">
        <v>3.2</v>
      </c>
      <c r="H89" s="53">
        <f>F89*G89/1000</f>
        <v>123.94367999999999</v>
      </c>
      <c r="I89" s="10">
        <f>F89/12*G89</f>
        <v>10328.64</v>
      </c>
    </row>
    <row r="90" spans="1:9" ht="15.75" customHeight="1">
      <c r="A90" s="21"/>
      <c r="B90" s="27" t="s">
        <v>78</v>
      </c>
      <c r="C90" s="71"/>
      <c r="D90" s="70"/>
      <c r="E90" s="59"/>
      <c r="F90" s="59"/>
      <c r="G90" s="59"/>
      <c r="H90" s="72">
        <f>SUM(H89)</f>
        <v>123.94367999999999</v>
      </c>
      <c r="I90" s="59">
        <f>I89+I88+I81+I74+I63+I62+I60+I59+I58++I43+I42+I41+I40+I38+I37+I24+I21+I18+I17+I16+I20</f>
        <v>43137.090014999987</v>
      </c>
    </row>
    <row r="91" spans="1:9" ht="15.75" customHeight="1">
      <c r="A91" s="207" t="s">
        <v>60</v>
      </c>
      <c r="B91" s="208"/>
      <c r="C91" s="208"/>
      <c r="D91" s="208"/>
      <c r="E91" s="208"/>
      <c r="F91" s="208"/>
      <c r="G91" s="208"/>
      <c r="H91" s="208"/>
      <c r="I91" s="209"/>
    </row>
    <row r="92" spans="1:9" ht="15.75" customHeight="1">
      <c r="A92" s="21">
        <v>22</v>
      </c>
      <c r="B92" s="91" t="s">
        <v>79</v>
      </c>
      <c r="C92" s="92" t="s">
        <v>93</v>
      </c>
      <c r="D92" s="90"/>
      <c r="E92" s="26"/>
      <c r="F92" s="26">
        <v>4</v>
      </c>
      <c r="G92" s="26">
        <v>224.48</v>
      </c>
      <c r="H92" s="10"/>
      <c r="I92" s="10">
        <f>G92*1</f>
        <v>224.48</v>
      </c>
    </row>
    <row r="93" spans="1:9" ht="31.5" customHeight="1">
      <c r="A93" s="21">
        <v>23</v>
      </c>
      <c r="B93" s="91" t="s">
        <v>218</v>
      </c>
      <c r="C93" s="92" t="s">
        <v>136</v>
      </c>
      <c r="D93" s="90" t="s">
        <v>221</v>
      </c>
      <c r="E93" s="26"/>
      <c r="F93" s="26">
        <v>1</v>
      </c>
      <c r="G93" s="26">
        <v>1584.54</v>
      </c>
      <c r="H93" s="89"/>
      <c r="I93" s="10">
        <f>G93*1</f>
        <v>1584.54</v>
      </c>
    </row>
    <row r="94" spans="1:9" ht="18.75" customHeight="1">
      <c r="A94" s="21">
        <v>24</v>
      </c>
      <c r="B94" s="91" t="s">
        <v>181</v>
      </c>
      <c r="C94" s="92" t="s">
        <v>40</v>
      </c>
      <c r="D94" s="90" t="s">
        <v>172</v>
      </c>
      <c r="E94" s="26"/>
      <c r="F94" s="26">
        <v>0.02</v>
      </c>
      <c r="G94" s="26">
        <v>28224.75</v>
      </c>
      <c r="H94" s="89"/>
      <c r="I94" s="10">
        <v>0</v>
      </c>
    </row>
    <row r="95" spans="1:9" ht="18.75" customHeight="1">
      <c r="A95" s="21">
        <v>25</v>
      </c>
      <c r="B95" s="91" t="s">
        <v>219</v>
      </c>
      <c r="C95" s="92" t="s">
        <v>206</v>
      </c>
      <c r="D95" s="90" t="s">
        <v>220</v>
      </c>
      <c r="E95" s="26"/>
      <c r="F95" s="26">
        <v>1</v>
      </c>
      <c r="G95" s="26">
        <v>187.71</v>
      </c>
      <c r="H95" s="89"/>
      <c r="I95" s="10">
        <f>G95*1</f>
        <v>187.71</v>
      </c>
    </row>
    <row r="96" spans="1:9" ht="18.75" customHeight="1">
      <c r="A96" s="21">
        <v>26</v>
      </c>
      <c r="B96" s="91" t="s">
        <v>151</v>
      </c>
      <c r="C96" s="92" t="s">
        <v>136</v>
      </c>
      <c r="D96" s="90">
        <v>33</v>
      </c>
      <c r="E96" s="26"/>
      <c r="F96" s="26">
        <v>53</v>
      </c>
      <c r="G96" s="26">
        <v>295.36</v>
      </c>
      <c r="H96" s="89"/>
      <c r="I96" s="10">
        <v>0</v>
      </c>
    </row>
    <row r="97" spans="1:9" ht="18.75" customHeight="1">
      <c r="A97" s="21">
        <v>27</v>
      </c>
      <c r="B97" s="91" t="s">
        <v>167</v>
      </c>
      <c r="C97" s="92" t="s">
        <v>152</v>
      </c>
      <c r="D97" s="90"/>
      <c r="E97" s="26"/>
      <c r="F97" s="26">
        <v>8</v>
      </c>
      <c r="G97" s="26">
        <v>236.08</v>
      </c>
      <c r="H97" s="89"/>
      <c r="I97" s="10">
        <f>G97*4</f>
        <v>944.32</v>
      </c>
    </row>
    <row r="98" spans="1:9">
      <c r="A98" s="21"/>
      <c r="B98" s="33" t="s">
        <v>52</v>
      </c>
      <c r="C98" s="29"/>
      <c r="D98" s="36"/>
      <c r="E98" s="29">
        <v>1</v>
      </c>
      <c r="F98" s="29"/>
      <c r="G98" s="29"/>
      <c r="H98" s="29"/>
      <c r="I98" s="24">
        <f>SUM(I92:I97)</f>
        <v>2941.05</v>
      </c>
    </row>
    <row r="99" spans="1:9" ht="15.75" customHeight="1">
      <c r="A99" s="21"/>
      <c r="B99" s="35" t="s">
        <v>76</v>
      </c>
      <c r="C99" s="12"/>
      <c r="D99" s="12"/>
      <c r="E99" s="30"/>
      <c r="F99" s="30"/>
      <c r="G99" s="31"/>
      <c r="H99" s="31"/>
      <c r="I99" s="14">
        <v>0</v>
      </c>
    </row>
    <row r="100" spans="1:9" ht="15.75" customHeight="1">
      <c r="A100" s="37"/>
      <c r="B100" s="34" t="s">
        <v>147</v>
      </c>
      <c r="C100" s="25"/>
      <c r="D100" s="25"/>
      <c r="E100" s="25"/>
      <c r="F100" s="25"/>
      <c r="G100" s="25"/>
      <c r="H100" s="25"/>
      <c r="I100" s="32">
        <f>I90+I98</f>
        <v>46078.14001499999</v>
      </c>
    </row>
    <row r="101" spans="1:9" ht="15.75" customHeight="1">
      <c r="A101" s="210" t="s">
        <v>246</v>
      </c>
      <c r="B101" s="210"/>
      <c r="C101" s="210"/>
      <c r="D101" s="210"/>
      <c r="E101" s="210"/>
      <c r="F101" s="210"/>
      <c r="G101" s="210"/>
      <c r="H101" s="210"/>
      <c r="I101" s="210"/>
    </row>
    <row r="102" spans="1:9" ht="15.75" customHeight="1">
      <c r="A102" s="43"/>
      <c r="B102" s="211" t="s">
        <v>247</v>
      </c>
      <c r="C102" s="211"/>
      <c r="D102" s="211"/>
      <c r="E102" s="211"/>
      <c r="F102" s="211"/>
      <c r="G102" s="211"/>
      <c r="H102" s="52"/>
      <c r="I102" s="2"/>
    </row>
    <row r="103" spans="1:9" ht="15.75" customHeight="1">
      <c r="A103" s="110"/>
      <c r="B103" s="195" t="s">
        <v>6</v>
      </c>
      <c r="C103" s="195"/>
      <c r="D103" s="195"/>
      <c r="E103" s="195"/>
      <c r="F103" s="195"/>
      <c r="G103" s="195"/>
      <c r="H103" s="16"/>
      <c r="I103" s="4"/>
    </row>
    <row r="104" spans="1:9" ht="7.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 customHeight="1">
      <c r="A105" s="212" t="s">
        <v>7</v>
      </c>
      <c r="B105" s="212"/>
      <c r="C105" s="212"/>
      <c r="D105" s="212"/>
      <c r="E105" s="212"/>
      <c r="F105" s="212"/>
      <c r="G105" s="212"/>
      <c r="H105" s="212"/>
      <c r="I105" s="212"/>
    </row>
    <row r="106" spans="1:9" ht="15.75">
      <c r="A106" s="212" t="s">
        <v>8</v>
      </c>
      <c r="B106" s="212"/>
      <c r="C106" s="212"/>
      <c r="D106" s="212"/>
      <c r="E106" s="212"/>
      <c r="F106" s="212"/>
      <c r="G106" s="212"/>
      <c r="H106" s="212"/>
      <c r="I106" s="212"/>
    </row>
    <row r="107" spans="1:9" ht="15.75">
      <c r="A107" s="199" t="s">
        <v>61</v>
      </c>
      <c r="B107" s="199"/>
      <c r="C107" s="199"/>
      <c r="D107" s="199"/>
      <c r="E107" s="199"/>
      <c r="F107" s="199"/>
      <c r="G107" s="199"/>
      <c r="H107" s="199"/>
      <c r="I107" s="199"/>
    </row>
    <row r="108" spans="1:9" ht="8.25" customHeight="1">
      <c r="A108" s="8"/>
    </row>
    <row r="109" spans="1:9" ht="15.75">
      <c r="A109" s="193" t="s">
        <v>9</v>
      </c>
      <c r="B109" s="193"/>
      <c r="C109" s="193"/>
      <c r="D109" s="193"/>
      <c r="E109" s="193"/>
      <c r="F109" s="193"/>
      <c r="G109" s="193"/>
      <c r="H109" s="193"/>
      <c r="I109" s="193"/>
    </row>
    <row r="110" spans="1:9" ht="15.75">
      <c r="A110" s="3"/>
    </row>
    <row r="111" spans="1:9" ht="15.75" customHeight="1">
      <c r="B111" s="107" t="s">
        <v>10</v>
      </c>
      <c r="C111" s="194" t="s">
        <v>190</v>
      </c>
      <c r="D111" s="194"/>
      <c r="E111" s="194"/>
      <c r="F111" s="50"/>
      <c r="I111" s="108"/>
    </row>
    <row r="112" spans="1:9" ht="15.75" customHeight="1">
      <c r="A112" s="110"/>
      <c r="C112" s="195" t="s">
        <v>11</v>
      </c>
      <c r="D112" s="195"/>
      <c r="E112" s="195"/>
      <c r="F112" s="16"/>
      <c r="I112" s="109" t="s">
        <v>12</v>
      </c>
    </row>
    <row r="113" spans="1:9" ht="15.75" customHeight="1">
      <c r="A113" s="17"/>
      <c r="C113" s="9"/>
      <c r="D113" s="9"/>
      <c r="G113" s="9"/>
      <c r="H113" s="9"/>
    </row>
    <row r="114" spans="1:9" ht="15.75" customHeight="1">
      <c r="B114" s="107" t="s">
        <v>13</v>
      </c>
      <c r="C114" s="196"/>
      <c r="D114" s="196"/>
      <c r="E114" s="196"/>
      <c r="F114" s="51"/>
      <c r="I114" s="108"/>
    </row>
    <row r="115" spans="1:9">
      <c r="A115" s="110"/>
      <c r="C115" s="197" t="s">
        <v>11</v>
      </c>
      <c r="D115" s="197"/>
      <c r="E115" s="197"/>
      <c r="F115" s="110"/>
      <c r="I115" s="109" t="s">
        <v>12</v>
      </c>
    </row>
    <row r="116" spans="1:9" ht="15.75">
      <c r="A116" s="3" t="s">
        <v>14</v>
      </c>
    </row>
    <row r="117" spans="1:9">
      <c r="A117" s="198" t="s">
        <v>15</v>
      </c>
      <c r="B117" s="198"/>
      <c r="C117" s="198"/>
      <c r="D117" s="198"/>
      <c r="E117" s="198"/>
      <c r="F117" s="198"/>
      <c r="G117" s="198"/>
      <c r="H117" s="198"/>
      <c r="I117" s="198"/>
    </row>
    <row r="118" spans="1:9" ht="45" customHeight="1">
      <c r="A118" s="192" t="s">
        <v>16</v>
      </c>
      <c r="B118" s="192"/>
      <c r="C118" s="192"/>
      <c r="D118" s="192"/>
      <c r="E118" s="192"/>
      <c r="F118" s="192"/>
      <c r="G118" s="192"/>
      <c r="H118" s="192"/>
      <c r="I118" s="192"/>
    </row>
    <row r="119" spans="1:9" ht="30" customHeight="1">
      <c r="A119" s="192" t="s">
        <v>17</v>
      </c>
      <c r="B119" s="192"/>
      <c r="C119" s="192"/>
      <c r="D119" s="192"/>
      <c r="E119" s="192"/>
      <c r="F119" s="192"/>
      <c r="G119" s="192"/>
      <c r="H119" s="192"/>
      <c r="I119" s="192"/>
    </row>
    <row r="120" spans="1:9" ht="30" customHeight="1">
      <c r="A120" s="192" t="s">
        <v>21</v>
      </c>
      <c r="B120" s="192"/>
      <c r="C120" s="192"/>
      <c r="D120" s="192"/>
      <c r="E120" s="192"/>
      <c r="F120" s="192"/>
      <c r="G120" s="192"/>
      <c r="H120" s="192"/>
      <c r="I120" s="192"/>
    </row>
    <row r="121" spans="1:9" ht="15" customHeight="1">
      <c r="A121" s="192" t="s">
        <v>20</v>
      </c>
      <c r="B121" s="192"/>
      <c r="C121" s="192"/>
      <c r="D121" s="192"/>
      <c r="E121" s="192"/>
      <c r="F121" s="192"/>
      <c r="G121" s="192"/>
      <c r="H121" s="192"/>
      <c r="I121" s="192"/>
    </row>
  </sheetData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7:I27"/>
    <mergeCell ref="A44:I44"/>
    <mergeCell ref="A56:I56"/>
    <mergeCell ref="A87:I87"/>
    <mergeCell ref="A91:I91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  <rowBreaks count="1" manualBreakCount="1">
    <brk id="11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43" zoomScale="60" zoomScaleNormal="100" workbookViewId="0">
      <selection activeCell="I101" sqref="I101"/>
    </sheetView>
  </sheetViews>
  <sheetFormatPr defaultRowHeight="15"/>
  <cols>
    <col min="2" max="2" width="53.85546875" customWidth="1"/>
    <col min="3" max="3" width="18.85546875" customWidth="1"/>
    <col min="4" max="4" width="18.7109375" customWidth="1"/>
    <col min="5" max="6" width="0" hidden="1" customWidth="1"/>
    <col min="7" max="7" width="17.5703125" customWidth="1"/>
    <col min="8" max="8" width="0" hidden="1" customWidth="1"/>
    <col min="9" max="9" width="18.1406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154</v>
      </c>
      <c r="B3" s="214"/>
      <c r="C3" s="214"/>
      <c r="D3" s="214"/>
      <c r="E3" s="214"/>
      <c r="F3" s="214"/>
      <c r="G3" s="214"/>
      <c r="H3" s="214"/>
      <c r="I3" s="214"/>
    </row>
    <row r="4" spans="1:9" ht="36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222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16"/>
      <c r="C6" s="116"/>
      <c r="D6" s="116"/>
      <c r="E6" s="116"/>
      <c r="F6" s="116"/>
      <c r="G6" s="116"/>
      <c r="H6" s="116"/>
      <c r="I6" s="22">
        <v>44316</v>
      </c>
    </row>
    <row r="7" spans="1:9" ht="15.75">
      <c r="B7" s="115"/>
      <c r="C7" s="115"/>
      <c r="D7" s="115"/>
      <c r="E7" s="2"/>
      <c r="F7" s="2"/>
      <c r="G7" s="2"/>
      <c r="H7" s="2"/>
    </row>
    <row r="8" spans="1:9" ht="84.75" customHeight="1">
      <c r="A8" s="217" t="s">
        <v>223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52.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63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24" si="0">SUM(F16*G16/1000)</f>
        <v>17.68489632</v>
      </c>
      <c r="I16" s="10">
        <f>F16/12*G16</f>
        <v>1473.74136</v>
      </c>
    </row>
    <row r="17" spans="1:9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>
      <c r="A18" s="21">
        <v>3</v>
      </c>
      <c r="B18" s="159" t="s">
        <v>105</v>
      </c>
      <c r="C18" s="160" t="s">
        <v>83</v>
      </c>
      <c r="D18" s="159" t="s">
        <v>177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F18/18*G18</f>
        <v>1630.6828800000001</v>
      </c>
    </row>
    <row r="19" spans="1:9" hidden="1">
      <c r="A19" s="21"/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si="0"/>
        <v>1.0147999999999999</v>
      </c>
      <c r="I19" s="10">
        <f>4*G19</f>
        <v>1014.8</v>
      </c>
    </row>
    <row r="20" spans="1:9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0"/>
        <v>0.40929839999999995</v>
      </c>
      <c r="I20" s="10">
        <f>G20*F20/12</f>
        <v>34.108199999999997</v>
      </c>
    </row>
    <row r="21" spans="1:9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0"/>
        <v>0.24397741199999998</v>
      </c>
      <c r="I21" s="10">
        <f>F21/12*G21</f>
        <v>20.331451000000001</v>
      </c>
    </row>
    <row r="22" spans="1:9" hidden="1">
      <c r="A22" s="21"/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0"/>
        <v>2.8662815999999998</v>
      </c>
      <c r="I22" s="10">
        <f>3.57*G22</f>
        <v>1433.1407999999999</v>
      </c>
    </row>
    <row r="23" spans="1:9" hidden="1">
      <c r="A23" s="21"/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0"/>
        <v>5.1027984000000005E-2</v>
      </c>
      <c r="I23" s="10">
        <f>0.3864*G23</f>
        <v>25.513992000000002</v>
      </c>
    </row>
    <row r="24" spans="1:9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0"/>
        <v>1.045836</v>
      </c>
      <c r="I24" s="10">
        <f>0.15*G24</f>
        <v>87.152999999999992</v>
      </c>
    </row>
    <row r="25" spans="1:9" hidden="1">
      <c r="A25" s="21"/>
      <c r="B25" s="54" t="s">
        <v>114</v>
      </c>
      <c r="C25" s="55" t="s">
        <v>53</v>
      </c>
      <c r="D25" s="54" t="s">
        <v>108</v>
      </c>
      <c r="E25" s="56">
        <v>6.38</v>
      </c>
      <c r="F25" s="57">
        <f>SUM(E25/100)</f>
        <v>6.3799999999999996E-2</v>
      </c>
      <c r="G25" s="57">
        <v>683.05</v>
      </c>
      <c r="H25" s="58">
        <f t="shared" ref="H25" si="1">SUM(F25*G25/1000)</f>
        <v>4.3578589999999993E-2</v>
      </c>
      <c r="I25" s="10">
        <v>0</v>
      </c>
    </row>
    <row r="26" spans="1:9" hidden="1">
      <c r="A26" s="21">
        <v>4</v>
      </c>
      <c r="B26" s="159" t="s">
        <v>169</v>
      </c>
      <c r="C26" s="160" t="s">
        <v>150</v>
      </c>
      <c r="D26" s="159" t="s">
        <v>174</v>
      </c>
      <c r="E26" s="161">
        <v>3.82</v>
      </c>
      <c r="F26" s="162">
        <f>E26*258</f>
        <v>985.56</v>
      </c>
      <c r="G26" s="162">
        <v>10.39</v>
      </c>
      <c r="H26" s="58">
        <f t="shared" ref="H26" si="2">SUM(F26*G26/1000)</f>
        <v>10.2399684</v>
      </c>
      <c r="I26" s="10">
        <f>F26/12*G26</f>
        <v>853.33069999999998</v>
      </c>
    </row>
    <row r="27" spans="1:9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idden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idden="1">
      <c r="A29" s="21">
        <v>6</v>
      </c>
      <c r="B29" s="54" t="s">
        <v>91</v>
      </c>
      <c r="C29" s="55" t="s">
        <v>85</v>
      </c>
      <c r="D29" s="54" t="s">
        <v>137</v>
      </c>
      <c r="E29" s="57">
        <v>124.74</v>
      </c>
      <c r="F29" s="57">
        <f>SUM(E29*52/1000)</f>
        <v>6.4864799999999994</v>
      </c>
      <c r="G29" s="57">
        <v>204.44</v>
      </c>
      <c r="H29" s="58">
        <f t="shared" ref="H29:H34" si="3">SUM(F29*G29/1000)</f>
        <v>1.3260959712</v>
      </c>
      <c r="I29" s="10">
        <f>F29/6*G29</f>
        <v>221.01599519999996</v>
      </c>
    </row>
    <row r="30" spans="1:9" ht="45" hidden="1">
      <c r="A30" s="21">
        <v>7</v>
      </c>
      <c r="B30" s="54" t="s">
        <v>132</v>
      </c>
      <c r="C30" s="55" t="s">
        <v>85</v>
      </c>
      <c r="D30" s="54" t="s">
        <v>138</v>
      </c>
      <c r="E30" s="57">
        <v>31.4</v>
      </c>
      <c r="F30" s="57">
        <f>SUM(E30*52/1000)</f>
        <v>1.6328</v>
      </c>
      <c r="G30" s="57">
        <v>339.21</v>
      </c>
      <c r="H30" s="58">
        <f t="shared" si="3"/>
        <v>0.55386208799999992</v>
      </c>
      <c r="I30" s="10">
        <f t="shared" ref="I30:I32" si="4">F30/6*G30</f>
        <v>92.310347999999991</v>
      </c>
    </row>
    <row r="31" spans="1:9" hidden="1">
      <c r="A31" s="21"/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si="3"/>
        <v>0.49396538100000004</v>
      </c>
      <c r="I31" s="10">
        <f t="shared" si="4"/>
        <v>82.327563500000011</v>
      </c>
    </row>
    <row r="32" spans="1:9" hidden="1">
      <c r="A32" s="21">
        <v>8</v>
      </c>
      <c r="B32" s="54" t="s">
        <v>90</v>
      </c>
      <c r="C32" s="55" t="s">
        <v>30</v>
      </c>
      <c r="D32" s="54" t="s">
        <v>63</v>
      </c>
      <c r="E32" s="60">
        <f>1/3</f>
        <v>0.33333333333333331</v>
      </c>
      <c r="F32" s="57">
        <f>155/3</f>
        <v>51.666666666666664</v>
      </c>
      <c r="G32" s="57">
        <v>74.349999999999994</v>
      </c>
      <c r="H32" s="58">
        <f t="shared" si="3"/>
        <v>3.841416666666666</v>
      </c>
      <c r="I32" s="10">
        <f t="shared" si="4"/>
        <v>640.23611111111109</v>
      </c>
    </row>
    <row r="33" spans="1:9" hidden="1">
      <c r="A33" s="21"/>
      <c r="B33" s="54" t="s">
        <v>64</v>
      </c>
      <c r="C33" s="55" t="s">
        <v>32</v>
      </c>
      <c r="D33" s="54" t="s">
        <v>66</v>
      </c>
      <c r="E33" s="56"/>
      <c r="F33" s="57">
        <v>2</v>
      </c>
      <c r="G33" s="57">
        <v>250.92</v>
      </c>
      <c r="H33" s="58">
        <f t="shared" si="3"/>
        <v>0.50183999999999995</v>
      </c>
      <c r="I33" s="10">
        <v>0</v>
      </c>
    </row>
    <row r="34" spans="1:9" hidden="1">
      <c r="A34" s="21"/>
      <c r="B34" s="54" t="s">
        <v>65</v>
      </c>
      <c r="C34" s="55" t="s">
        <v>31</v>
      </c>
      <c r="D34" s="54" t="s">
        <v>66</v>
      </c>
      <c r="E34" s="56"/>
      <c r="F34" s="57">
        <v>1</v>
      </c>
      <c r="G34" s="57">
        <v>1490.31</v>
      </c>
      <c r="H34" s="58">
        <f t="shared" si="3"/>
        <v>1.49031</v>
      </c>
      <c r="I34" s="10">
        <v>0</v>
      </c>
    </row>
    <row r="35" spans="1:9">
      <c r="A35" s="21"/>
      <c r="B35" s="73" t="s">
        <v>5</v>
      </c>
      <c r="C35" s="55"/>
      <c r="D35" s="54"/>
      <c r="E35" s="56"/>
      <c r="F35" s="57"/>
      <c r="G35" s="57"/>
      <c r="H35" s="58" t="s">
        <v>130</v>
      </c>
      <c r="I35" s="10"/>
    </row>
    <row r="36" spans="1:9" ht="15.75" hidden="1" customHeight="1">
      <c r="A36" s="21">
        <v>6</v>
      </c>
      <c r="B36" s="54" t="s">
        <v>25</v>
      </c>
      <c r="C36" s="55" t="s">
        <v>31</v>
      </c>
      <c r="D36" s="54"/>
      <c r="E36" s="56"/>
      <c r="F36" s="57">
        <v>6</v>
      </c>
      <c r="G36" s="57">
        <v>2003</v>
      </c>
      <c r="H36" s="58">
        <f>SUM(F36*G36/1000)</f>
        <v>12.018000000000001</v>
      </c>
      <c r="I36" s="10">
        <f>F36/6*G36</f>
        <v>2003</v>
      </c>
    </row>
    <row r="37" spans="1:9">
      <c r="A37" s="21">
        <v>7</v>
      </c>
      <c r="B37" s="172" t="s">
        <v>67</v>
      </c>
      <c r="C37" s="173" t="s">
        <v>28</v>
      </c>
      <c r="D37" s="172" t="s">
        <v>176</v>
      </c>
      <c r="E37" s="174">
        <v>26.07</v>
      </c>
      <c r="F37" s="174">
        <f>SUM(E37*30/1000)</f>
        <v>0.78210000000000002</v>
      </c>
      <c r="G37" s="174">
        <v>2757.78</v>
      </c>
      <c r="H37" s="58">
        <f t="shared" ref="H37:H42" si="5">SUM(F37*G37/1000)</f>
        <v>2.1568597380000001</v>
      </c>
      <c r="I37" s="10">
        <f t="shared" ref="I37:I40" si="6">F37/6*G37</f>
        <v>359.47662300000002</v>
      </c>
    </row>
    <row r="38" spans="1:9">
      <c r="A38" s="21">
        <v>8</v>
      </c>
      <c r="B38" s="159" t="s">
        <v>68</v>
      </c>
      <c r="C38" s="160" t="s">
        <v>28</v>
      </c>
      <c r="D38" s="159" t="s">
        <v>175</v>
      </c>
      <c r="E38" s="162">
        <v>31.4</v>
      </c>
      <c r="F38" s="174">
        <f>SUM(E38*155/1000)</f>
        <v>4.867</v>
      </c>
      <c r="G38" s="162">
        <v>460.02</v>
      </c>
      <c r="H38" s="58">
        <f t="shared" si="5"/>
        <v>2.23891734</v>
      </c>
      <c r="I38" s="10">
        <f t="shared" si="6"/>
        <v>373.15289000000001</v>
      </c>
    </row>
    <row r="39" spans="1:9" ht="33" customHeight="1">
      <c r="A39" s="21">
        <v>9</v>
      </c>
      <c r="B39" s="159" t="s">
        <v>115</v>
      </c>
      <c r="C39" s="160" t="s">
        <v>55</v>
      </c>
      <c r="D39" s="159" t="s">
        <v>224</v>
      </c>
      <c r="E39" s="166"/>
      <c r="F39" s="174">
        <v>110</v>
      </c>
      <c r="G39" s="162">
        <v>314</v>
      </c>
      <c r="H39" s="58">
        <f t="shared" si="5"/>
        <v>34.54</v>
      </c>
      <c r="I39" s="10">
        <f>G39*78</f>
        <v>24492</v>
      </c>
    </row>
    <row r="40" spans="1:9" ht="45">
      <c r="A40" s="21">
        <v>10</v>
      </c>
      <c r="B40" s="159" t="s">
        <v>80</v>
      </c>
      <c r="C40" s="160" t="s">
        <v>85</v>
      </c>
      <c r="D40" s="159" t="s">
        <v>176</v>
      </c>
      <c r="E40" s="162">
        <v>26.07</v>
      </c>
      <c r="F40" s="174">
        <f>SUM(E40*30/1000)</f>
        <v>0.78210000000000002</v>
      </c>
      <c r="G40" s="162">
        <v>7611.16</v>
      </c>
      <c r="H40" s="58">
        <f t="shared" si="5"/>
        <v>5.9526882360000002</v>
      </c>
      <c r="I40" s="10">
        <f t="shared" si="6"/>
        <v>992.11470599999996</v>
      </c>
    </row>
    <row r="41" spans="1:9" hidden="1">
      <c r="A41" s="21">
        <v>9</v>
      </c>
      <c r="B41" s="159" t="s">
        <v>86</v>
      </c>
      <c r="C41" s="160" t="s">
        <v>85</v>
      </c>
      <c r="D41" s="159" t="s">
        <v>172</v>
      </c>
      <c r="E41" s="162">
        <v>26.07</v>
      </c>
      <c r="F41" s="174">
        <f>SUM(E41*24/1000)</f>
        <v>0.62568000000000001</v>
      </c>
      <c r="G41" s="162">
        <v>562.25</v>
      </c>
      <c r="H41" s="58">
        <f t="shared" si="5"/>
        <v>0.35178858000000002</v>
      </c>
      <c r="I41" s="10">
        <f>G41*F41/24*2</f>
        <v>29.315715000000001</v>
      </c>
    </row>
    <row r="42" spans="1:9" hidden="1">
      <c r="A42" s="21">
        <v>10</v>
      </c>
      <c r="B42" s="172" t="s">
        <v>69</v>
      </c>
      <c r="C42" s="173" t="s">
        <v>32</v>
      </c>
      <c r="D42" s="172"/>
      <c r="E42" s="175"/>
      <c r="F42" s="174">
        <v>0.3</v>
      </c>
      <c r="G42" s="174">
        <v>974.83</v>
      </c>
      <c r="H42" s="58">
        <f t="shared" si="5"/>
        <v>0.29244900000000001</v>
      </c>
      <c r="I42" s="10">
        <f>G42*F42/24*2</f>
        <v>24.370750000000001</v>
      </c>
    </row>
    <row r="43" spans="1:9" ht="30">
      <c r="A43" s="21">
        <v>11</v>
      </c>
      <c r="B43" s="91" t="s">
        <v>166</v>
      </c>
      <c r="C43" s="92" t="s">
        <v>28</v>
      </c>
      <c r="D43" s="172" t="s">
        <v>172</v>
      </c>
      <c r="E43" s="175">
        <v>3</v>
      </c>
      <c r="F43" s="174">
        <f>SUM(E43*12/1000)</f>
        <v>3.5999999999999997E-2</v>
      </c>
      <c r="G43" s="174">
        <v>20547.34</v>
      </c>
      <c r="H43" s="49"/>
      <c r="I43" s="10">
        <f>G43*F43/6*1</f>
        <v>123.28403999999999</v>
      </c>
    </row>
    <row r="44" spans="1:9" ht="20.25" hidden="1" customHeight="1">
      <c r="A44" s="201" t="s">
        <v>124</v>
      </c>
      <c r="B44" s="202"/>
      <c r="C44" s="202"/>
      <c r="D44" s="202"/>
      <c r="E44" s="202"/>
      <c r="F44" s="202"/>
      <c r="G44" s="202"/>
      <c r="H44" s="202"/>
      <c r="I44" s="203"/>
    </row>
    <row r="45" spans="1:9" ht="24" hidden="1" customHeight="1">
      <c r="A45" s="21"/>
      <c r="B45" s="54" t="s">
        <v>92</v>
      </c>
      <c r="C45" s="55" t="s">
        <v>85</v>
      </c>
      <c r="D45" s="54" t="s">
        <v>42</v>
      </c>
      <c r="E45" s="56">
        <v>1109.4000000000001</v>
      </c>
      <c r="F45" s="57">
        <f>SUM(E45*2/1000)</f>
        <v>2.2188000000000003</v>
      </c>
      <c r="G45" s="10">
        <v>1172.4100000000001</v>
      </c>
      <c r="H45" s="58">
        <f t="shared" ref="H45:H55" si="7">SUM(F45*G45/1000)</f>
        <v>2.6013433080000006</v>
      </c>
      <c r="I45" s="10">
        <v>0</v>
      </c>
    </row>
    <row r="46" spans="1:9" ht="39.75" hidden="1" customHeight="1">
      <c r="A46" s="21"/>
      <c r="B46" s="54" t="s">
        <v>35</v>
      </c>
      <c r="C46" s="55" t="s">
        <v>85</v>
      </c>
      <c r="D46" s="54" t="s">
        <v>42</v>
      </c>
      <c r="E46" s="56">
        <v>66</v>
      </c>
      <c r="F46" s="57">
        <f>SUM(E46*2/1000)</f>
        <v>0.13200000000000001</v>
      </c>
      <c r="G46" s="10">
        <v>4419.05</v>
      </c>
      <c r="H46" s="58">
        <f t="shared" si="7"/>
        <v>0.58331460000000002</v>
      </c>
      <c r="I46" s="10">
        <v>0</v>
      </c>
    </row>
    <row r="47" spans="1:9" ht="27" hidden="1" customHeight="1">
      <c r="A47" s="21"/>
      <c r="B47" s="54" t="s">
        <v>36</v>
      </c>
      <c r="C47" s="55" t="s">
        <v>85</v>
      </c>
      <c r="D47" s="54" t="s">
        <v>42</v>
      </c>
      <c r="E47" s="56">
        <v>1563.2750000000001</v>
      </c>
      <c r="F47" s="57">
        <f>SUM(E47*2/1000)</f>
        <v>3.1265500000000004</v>
      </c>
      <c r="G47" s="10">
        <v>1803.69</v>
      </c>
      <c r="H47" s="58">
        <f t="shared" si="7"/>
        <v>5.6393269695000008</v>
      </c>
      <c r="I47" s="10">
        <v>0</v>
      </c>
    </row>
    <row r="48" spans="1:9" ht="14.25" hidden="1" customHeight="1">
      <c r="A48" s="21"/>
      <c r="B48" s="54" t="s">
        <v>37</v>
      </c>
      <c r="C48" s="55" t="s">
        <v>85</v>
      </c>
      <c r="D48" s="54" t="s">
        <v>42</v>
      </c>
      <c r="E48" s="56">
        <v>1619.6</v>
      </c>
      <c r="F48" s="57">
        <f>SUM(E48*2/1000)</f>
        <v>3.2391999999999999</v>
      </c>
      <c r="G48" s="10">
        <v>1243.43</v>
      </c>
      <c r="H48" s="58">
        <f t="shared" si="7"/>
        <v>4.0277184559999997</v>
      </c>
      <c r="I48" s="10">
        <v>0</v>
      </c>
    </row>
    <row r="49" spans="1:9" ht="19.5" hidden="1" customHeight="1">
      <c r="A49" s="21"/>
      <c r="B49" s="54" t="s">
        <v>33</v>
      </c>
      <c r="C49" s="55" t="s">
        <v>34</v>
      </c>
      <c r="D49" s="54" t="s">
        <v>42</v>
      </c>
      <c r="E49" s="56">
        <v>85.84</v>
      </c>
      <c r="F49" s="57">
        <f>SUM(E49*2/100)</f>
        <v>1.7168000000000001</v>
      </c>
      <c r="G49" s="10">
        <v>1352.76</v>
      </c>
      <c r="H49" s="58">
        <f t="shared" si="7"/>
        <v>2.3224183680000001</v>
      </c>
      <c r="I49" s="10">
        <v>0</v>
      </c>
    </row>
    <row r="50" spans="1:9" ht="39.75" hidden="1" customHeight="1">
      <c r="A50" s="21">
        <v>12</v>
      </c>
      <c r="B50" s="54" t="s">
        <v>56</v>
      </c>
      <c r="C50" s="55" t="s">
        <v>85</v>
      </c>
      <c r="D50" s="54" t="s">
        <v>133</v>
      </c>
      <c r="E50" s="56">
        <v>2579.4</v>
      </c>
      <c r="F50" s="57">
        <f>SUM(E50*5/1000)</f>
        <v>12.897</v>
      </c>
      <c r="G50" s="10">
        <v>1803.69</v>
      </c>
      <c r="H50" s="58">
        <f t="shared" si="7"/>
        <v>23.262189930000002</v>
      </c>
      <c r="I50" s="10">
        <f>F50/5*G50</f>
        <v>4652.4379860000008</v>
      </c>
    </row>
    <row r="51" spans="1:9" ht="31.5" hidden="1" customHeight="1">
      <c r="A51" s="21">
        <v>9</v>
      </c>
      <c r="B51" s="54" t="s">
        <v>87</v>
      </c>
      <c r="C51" s="55" t="s">
        <v>85</v>
      </c>
      <c r="D51" s="54" t="s">
        <v>42</v>
      </c>
      <c r="E51" s="56">
        <v>2579.4</v>
      </c>
      <c r="F51" s="57">
        <f>SUM(E51*2/1000)</f>
        <v>5.1588000000000003</v>
      </c>
      <c r="G51" s="10">
        <v>1591.6</v>
      </c>
      <c r="H51" s="58">
        <f t="shared" si="7"/>
        <v>8.2107460800000016</v>
      </c>
      <c r="I51" s="10">
        <f>F51/2*G51</f>
        <v>4105.3730400000004</v>
      </c>
    </row>
    <row r="52" spans="1:9" ht="20.25" hidden="1" customHeight="1">
      <c r="A52" s="21">
        <v>10</v>
      </c>
      <c r="B52" s="54" t="s">
        <v>88</v>
      </c>
      <c r="C52" s="55" t="s">
        <v>38</v>
      </c>
      <c r="D52" s="54" t="s">
        <v>42</v>
      </c>
      <c r="E52" s="56">
        <v>20</v>
      </c>
      <c r="F52" s="57">
        <f>SUM(E52*2/100)</f>
        <v>0.4</v>
      </c>
      <c r="G52" s="10">
        <v>4058.32</v>
      </c>
      <c r="H52" s="58">
        <f t="shared" si="7"/>
        <v>1.6233280000000001</v>
      </c>
      <c r="I52" s="10">
        <f t="shared" ref="I52:I53" si="8">F52/2*G52</f>
        <v>811.6640000000001</v>
      </c>
    </row>
    <row r="53" spans="1:9" ht="20.25" hidden="1" customHeight="1">
      <c r="A53" s="21">
        <v>11</v>
      </c>
      <c r="B53" s="54" t="s">
        <v>39</v>
      </c>
      <c r="C53" s="55" t="s">
        <v>40</v>
      </c>
      <c r="D53" s="54" t="s">
        <v>42</v>
      </c>
      <c r="E53" s="56">
        <v>1</v>
      </c>
      <c r="F53" s="57">
        <v>0.02</v>
      </c>
      <c r="G53" s="10">
        <v>7412.92</v>
      </c>
      <c r="H53" s="58">
        <f t="shared" si="7"/>
        <v>0.14825839999999998</v>
      </c>
      <c r="I53" s="10">
        <f t="shared" si="8"/>
        <v>74.129199999999997</v>
      </c>
    </row>
    <row r="54" spans="1:9" ht="18.75" hidden="1" customHeight="1">
      <c r="A54" s="21">
        <v>8</v>
      </c>
      <c r="B54" s="54" t="s">
        <v>98</v>
      </c>
      <c r="C54" s="55" t="s">
        <v>93</v>
      </c>
      <c r="D54" s="163">
        <v>43944</v>
      </c>
      <c r="E54" s="56">
        <v>62</v>
      </c>
      <c r="F54" s="57">
        <f>SUM(E54*3)</f>
        <v>186</v>
      </c>
      <c r="G54" s="10">
        <v>185.08</v>
      </c>
      <c r="H54" s="58">
        <f t="shared" si="7"/>
        <v>34.424880000000002</v>
      </c>
      <c r="I54" s="10">
        <f>F54/3*G54</f>
        <v>11474.960000000001</v>
      </c>
    </row>
    <row r="55" spans="1:9" ht="14.25" hidden="1" customHeight="1">
      <c r="A55" s="75">
        <v>9</v>
      </c>
      <c r="B55" s="63" t="s">
        <v>41</v>
      </c>
      <c r="C55" s="62" t="s">
        <v>93</v>
      </c>
      <c r="D55" s="164">
        <v>43944</v>
      </c>
      <c r="E55" s="64">
        <v>124</v>
      </c>
      <c r="F55" s="65">
        <f>SUM(E55)*3</f>
        <v>372</v>
      </c>
      <c r="G55" s="76">
        <v>86.15</v>
      </c>
      <c r="H55" s="66">
        <f t="shared" si="7"/>
        <v>32.047800000000002</v>
      </c>
      <c r="I55" s="10">
        <f>F55/3*G55</f>
        <v>10682.6</v>
      </c>
    </row>
    <row r="56" spans="1:9">
      <c r="A56" s="204" t="s">
        <v>232</v>
      </c>
      <c r="B56" s="205"/>
      <c r="C56" s="205"/>
      <c r="D56" s="205"/>
      <c r="E56" s="205"/>
      <c r="F56" s="205"/>
      <c r="G56" s="205"/>
      <c r="H56" s="205"/>
      <c r="I56" s="206"/>
    </row>
    <row r="57" spans="1:9">
      <c r="A57" s="77"/>
      <c r="B57" s="78" t="s">
        <v>43</v>
      </c>
      <c r="C57" s="79"/>
      <c r="D57" s="80"/>
      <c r="E57" s="81"/>
      <c r="F57" s="82"/>
      <c r="G57" s="82"/>
      <c r="H57" s="83"/>
      <c r="I57" s="84"/>
    </row>
    <row r="58" spans="1:9" ht="33.75" hidden="1" customHeight="1">
      <c r="A58" s="21">
        <v>10</v>
      </c>
      <c r="B58" s="54" t="s">
        <v>101</v>
      </c>
      <c r="C58" s="55" t="s">
        <v>83</v>
      </c>
      <c r="D58" s="54"/>
      <c r="E58" s="56">
        <v>126.94</v>
      </c>
      <c r="F58" s="57">
        <f>SUM(E58*6/100)</f>
        <v>7.6163999999999996</v>
      </c>
      <c r="G58" s="10">
        <v>2029.3</v>
      </c>
      <c r="H58" s="58">
        <f>SUM(F58*G58/1000)</f>
        <v>15.455960519999998</v>
      </c>
      <c r="I58" s="10">
        <f>G58*0.229</f>
        <v>464.7097</v>
      </c>
    </row>
    <row r="59" spans="1:9" ht="30">
      <c r="A59" s="21">
        <v>12</v>
      </c>
      <c r="B59" s="54" t="s">
        <v>77</v>
      </c>
      <c r="C59" s="55" t="s">
        <v>83</v>
      </c>
      <c r="D59" s="54" t="s">
        <v>173</v>
      </c>
      <c r="E59" s="15">
        <v>19.899999999999999</v>
      </c>
      <c r="F59" s="57">
        <f>SUM(E59*6/100)</f>
        <v>1.194</v>
      </c>
      <c r="G59" s="179">
        <v>2306.83</v>
      </c>
      <c r="H59" s="58">
        <f t="shared" ref="H59" si="9">SUM(F59*G59/1000)</f>
        <v>2.7543550199999998</v>
      </c>
      <c r="I59" s="10">
        <f t="shared" ref="I59" si="10">F59/6*G59</f>
        <v>459.05916999999994</v>
      </c>
    </row>
    <row r="60" spans="1:9">
      <c r="A60" s="21">
        <v>13</v>
      </c>
      <c r="B60" s="63" t="s">
        <v>121</v>
      </c>
      <c r="C60" s="62" t="s">
        <v>122</v>
      </c>
      <c r="D60" s="63" t="s">
        <v>225</v>
      </c>
      <c r="E60" s="85"/>
      <c r="F60" s="65">
        <v>3</v>
      </c>
      <c r="G60" s="179">
        <v>1800</v>
      </c>
      <c r="H60" s="58">
        <f t="shared" ref="H60" si="11">SUM(F60*G60/1000)</f>
        <v>5.4</v>
      </c>
      <c r="I60" s="10">
        <f>G60*4.5</f>
        <v>8100</v>
      </c>
    </row>
    <row r="61" spans="1:9">
      <c r="A61" s="21"/>
      <c r="B61" s="74" t="s">
        <v>44</v>
      </c>
      <c r="C61" s="62"/>
      <c r="D61" s="63"/>
      <c r="E61" s="64"/>
      <c r="F61" s="65"/>
      <c r="G61" s="49"/>
      <c r="H61" s="66"/>
      <c r="I61" s="84"/>
    </row>
    <row r="62" spans="1:9" hidden="1">
      <c r="A62" s="21"/>
      <c r="B62" s="63" t="s">
        <v>45</v>
      </c>
      <c r="C62" s="62" t="s">
        <v>83</v>
      </c>
      <c r="D62" s="63" t="s">
        <v>54</v>
      </c>
      <c r="E62" s="64">
        <v>450</v>
      </c>
      <c r="F62" s="57">
        <f>SUM(E62/100)</f>
        <v>4.5</v>
      </c>
      <c r="G62" s="10">
        <v>1040.8399999999999</v>
      </c>
      <c r="H62" s="67">
        <v>7.6349999999999998</v>
      </c>
      <c r="I62" s="10">
        <v>0</v>
      </c>
    </row>
    <row r="63" spans="1:9">
      <c r="A63" s="21">
        <v>14</v>
      </c>
      <c r="B63" s="149" t="s">
        <v>188</v>
      </c>
      <c r="C63" s="150" t="s">
        <v>150</v>
      </c>
      <c r="D63" s="149" t="s">
        <v>177</v>
      </c>
      <c r="E63" s="170">
        <v>48</v>
      </c>
      <c r="F63" s="171">
        <v>576</v>
      </c>
      <c r="G63" s="26">
        <v>1.4</v>
      </c>
      <c r="H63" s="67"/>
      <c r="I63" s="10">
        <f>G63*F63/12</f>
        <v>67.2</v>
      </c>
    </row>
    <row r="64" spans="1:9" hidden="1">
      <c r="A64" s="21"/>
      <c r="B64" s="74" t="s">
        <v>46</v>
      </c>
      <c r="C64" s="62"/>
      <c r="D64" s="63"/>
      <c r="E64" s="64"/>
      <c r="F64" s="65"/>
      <c r="G64" s="68"/>
      <c r="H64" s="66" t="s">
        <v>130</v>
      </c>
      <c r="I64" s="10"/>
    </row>
    <row r="65" spans="1:9" hidden="1">
      <c r="A65" s="21">
        <v>16</v>
      </c>
      <c r="B65" s="11" t="s">
        <v>47</v>
      </c>
      <c r="C65" s="13" t="s">
        <v>93</v>
      </c>
      <c r="D65" s="11" t="s">
        <v>66</v>
      </c>
      <c r="E65" s="15">
        <v>5</v>
      </c>
      <c r="F65" s="57">
        <f>E65</f>
        <v>5</v>
      </c>
      <c r="G65" s="10">
        <v>291.68</v>
      </c>
      <c r="H65" s="53">
        <f t="shared" ref="H65:H72" si="12">SUM(F65*G65/1000)</f>
        <v>1.4584000000000001</v>
      </c>
      <c r="I65" s="10">
        <f>G65</f>
        <v>291.68</v>
      </c>
    </row>
    <row r="66" spans="1:9" hidden="1">
      <c r="A66" s="21"/>
      <c r="B66" s="11" t="s">
        <v>48</v>
      </c>
      <c r="C66" s="13" t="s">
        <v>93</v>
      </c>
      <c r="D66" s="11" t="s">
        <v>66</v>
      </c>
      <c r="E66" s="15">
        <v>2</v>
      </c>
      <c r="F66" s="57">
        <f>E66</f>
        <v>2</v>
      </c>
      <c r="G66" s="10">
        <v>100.01</v>
      </c>
      <c r="H66" s="53">
        <f t="shared" si="12"/>
        <v>0.20002</v>
      </c>
      <c r="I66" s="10">
        <v>0</v>
      </c>
    </row>
    <row r="67" spans="1:9" hidden="1">
      <c r="A67" s="21"/>
      <c r="B67" s="11" t="s">
        <v>49</v>
      </c>
      <c r="C67" s="13" t="s">
        <v>94</v>
      </c>
      <c r="D67" s="11" t="s">
        <v>54</v>
      </c>
      <c r="E67" s="56">
        <v>13313</v>
      </c>
      <c r="F67" s="10">
        <f>SUM(E67/100)</f>
        <v>133.13</v>
      </c>
      <c r="G67" s="10">
        <v>278.24</v>
      </c>
      <c r="H67" s="53">
        <f t="shared" si="12"/>
        <v>37.042091200000002</v>
      </c>
      <c r="I67" s="10">
        <v>0</v>
      </c>
    </row>
    <row r="68" spans="1:9" hidden="1">
      <c r="A68" s="21"/>
      <c r="B68" s="11" t="s">
        <v>50</v>
      </c>
      <c r="C68" s="13" t="s">
        <v>95</v>
      </c>
      <c r="D68" s="11"/>
      <c r="E68" s="56">
        <v>13313</v>
      </c>
      <c r="F68" s="10">
        <f>SUM(E68/1000)</f>
        <v>13.313000000000001</v>
      </c>
      <c r="G68" s="10">
        <v>216.68</v>
      </c>
      <c r="H68" s="53">
        <f t="shared" si="12"/>
        <v>2.88466084</v>
      </c>
      <c r="I68" s="10">
        <v>0</v>
      </c>
    </row>
    <row r="69" spans="1:9" hidden="1">
      <c r="A69" s="21"/>
      <c r="B69" s="11" t="s">
        <v>51</v>
      </c>
      <c r="C69" s="13" t="s">
        <v>75</v>
      </c>
      <c r="D69" s="11" t="s">
        <v>54</v>
      </c>
      <c r="E69" s="56">
        <v>2184</v>
      </c>
      <c r="F69" s="10">
        <f>SUM(E69/100)</f>
        <v>21.84</v>
      </c>
      <c r="G69" s="10">
        <v>2720.94</v>
      </c>
      <c r="H69" s="53">
        <f t="shared" si="12"/>
        <v>59.425329599999998</v>
      </c>
      <c r="I69" s="10">
        <v>0</v>
      </c>
    </row>
    <row r="70" spans="1:9" hidden="1">
      <c r="A70" s="21"/>
      <c r="B70" s="69" t="s">
        <v>96</v>
      </c>
      <c r="C70" s="13" t="s">
        <v>32</v>
      </c>
      <c r="D70" s="11"/>
      <c r="E70" s="56">
        <v>12.2</v>
      </c>
      <c r="F70" s="10">
        <f>SUM(E70)</f>
        <v>12.2</v>
      </c>
      <c r="G70" s="10">
        <v>42.61</v>
      </c>
      <c r="H70" s="53">
        <f t="shared" si="12"/>
        <v>0.51984200000000003</v>
      </c>
      <c r="I70" s="10">
        <v>0</v>
      </c>
    </row>
    <row r="71" spans="1:9" hidden="1">
      <c r="A71" s="21"/>
      <c r="B71" s="69" t="s">
        <v>131</v>
      </c>
      <c r="C71" s="13" t="s">
        <v>32</v>
      </c>
      <c r="D71" s="11"/>
      <c r="E71" s="56">
        <v>12.2</v>
      </c>
      <c r="F71" s="10">
        <f>SUM(E71)</f>
        <v>12.2</v>
      </c>
      <c r="G71" s="10">
        <v>46.04</v>
      </c>
      <c r="H71" s="53">
        <f t="shared" si="12"/>
        <v>0.56168799999999997</v>
      </c>
      <c r="I71" s="10">
        <v>0</v>
      </c>
    </row>
    <row r="72" spans="1:9" hidden="1">
      <c r="A72" s="21"/>
      <c r="B72" s="11" t="s">
        <v>57</v>
      </c>
      <c r="C72" s="13" t="s">
        <v>58</v>
      </c>
      <c r="D72" s="11" t="s">
        <v>54</v>
      </c>
      <c r="E72" s="15">
        <v>3</v>
      </c>
      <c r="F72" s="57">
        <v>3</v>
      </c>
      <c r="G72" s="10">
        <v>65.42</v>
      </c>
      <c r="H72" s="53">
        <f t="shared" si="12"/>
        <v>0.19625999999999999</v>
      </c>
      <c r="I72" s="10">
        <v>0</v>
      </c>
    </row>
    <row r="73" spans="1:9" ht="20.25" customHeight="1">
      <c r="A73" s="21"/>
      <c r="B73" s="117" t="s">
        <v>71</v>
      </c>
      <c r="C73" s="13"/>
      <c r="D73" s="11"/>
      <c r="E73" s="15"/>
      <c r="F73" s="10"/>
      <c r="G73" s="10"/>
      <c r="H73" s="53" t="s">
        <v>130</v>
      </c>
      <c r="I73" s="10"/>
    </row>
    <row r="74" spans="1:9" ht="20.25" hidden="1" customHeight="1">
      <c r="A74" s="21"/>
      <c r="B74" s="11" t="s">
        <v>117</v>
      </c>
      <c r="C74" s="13" t="s">
        <v>93</v>
      </c>
      <c r="D74" s="11" t="s">
        <v>66</v>
      </c>
      <c r="E74" s="15">
        <v>1</v>
      </c>
      <c r="F74" s="10">
        <v>1</v>
      </c>
      <c r="G74" s="10">
        <v>1029.1199999999999</v>
      </c>
      <c r="H74" s="53">
        <f t="shared" ref="H74:H77" si="13">SUM(F74*G74/1000)</f>
        <v>1.0291199999999998</v>
      </c>
      <c r="I74" s="10">
        <v>0</v>
      </c>
    </row>
    <row r="75" spans="1:9" ht="25.5" hidden="1" customHeight="1">
      <c r="A75" s="21"/>
      <c r="B75" s="11" t="s">
        <v>118</v>
      </c>
      <c r="C75" s="13" t="s">
        <v>119</v>
      </c>
      <c r="D75" s="11"/>
      <c r="E75" s="15">
        <v>1</v>
      </c>
      <c r="F75" s="10">
        <f>E75</f>
        <v>1</v>
      </c>
      <c r="G75" s="10">
        <v>735</v>
      </c>
      <c r="H75" s="53">
        <f t="shared" si="13"/>
        <v>0.73499999999999999</v>
      </c>
      <c r="I75" s="10">
        <v>0</v>
      </c>
    </row>
    <row r="76" spans="1:9" ht="22.5" hidden="1" customHeight="1">
      <c r="A76" s="21"/>
      <c r="B76" s="11" t="s">
        <v>72</v>
      </c>
      <c r="C76" s="13" t="s">
        <v>73</v>
      </c>
      <c r="D76" s="11" t="s">
        <v>66</v>
      </c>
      <c r="E76" s="15">
        <v>3</v>
      </c>
      <c r="F76" s="10">
        <v>0.2</v>
      </c>
      <c r="G76" s="10">
        <v>657.87</v>
      </c>
      <c r="H76" s="53">
        <f t="shared" si="13"/>
        <v>0.13157400000000002</v>
      </c>
      <c r="I76" s="10">
        <v>0</v>
      </c>
    </row>
    <row r="77" spans="1:9" ht="21.75" hidden="1" customHeight="1">
      <c r="A77" s="21"/>
      <c r="B77" s="11" t="s">
        <v>120</v>
      </c>
      <c r="C77" s="13" t="s">
        <v>93</v>
      </c>
      <c r="D77" s="11" t="s">
        <v>66</v>
      </c>
      <c r="E77" s="15">
        <v>1</v>
      </c>
      <c r="F77" s="57">
        <f>SUM(E77)</f>
        <v>1</v>
      </c>
      <c r="G77" s="10">
        <v>1118.72</v>
      </c>
      <c r="H77" s="53">
        <f t="shared" si="13"/>
        <v>1.1187199999999999</v>
      </c>
      <c r="I77" s="10">
        <v>0</v>
      </c>
    </row>
    <row r="78" spans="1:9" ht="24.75" hidden="1" customHeight="1">
      <c r="A78" s="21"/>
      <c r="B78" s="39" t="s">
        <v>140</v>
      </c>
      <c r="C78" s="40" t="s">
        <v>93</v>
      </c>
      <c r="D78" s="11" t="s">
        <v>66</v>
      </c>
      <c r="E78" s="15">
        <v>1</v>
      </c>
      <c r="F78" s="49">
        <v>1</v>
      </c>
      <c r="G78" s="10">
        <v>1605.83</v>
      </c>
      <c r="H78" s="53">
        <f>SUM(F78*G78/1000)</f>
        <v>1.6058299999999999</v>
      </c>
      <c r="I78" s="10">
        <v>0</v>
      </c>
    </row>
    <row r="79" spans="1:9" ht="30" customHeight="1">
      <c r="A79" s="21">
        <v>15</v>
      </c>
      <c r="B79" s="91" t="s">
        <v>141</v>
      </c>
      <c r="C79" s="92" t="s">
        <v>93</v>
      </c>
      <c r="D79" s="152" t="s">
        <v>173</v>
      </c>
      <c r="E79" s="14">
        <v>2</v>
      </c>
      <c r="F79" s="162">
        <f>E79*12</f>
        <v>24</v>
      </c>
      <c r="G79" s="26">
        <v>425</v>
      </c>
      <c r="H79" s="53">
        <f t="shared" ref="H79" si="14">SUM(F79*G79/1000)</f>
        <v>10.199999999999999</v>
      </c>
      <c r="I79" s="10">
        <f>G79*2</f>
        <v>850</v>
      </c>
    </row>
    <row r="80" spans="1:9" ht="17.25" customHeight="1">
      <c r="A80" s="21"/>
      <c r="B80" s="71" t="s">
        <v>74</v>
      </c>
      <c r="C80" s="13"/>
      <c r="D80" s="11"/>
      <c r="E80" s="15"/>
      <c r="F80" s="10"/>
      <c r="G80" s="10" t="s">
        <v>130</v>
      </c>
      <c r="H80" s="53" t="s">
        <v>130</v>
      </c>
      <c r="I80" s="10"/>
    </row>
    <row r="81" spans="1:9" ht="17.25" customHeight="1">
      <c r="A81" s="21">
        <v>16</v>
      </c>
      <c r="B81" s="154" t="s">
        <v>99</v>
      </c>
      <c r="C81" s="155" t="s">
        <v>75</v>
      </c>
      <c r="D81" s="156" t="s">
        <v>231</v>
      </c>
      <c r="E81" s="157"/>
      <c r="F81" s="158">
        <v>0.1</v>
      </c>
      <c r="G81" s="176">
        <v>10738.88</v>
      </c>
      <c r="H81" s="53">
        <f t="shared" ref="H81" si="15">SUM(F81*G81/1000)</f>
        <v>1.073888</v>
      </c>
      <c r="I81" s="10">
        <f>G81*0.06</f>
        <v>644.33279999999991</v>
      </c>
    </row>
    <row r="82" spans="1:9">
      <c r="A82" s="21"/>
      <c r="B82" s="86" t="s">
        <v>142</v>
      </c>
      <c r="C82" s="40"/>
      <c r="D82" s="11"/>
      <c r="E82" s="15"/>
      <c r="F82" s="49"/>
      <c r="G82" s="10"/>
      <c r="H82" s="53"/>
      <c r="I82" s="10"/>
    </row>
    <row r="83" spans="1:9">
      <c r="A83" s="21">
        <v>17</v>
      </c>
      <c r="B83" s="152" t="s">
        <v>143</v>
      </c>
      <c r="C83" s="28" t="s">
        <v>144</v>
      </c>
      <c r="D83" s="152"/>
      <c r="E83" s="14">
        <v>3227.7</v>
      </c>
      <c r="F83" s="26">
        <f>SUM(E83*12)</f>
        <v>38732.399999999994</v>
      </c>
      <c r="G83" s="26">
        <v>2.6</v>
      </c>
      <c r="H83" s="53">
        <f t="shared" ref="H83" si="16">SUM(F83*G83/1000)</f>
        <v>100.70423999999998</v>
      </c>
      <c r="I83" s="10">
        <f>F83/12*G83</f>
        <v>8392.0199999999986</v>
      </c>
    </row>
    <row r="84" spans="1:9" ht="18.75" hidden="1" customHeight="1">
      <c r="A84" s="21"/>
      <c r="B84" s="117" t="s">
        <v>89</v>
      </c>
      <c r="C84" s="71"/>
      <c r="D84" s="23"/>
      <c r="E84" s="24"/>
      <c r="F84" s="59"/>
      <c r="G84" s="59"/>
      <c r="H84" s="72">
        <f>SUM(H58:H81)</f>
        <v>149.42773918000003</v>
      </c>
      <c r="I84" s="59"/>
    </row>
    <row r="85" spans="1:9" ht="17.25" hidden="1" customHeight="1">
      <c r="A85" s="21"/>
      <c r="B85" s="11" t="s">
        <v>145</v>
      </c>
      <c r="C85" s="13"/>
      <c r="D85" s="11"/>
      <c r="E85" s="11"/>
      <c r="F85" s="10">
        <v>1</v>
      </c>
      <c r="G85" s="10">
        <v>20408</v>
      </c>
      <c r="H85" s="53">
        <f>G85*F85/1000</f>
        <v>20.408000000000001</v>
      </c>
      <c r="I85" s="10">
        <v>0</v>
      </c>
    </row>
    <row r="86" spans="1:9" ht="15.75" hidden="1" customHeight="1">
      <c r="A86" s="21"/>
      <c r="B86" s="11" t="s">
        <v>146</v>
      </c>
      <c r="C86" s="13"/>
      <c r="D86" s="11"/>
      <c r="E86" s="11"/>
      <c r="F86" s="10">
        <v>62</v>
      </c>
      <c r="G86" s="10">
        <v>700</v>
      </c>
      <c r="H86" s="53">
        <f t="shared" ref="H86" si="17">G86*F86/1000</f>
        <v>43.4</v>
      </c>
      <c r="I86" s="10">
        <v>0</v>
      </c>
    </row>
    <row r="87" spans="1:9">
      <c r="A87" s="201" t="s">
        <v>128</v>
      </c>
      <c r="B87" s="202"/>
      <c r="C87" s="202"/>
      <c r="D87" s="202"/>
      <c r="E87" s="202"/>
      <c r="F87" s="202"/>
      <c r="G87" s="202"/>
      <c r="H87" s="202"/>
      <c r="I87" s="203"/>
    </row>
    <row r="88" spans="1:9">
      <c r="A88" s="21">
        <v>18</v>
      </c>
      <c r="B88" s="159" t="s">
        <v>97</v>
      </c>
      <c r="C88" s="153" t="s">
        <v>55</v>
      </c>
      <c r="D88" s="38"/>
      <c r="E88" s="26">
        <v>3227.7</v>
      </c>
      <c r="F88" s="26">
        <f>SUM(E88*12)</f>
        <v>38732.399999999994</v>
      </c>
      <c r="G88" s="26">
        <v>3.5</v>
      </c>
      <c r="H88" s="53">
        <f t="shared" ref="H88" si="18">G88*F88/1000</f>
        <v>135.56339999999997</v>
      </c>
      <c r="I88" s="10">
        <f>F88/12*G88</f>
        <v>11296.949999999997</v>
      </c>
    </row>
    <row r="89" spans="1:9" ht="30">
      <c r="A89" s="21">
        <v>19</v>
      </c>
      <c r="B89" s="152" t="s">
        <v>186</v>
      </c>
      <c r="C89" s="153" t="s">
        <v>150</v>
      </c>
      <c r="D89" s="90"/>
      <c r="E89" s="166">
        <f>E88</f>
        <v>3227.7</v>
      </c>
      <c r="F89" s="26">
        <f>E89*12</f>
        <v>38732.399999999994</v>
      </c>
      <c r="G89" s="26">
        <v>3.2</v>
      </c>
      <c r="H89" s="53">
        <f>F89*G89/1000</f>
        <v>123.94367999999999</v>
      </c>
      <c r="I89" s="10">
        <f>F89/12*G89</f>
        <v>10328.64</v>
      </c>
    </row>
    <row r="90" spans="1:9">
      <c r="A90" s="21"/>
      <c r="B90" s="27" t="s">
        <v>78</v>
      </c>
      <c r="C90" s="71"/>
      <c r="D90" s="70"/>
      <c r="E90" s="59"/>
      <c r="F90" s="59"/>
      <c r="G90" s="59"/>
      <c r="H90" s="72">
        <f>SUM(H89)</f>
        <v>123.94367999999999</v>
      </c>
      <c r="I90" s="59">
        <f>I89+I88+I83+I81+I79+I60+I43+I40+I39+I38+I37+I24+I21+I18+I17+I16+I59+I20</f>
        <v>73587.024079999988</v>
      </c>
    </row>
    <row r="91" spans="1:9">
      <c r="A91" s="207" t="s">
        <v>60</v>
      </c>
      <c r="B91" s="208"/>
      <c r="C91" s="208"/>
      <c r="D91" s="208"/>
      <c r="E91" s="208"/>
      <c r="F91" s="208"/>
      <c r="G91" s="208"/>
      <c r="H91" s="208"/>
      <c r="I91" s="209"/>
    </row>
    <row r="92" spans="1:9">
      <c r="A92" s="21">
        <v>20</v>
      </c>
      <c r="B92" s="11" t="s">
        <v>149</v>
      </c>
      <c r="C92" s="13" t="s">
        <v>150</v>
      </c>
      <c r="D92" s="11"/>
      <c r="E92" s="15"/>
      <c r="F92" s="10">
        <v>96</v>
      </c>
      <c r="G92" s="10">
        <v>1.4</v>
      </c>
      <c r="H92" s="10">
        <f t="shared" ref="H92" si="19">F92*G92/1000</f>
        <v>0.13439999999999996</v>
      </c>
      <c r="I92" s="10">
        <f>G92*48</f>
        <v>67.199999999999989</v>
      </c>
    </row>
    <row r="93" spans="1:9" ht="31.5" customHeight="1">
      <c r="A93" s="21">
        <v>21</v>
      </c>
      <c r="B93" s="91" t="s">
        <v>226</v>
      </c>
      <c r="C93" s="92" t="s">
        <v>227</v>
      </c>
      <c r="D93" s="90" t="s">
        <v>229</v>
      </c>
      <c r="E93" s="26"/>
      <c r="F93" s="26">
        <v>6.89</v>
      </c>
      <c r="G93" s="26">
        <v>5273.1</v>
      </c>
      <c r="H93" s="89"/>
      <c r="I93" s="10">
        <f>G93*0.689</f>
        <v>3633.1659</v>
      </c>
    </row>
    <row r="94" spans="1:9" ht="20.25" customHeight="1">
      <c r="A94" s="21">
        <v>22</v>
      </c>
      <c r="B94" s="91" t="s">
        <v>228</v>
      </c>
      <c r="C94" s="92" t="s">
        <v>93</v>
      </c>
      <c r="D94" s="90" t="s">
        <v>230</v>
      </c>
      <c r="E94" s="26"/>
      <c r="F94" s="26">
        <v>5</v>
      </c>
      <c r="G94" s="26">
        <v>350</v>
      </c>
      <c r="H94" s="89"/>
      <c r="I94" s="10">
        <f>G94*5</f>
        <v>1750</v>
      </c>
    </row>
    <row r="95" spans="1:9" ht="36.75" customHeight="1">
      <c r="A95" s="21">
        <v>23</v>
      </c>
      <c r="B95" s="91" t="s">
        <v>168</v>
      </c>
      <c r="C95" s="92" t="s">
        <v>38</v>
      </c>
      <c r="D95" s="90" t="s">
        <v>177</v>
      </c>
      <c r="E95" s="26"/>
      <c r="F95" s="26">
        <v>0.02</v>
      </c>
      <c r="G95" s="26">
        <v>4233.72</v>
      </c>
      <c r="H95" s="89"/>
      <c r="I95" s="10">
        <v>0</v>
      </c>
    </row>
    <row r="96" spans="1:9">
      <c r="A96" s="21"/>
      <c r="B96" s="33" t="s">
        <v>52</v>
      </c>
      <c r="C96" s="29"/>
      <c r="D96" s="36"/>
      <c r="E96" s="29">
        <v>1</v>
      </c>
      <c r="F96" s="29"/>
      <c r="G96" s="29"/>
      <c r="H96" s="29"/>
      <c r="I96" s="24">
        <f>SUM(I92:I94)</f>
        <v>5450.3658999999998</v>
      </c>
    </row>
    <row r="97" spans="1:9">
      <c r="A97" s="21"/>
      <c r="B97" s="35" t="s">
        <v>76</v>
      </c>
      <c r="C97" s="12"/>
      <c r="D97" s="12"/>
      <c r="E97" s="30"/>
      <c r="F97" s="30"/>
      <c r="G97" s="31"/>
      <c r="H97" s="31"/>
      <c r="I97" s="14">
        <v>0</v>
      </c>
    </row>
    <row r="98" spans="1:9">
      <c r="A98" s="37"/>
      <c r="B98" s="34" t="s">
        <v>147</v>
      </c>
      <c r="C98" s="25"/>
      <c r="D98" s="25"/>
      <c r="E98" s="25"/>
      <c r="F98" s="25"/>
      <c r="G98" s="25"/>
      <c r="H98" s="25"/>
      <c r="I98" s="32">
        <f>I90+I96</f>
        <v>79037.389979999993</v>
      </c>
    </row>
    <row r="99" spans="1:9" ht="15.75">
      <c r="A99" s="210" t="s">
        <v>248</v>
      </c>
      <c r="B99" s="210"/>
      <c r="C99" s="210"/>
      <c r="D99" s="210"/>
      <c r="E99" s="210"/>
      <c r="F99" s="210"/>
      <c r="G99" s="210"/>
      <c r="H99" s="210"/>
      <c r="I99" s="210"/>
    </row>
    <row r="100" spans="1:9" ht="15.75">
      <c r="A100" s="43"/>
      <c r="B100" s="211" t="s">
        <v>249</v>
      </c>
      <c r="C100" s="211"/>
      <c r="D100" s="211"/>
      <c r="E100" s="211"/>
      <c r="F100" s="211"/>
      <c r="G100" s="211"/>
      <c r="H100" s="52"/>
      <c r="I100" s="2"/>
    </row>
    <row r="101" spans="1:9">
      <c r="A101" s="114"/>
      <c r="B101" s="195" t="s">
        <v>6</v>
      </c>
      <c r="C101" s="195"/>
      <c r="D101" s="195"/>
      <c r="E101" s="195"/>
      <c r="F101" s="195"/>
      <c r="G101" s="195"/>
      <c r="H101" s="16"/>
      <c r="I101" s="4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>
      <c r="A103" s="212" t="s">
        <v>7</v>
      </c>
      <c r="B103" s="212"/>
      <c r="C103" s="212"/>
      <c r="D103" s="212"/>
      <c r="E103" s="212"/>
      <c r="F103" s="212"/>
      <c r="G103" s="212"/>
      <c r="H103" s="212"/>
      <c r="I103" s="212"/>
    </row>
    <row r="104" spans="1:9" ht="15.75">
      <c r="A104" s="212" t="s">
        <v>8</v>
      </c>
      <c r="B104" s="212"/>
      <c r="C104" s="212"/>
      <c r="D104" s="212"/>
      <c r="E104" s="212"/>
      <c r="F104" s="212"/>
      <c r="G104" s="212"/>
      <c r="H104" s="212"/>
      <c r="I104" s="212"/>
    </row>
    <row r="105" spans="1:9" ht="15.75">
      <c r="A105" s="199" t="s">
        <v>61</v>
      </c>
      <c r="B105" s="199"/>
      <c r="C105" s="199"/>
      <c r="D105" s="199"/>
      <c r="E105" s="199"/>
      <c r="F105" s="199"/>
      <c r="G105" s="199"/>
      <c r="H105" s="199"/>
      <c r="I105" s="199"/>
    </row>
    <row r="106" spans="1:9" ht="15.75">
      <c r="A106" s="8"/>
    </row>
    <row r="107" spans="1:9" ht="15.75">
      <c r="A107" s="193" t="s">
        <v>9</v>
      </c>
      <c r="B107" s="193"/>
      <c r="C107" s="193"/>
      <c r="D107" s="193"/>
      <c r="E107" s="193"/>
      <c r="F107" s="193"/>
      <c r="G107" s="193"/>
      <c r="H107" s="193"/>
      <c r="I107" s="193"/>
    </row>
    <row r="108" spans="1:9" ht="15.75">
      <c r="A108" s="3"/>
    </row>
    <row r="109" spans="1:9" ht="15.75">
      <c r="B109" s="115" t="s">
        <v>10</v>
      </c>
      <c r="C109" s="194" t="s">
        <v>190</v>
      </c>
      <c r="D109" s="194"/>
      <c r="E109" s="194"/>
      <c r="F109" s="50"/>
      <c r="I109" s="113"/>
    </row>
    <row r="110" spans="1:9">
      <c r="A110" s="114"/>
      <c r="C110" s="195" t="s">
        <v>11</v>
      </c>
      <c r="D110" s="195"/>
      <c r="E110" s="195"/>
      <c r="F110" s="16"/>
      <c r="I110" s="112" t="s">
        <v>12</v>
      </c>
    </row>
    <row r="111" spans="1:9" ht="15.75">
      <c r="A111" s="17"/>
      <c r="C111" s="9"/>
      <c r="D111" s="9"/>
      <c r="G111" s="9"/>
      <c r="H111" s="9"/>
    </row>
    <row r="112" spans="1:9" ht="15.75">
      <c r="B112" s="115" t="s">
        <v>13</v>
      </c>
      <c r="C112" s="196"/>
      <c r="D112" s="196"/>
      <c r="E112" s="196"/>
      <c r="F112" s="51"/>
      <c r="I112" s="113"/>
    </row>
    <row r="113" spans="1:9">
      <c r="A113" s="114"/>
      <c r="C113" s="197" t="s">
        <v>11</v>
      </c>
      <c r="D113" s="197"/>
      <c r="E113" s="197"/>
      <c r="F113" s="114"/>
      <c r="I113" s="112" t="s">
        <v>12</v>
      </c>
    </row>
    <row r="114" spans="1:9" ht="15.75">
      <c r="A114" s="3" t="s">
        <v>14</v>
      </c>
    </row>
    <row r="115" spans="1:9">
      <c r="A115" s="198" t="s">
        <v>15</v>
      </c>
      <c r="B115" s="198"/>
      <c r="C115" s="198"/>
      <c r="D115" s="198"/>
      <c r="E115" s="198"/>
      <c r="F115" s="198"/>
      <c r="G115" s="198"/>
      <c r="H115" s="198"/>
      <c r="I115" s="198"/>
    </row>
    <row r="116" spans="1:9" ht="50.25" customHeight="1">
      <c r="A116" s="192" t="s">
        <v>16</v>
      </c>
      <c r="B116" s="192"/>
      <c r="C116" s="192"/>
      <c r="D116" s="192"/>
      <c r="E116" s="192"/>
      <c r="F116" s="192"/>
      <c r="G116" s="192"/>
      <c r="H116" s="192"/>
      <c r="I116" s="192"/>
    </row>
    <row r="117" spans="1:9" ht="34.5" customHeight="1">
      <c r="A117" s="192" t="s">
        <v>17</v>
      </c>
      <c r="B117" s="192"/>
      <c r="C117" s="192"/>
      <c r="D117" s="192"/>
      <c r="E117" s="192"/>
      <c r="F117" s="192"/>
      <c r="G117" s="192"/>
      <c r="H117" s="192"/>
      <c r="I117" s="192"/>
    </row>
    <row r="118" spans="1:9" ht="32.25" customHeight="1">
      <c r="A118" s="192" t="s">
        <v>21</v>
      </c>
      <c r="B118" s="192"/>
      <c r="C118" s="192"/>
      <c r="D118" s="192"/>
      <c r="E118" s="192"/>
      <c r="F118" s="192"/>
      <c r="G118" s="192"/>
      <c r="H118" s="192"/>
      <c r="I118" s="192"/>
    </row>
    <row r="119" spans="1:9" ht="15.75">
      <c r="A119" s="192" t="s">
        <v>20</v>
      </c>
      <c r="B119" s="192"/>
      <c r="C119" s="192"/>
      <c r="D119" s="192"/>
      <c r="E119" s="192"/>
      <c r="F119" s="192"/>
      <c r="G119" s="192"/>
      <c r="H119" s="192"/>
      <c r="I119" s="192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7:I27"/>
    <mergeCell ref="A44:I44"/>
    <mergeCell ref="A56:I56"/>
    <mergeCell ref="A87:I87"/>
    <mergeCell ref="A91:I91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rowBreaks count="1" manualBreakCount="1">
    <brk id="10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0"/>
  <sheetViews>
    <sheetView topLeftCell="A87" workbookViewId="0">
      <selection activeCell="J109" sqref="J109"/>
    </sheetView>
  </sheetViews>
  <sheetFormatPr defaultRowHeight="15"/>
  <cols>
    <col min="1" max="1" width="12.5703125" customWidth="1"/>
    <col min="2" max="2" width="51.28515625" customWidth="1"/>
    <col min="3" max="3" width="18.140625" customWidth="1"/>
    <col min="4" max="4" width="18.28515625" customWidth="1"/>
    <col min="5" max="5" width="8" hidden="1" customWidth="1"/>
    <col min="6" max="6" width="10.140625" hidden="1" customWidth="1"/>
    <col min="7" max="7" width="17.42578125" customWidth="1"/>
    <col min="8" max="8" width="0" hidden="1" customWidth="1"/>
    <col min="9" max="9" width="18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157</v>
      </c>
      <c r="B3" s="214"/>
      <c r="C3" s="214"/>
      <c r="D3" s="214"/>
      <c r="E3" s="214"/>
      <c r="F3" s="214"/>
      <c r="G3" s="214"/>
      <c r="H3" s="214"/>
      <c r="I3" s="214"/>
    </row>
    <row r="4" spans="1:9" ht="32.2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233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19"/>
      <c r="C6" s="119"/>
      <c r="D6" s="119"/>
      <c r="E6" s="119"/>
      <c r="F6" s="119"/>
      <c r="G6" s="119"/>
      <c r="H6" s="119"/>
      <c r="I6" s="22">
        <v>44347</v>
      </c>
    </row>
    <row r="7" spans="1:9" ht="15.75">
      <c r="B7" s="120"/>
      <c r="C7" s="120"/>
      <c r="D7" s="120"/>
      <c r="E7" s="2"/>
      <c r="F7" s="2"/>
      <c r="G7" s="2"/>
      <c r="H7" s="2"/>
    </row>
    <row r="8" spans="1:9" ht="81" customHeight="1">
      <c r="A8" s="217" t="s">
        <v>234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65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78.7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24" si="0">SUM(F16*G16/1000)</f>
        <v>17.68489632</v>
      </c>
      <c r="I16" s="10">
        <f>F16/12*G16</f>
        <v>1473.74136</v>
      </c>
    </row>
    <row r="17" spans="1:9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>
      <c r="A18" s="21">
        <v>3</v>
      </c>
      <c r="B18" s="159" t="s">
        <v>105</v>
      </c>
      <c r="C18" s="160" t="s">
        <v>83</v>
      </c>
      <c r="D18" s="159" t="s">
        <v>172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F18/18*2*G18</f>
        <v>3261.3657600000001</v>
      </c>
    </row>
    <row r="19" spans="1:9" hidden="1">
      <c r="A19" s="21">
        <v>4</v>
      </c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si="0"/>
        <v>1.0147999999999999</v>
      </c>
      <c r="I19" s="10">
        <f>4*G19</f>
        <v>1014.8</v>
      </c>
    </row>
    <row r="20" spans="1:9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0"/>
        <v>0.40929839999999995</v>
      </c>
      <c r="I20" s="10">
        <f>G20*F20/12</f>
        <v>34.108199999999997</v>
      </c>
    </row>
    <row r="21" spans="1:9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0"/>
        <v>0.24397741199999998</v>
      </c>
      <c r="I21" s="10">
        <f>F21/12*G21</f>
        <v>20.331451000000001</v>
      </c>
    </row>
    <row r="22" spans="1:9" hidden="1">
      <c r="A22" s="21">
        <v>7</v>
      </c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0"/>
        <v>2.8662815999999998</v>
      </c>
      <c r="I22" s="10">
        <f>3.57*G22</f>
        <v>1433.1407999999999</v>
      </c>
    </row>
    <row r="23" spans="1:9" hidden="1">
      <c r="A23" s="21">
        <v>8</v>
      </c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0"/>
        <v>5.1027984000000005E-2</v>
      </c>
      <c r="I23" s="10">
        <f>0.3864*G23</f>
        <v>25.513992000000002</v>
      </c>
    </row>
    <row r="24" spans="1:9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0"/>
        <v>1.045836</v>
      </c>
      <c r="I24" s="10">
        <f>0.15*G24</f>
        <v>87.152999999999992</v>
      </c>
    </row>
    <row r="25" spans="1:9" hidden="1">
      <c r="A25" s="21">
        <v>10</v>
      </c>
      <c r="B25" s="54" t="s">
        <v>114</v>
      </c>
      <c r="C25" s="55" t="s">
        <v>53</v>
      </c>
      <c r="D25" s="54" t="s">
        <v>179</v>
      </c>
      <c r="E25" s="56">
        <v>6.38</v>
      </c>
      <c r="F25" s="57">
        <f>SUM(E25/100)</f>
        <v>6.3799999999999996E-2</v>
      </c>
      <c r="G25" s="57">
        <v>683.05</v>
      </c>
      <c r="H25" s="58">
        <f t="shared" ref="H25:H26" si="1">SUM(F25*G25/1000)</f>
        <v>4.3578589999999993E-2</v>
      </c>
      <c r="I25" s="10">
        <f>G25*F25</f>
        <v>43.578589999999991</v>
      </c>
    </row>
    <row r="26" spans="1:9" hidden="1">
      <c r="A26" s="21">
        <v>5</v>
      </c>
      <c r="B26" s="159" t="s">
        <v>169</v>
      </c>
      <c r="C26" s="160" t="s">
        <v>150</v>
      </c>
      <c r="D26" s="159" t="s">
        <v>174</v>
      </c>
      <c r="E26" s="161">
        <v>3.82</v>
      </c>
      <c r="F26" s="162">
        <f>E26*258</f>
        <v>985.56</v>
      </c>
      <c r="G26" s="162">
        <v>10.39</v>
      </c>
      <c r="H26" s="58">
        <f t="shared" si="1"/>
        <v>10.2399684</v>
      </c>
      <c r="I26" s="10">
        <f>F26/12*G26</f>
        <v>853.33069999999998</v>
      </c>
    </row>
    <row r="27" spans="1:9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>
      <c r="A29" s="21">
        <v>7</v>
      </c>
      <c r="B29" s="159" t="s">
        <v>91</v>
      </c>
      <c r="C29" s="160" t="s">
        <v>85</v>
      </c>
      <c r="D29" s="159" t="s">
        <v>236</v>
      </c>
      <c r="E29" s="162">
        <v>124.74</v>
      </c>
      <c r="F29" s="162">
        <f>SUM(E29*24/1000)</f>
        <v>2.99376</v>
      </c>
      <c r="G29" s="162">
        <v>232.4</v>
      </c>
      <c r="H29" s="58">
        <f t="shared" ref="H29:H33" si="2">SUM(F29*G29/1000)</f>
        <v>0.69574982399999996</v>
      </c>
      <c r="I29" s="10">
        <f>F29/6*G29</f>
        <v>115.95830400000001</v>
      </c>
    </row>
    <row r="30" spans="1:9" ht="45">
      <c r="A30" s="21">
        <v>8</v>
      </c>
      <c r="B30" s="159" t="s">
        <v>132</v>
      </c>
      <c r="C30" s="160" t="s">
        <v>85</v>
      </c>
      <c r="D30" s="159" t="s">
        <v>171</v>
      </c>
      <c r="E30" s="162">
        <v>31.4</v>
      </c>
      <c r="F30" s="162">
        <f>SUM(E30*52/1000)</f>
        <v>1.6328</v>
      </c>
      <c r="G30" s="162">
        <v>385.6</v>
      </c>
      <c r="H30" s="58">
        <f t="shared" si="2"/>
        <v>0.62960768000000011</v>
      </c>
      <c r="I30" s="10">
        <f t="shared" ref="I30" si="3">F30/6*G30</f>
        <v>104.93461333333335</v>
      </c>
    </row>
    <row r="31" spans="1:9">
      <c r="A31" s="21">
        <v>9</v>
      </c>
      <c r="B31" s="159" t="s">
        <v>26</v>
      </c>
      <c r="C31" s="160" t="s">
        <v>85</v>
      </c>
      <c r="D31" s="159" t="s">
        <v>54</v>
      </c>
      <c r="E31" s="162">
        <v>124.7</v>
      </c>
      <c r="F31" s="162">
        <f>SUM(E31/1000)</f>
        <v>0.12470000000000001</v>
      </c>
      <c r="G31" s="162">
        <v>4502.97</v>
      </c>
      <c r="H31" s="58">
        <f t="shared" si="2"/>
        <v>0.56152035900000008</v>
      </c>
      <c r="I31" s="10">
        <f>0.1247*G31</f>
        <v>561.5203590000001</v>
      </c>
    </row>
    <row r="32" spans="1:9" hidden="1">
      <c r="A32" s="21"/>
      <c r="B32" s="186" t="s">
        <v>169</v>
      </c>
      <c r="C32" s="187" t="s">
        <v>150</v>
      </c>
      <c r="D32" s="186" t="s">
        <v>235</v>
      </c>
      <c r="E32" s="188">
        <v>4.8</v>
      </c>
      <c r="F32" s="177">
        <f>E32*258</f>
        <v>1238.3999999999999</v>
      </c>
      <c r="G32" s="177">
        <v>10.81</v>
      </c>
      <c r="H32" s="58">
        <f t="shared" si="2"/>
        <v>13.387103999999999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2"/>
        <v>1.49031</v>
      </c>
      <c r="I33" s="10">
        <v>0</v>
      </c>
    </row>
    <row r="34" spans="1:9" hidden="1">
      <c r="A34" s="21"/>
      <c r="B34" s="73" t="s">
        <v>5</v>
      </c>
      <c r="C34" s="55"/>
      <c r="D34" s="54"/>
      <c r="E34" s="56"/>
      <c r="F34" s="57"/>
      <c r="G34" s="57"/>
      <c r="H34" s="58" t="s">
        <v>130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100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4">SUM(F36*G36/1000)</f>
        <v>2.1568597380000001</v>
      </c>
      <c r="I36" s="10">
        <f t="shared" ref="I36:I39" si="5">F36/6*G36</f>
        <v>359.47662300000002</v>
      </c>
    </row>
    <row r="37" spans="1:9" ht="30" hidden="1">
      <c r="A37" s="21">
        <v>8</v>
      </c>
      <c r="B37" s="54" t="s">
        <v>68</v>
      </c>
      <c r="C37" s="55" t="s">
        <v>28</v>
      </c>
      <c r="D37" s="54" t="s">
        <v>84</v>
      </c>
      <c r="E37" s="57">
        <v>31.4</v>
      </c>
      <c r="F37" s="57">
        <f>SUM(E37*155/1000)</f>
        <v>4.867</v>
      </c>
      <c r="G37" s="57">
        <v>460.02</v>
      </c>
      <c r="H37" s="58">
        <f t="shared" si="4"/>
        <v>2.23891734</v>
      </c>
      <c r="I37" s="10">
        <f t="shared" si="5"/>
        <v>373.15289000000001</v>
      </c>
    </row>
    <row r="38" spans="1:9" hidden="1">
      <c r="A38" s="21">
        <v>9</v>
      </c>
      <c r="B38" s="54" t="s">
        <v>115</v>
      </c>
      <c r="C38" s="55" t="s">
        <v>55</v>
      </c>
      <c r="D38" s="124" t="s">
        <v>155</v>
      </c>
      <c r="E38" s="56"/>
      <c r="F38" s="57">
        <v>110</v>
      </c>
      <c r="G38" s="57">
        <v>314</v>
      </c>
      <c r="H38" s="58">
        <f t="shared" si="4"/>
        <v>34.54</v>
      </c>
      <c r="I38" s="10">
        <f>G38*65</f>
        <v>20410</v>
      </c>
    </row>
    <row r="39" spans="1:9" ht="60" hidden="1">
      <c r="A39" s="21">
        <v>10</v>
      </c>
      <c r="B39" s="54" t="s">
        <v>80</v>
      </c>
      <c r="C39" s="55" t="s">
        <v>85</v>
      </c>
      <c r="D39" s="54" t="s">
        <v>100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4"/>
        <v>5.9526882360000002</v>
      </c>
      <c r="I39" s="10">
        <f t="shared" si="5"/>
        <v>992.11470599999996</v>
      </c>
    </row>
    <row r="40" spans="1:9" hidden="1">
      <c r="A40" s="21">
        <v>11</v>
      </c>
      <c r="B40" s="54" t="s">
        <v>86</v>
      </c>
      <c r="C40" s="55" t="s">
        <v>85</v>
      </c>
      <c r="D40" s="54" t="s">
        <v>139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4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4"/>
        <v>0.29244900000000001</v>
      </c>
      <c r="I41" s="10">
        <f>(F41/7.5*1.5)*G41</f>
        <v>58.489800000000002</v>
      </c>
    </row>
    <row r="42" spans="1:9">
      <c r="A42" s="201" t="s">
        <v>124</v>
      </c>
      <c r="B42" s="202"/>
      <c r="C42" s="202"/>
      <c r="D42" s="202"/>
      <c r="E42" s="202"/>
      <c r="F42" s="202"/>
      <c r="G42" s="202"/>
      <c r="H42" s="202"/>
      <c r="I42" s="203"/>
    </row>
    <row r="43" spans="1:9">
      <c r="A43" s="21">
        <v>10</v>
      </c>
      <c r="B43" s="159" t="s">
        <v>92</v>
      </c>
      <c r="C43" s="160" t="s">
        <v>85</v>
      </c>
      <c r="D43" s="159" t="s">
        <v>177</v>
      </c>
      <c r="E43" s="166">
        <v>1109.4000000000001</v>
      </c>
      <c r="F43" s="162">
        <f>SUM(E43*2/1000)</f>
        <v>2.2188000000000003</v>
      </c>
      <c r="G43" s="26">
        <v>1207.24</v>
      </c>
      <c r="H43" s="58">
        <f t="shared" ref="H43:H53" si="6">SUM(F43*G43/1000)</f>
        <v>2.6786241120000005</v>
      </c>
      <c r="I43" s="10">
        <f>1.1094*G43</f>
        <v>1339.312056</v>
      </c>
    </row>
    <row r="44" spans="1:9">
      <c r="A44" s="21">
        <v>11</v>
      </c>
      <c r="B44" s="159" t="s">
        <v>35</v>
      </c>
      <c r="C44" s="160" t="s">
        <v>85</v>
      </c>
      <c r="D44" s="159" t="s">
        <v>177</v>
      </c>
      <c r="E44" s="166">
        <v>66</v>
      </c>
      <c r="F44" s="162">
        <f>SUM(E44*2/1000)</f>
        <v>0.13200000000000001</v>
      </c>
      <c r="G44" s="26">
        <v>863.92</v>
      </c>
      <c r="H44" s="58">
        <f t="shared" si="6"/>
        <v>0.11403744</v>
      </c>
      <c r="I44" s="10">
        <f>0.066*G44</f>
        <v>57.018720000000002</v>
      </c>
    </row>
    <row r="45" spans="1:9">
      <c r="A45" s="21">
        <v>12</v>
      </c>
      <c r="B45" s="159" t="s">
        <v>36</v>
      </c>
      <c r="C45" s="160" t="s">
        <v>85</v>
      </c>
      <c r="D45" s="159" t="s">
        <v>177</v>
      </c>
      <c r="E45" s="166">
        <v>1563.2750000000001</v>
      </c>
      <c r="F45" s="162">
        <f>SUM(E45*2/1000)</f>
        <v>3.1265500000000004</v>
      </c>
      <c r="G45" s="26">
        <v>863.92</v>
      </c>
      <c r="H45" s="58">
        <f t="shared" si="6"/>
        <v>2.7010890760000001</v>
      </c>
      <c r="I45" s="10">
        <f>3.12655/2*G45</f>
        <v>1350.5445379999999</v>
      </c>
    </row>
    <row r="46" spans="1:9">
      <c r="A46" s="21">
        <v>13</v>
      </c>
      <c r="B46" s="159" t="s">
        <v>37</v>
      </c>
      <c r="C46" s="160" t="s">
        <v>85</v>
      </c>
      <c r="D46" s="159" t="s">
        <v>177</v>
      </c>
      <c r="E46" s="166">
        <v>1619.6</v>
      </c>
      <c r="F46" s="162">
        <f>SUM(E46*2/1000)</f>
        <v>3.2391999999999999</v>
      </c>
      <c r="G46" s="26">
        <v>904.65</v>
      </c>
      <c r="H46" s="58">
        <f t="shared" si="6"/>
        <v>2.9303422799999996</v>
      </c>
      <c r="I46" s="10">
        <f>3.2392/2*G46</f>
        <v>1465.1711399999999</v>
      </c>
    </row>
    <row r="47" spans="1:9">
      <c r="A47" s="21">
        <v>14</v>
      </c>
      <c r="B47" s="159" t="s">
        <v>33</v>
      </c>
      <c r="C47" s="160" t="s">
        <v>34</v>
      </c>
      <c r="D47" s="159" t="s">
        <v>177</v>
      </c>
      <c r="E47" s="166">
        <v>85.84</v>
      </c>
      <c r="F47" s="162">
        <f>SUM(E47*2/100)</f>
        <v>1.7168000000000001</v>
      </c>
      <c r="G47" s="26">
        <v>108.55</v>
      </c>
      <c r="H47" s="58">
        <f t="shared" si="6"/>
        <v>0.18635864000000002</v>
      </c>
      <c r="I47" s="10">
        <f>1.7168/2*G47</f>
        <v>93.179320000000004</v>
      </c>
    </row>
    <row r="48" spans="1:9">
      <c r="A48" s="21">
        <v>15</v>
      </c>
      <c r="B48" s="159" t="s">
        <v>56</v>
      </c>
      <c r="C48" s="160" t="s">
        <v>85</v>
      </c>
      <c r="D48" s="159" t="s">
        <v>177</v>
      </c>
      <c r="E48" s="166">
        <v>887.5</v>
      </c>
      <c r="F48" s="162">
        <f>SUM(E48*5/1000)</f>
        <v>4.4375</v>
      </c>
      <c r="G48" s="26">
        <v>1809.27</v>
      </c>
      <c r="H48" s="58">
        <f t="shared" si="6"/>
        <v>8.0286356249999997</v>
      </c>
      <c r="I48" s="10">
        <f>F48/5*G48</f>
        <v>1605.7271249999999</v>
      </c>
    </row>
    <row r="49" spans="1:9" ht="33.75" customHeight="1">
      <c r="A49" s="21">
        <v>16</v>
      </c>
      <c r="B49" s="159" t="s">
        <v>87</v>
      </c>
      <c r="C49" s="160" t="s">
        <v>85</v>
      </c>
      <c r="D49" s="159" t="s">
        <v>177</v>
      </c>
      <c r="E49" s="166">
        <v>887.5</v>
      </c>
      <c r="F49" s="162">
        <f>SUM(E49*2/1000)</f>
        <v>1.7749999999999999</v>
      </c>
      <c r="G49" s="26">
        <v>1809.27</v>
      </c>
      <c r="H49" s="58">
        <f t="shared" si="6"/>
        <v>3.2114542499999996</v>
      </c>
      <c r="I49" s="10">
        <f>F49/2*G49</f>
        <v>1605.7271249999999</v>
      </c>
    </row>
    <row r="50" spans="1:9" ht="30">
      <c r="A50" s="21">
        <v>17</v>
      </c>
      <c r="B50" s="159" t="s">
        <v>88</v>
      </c>
      <c r="C50" s="160" t="s">
        <v>38</v>
      </c>
      <c r="D50" s="159" t="s">
        <v>177</v>
      </c>
      <c r="E50" s="166">
        <v>20</v>
      </c>
      <c r="F50" s="162">
        <f>SUM(E50*2/100)</f>
        <v>0.4</v>
      </c>
      <c r="G50" s="26">
        <v>4070.89</v>
      </c>
      <c r="H50" s="58">
        <f t="shared" si="6"/>
        <v>1.6283559999999999</v>
      </c>
      <c r="I50" s="10">
        <f t="shared" ref="I50:I51" si="7">F50/2*G50</f>
        <v>814.178</v>
      </c>
    </row>
    <row r="51" spans="1:9">
      <c r="A51" s="21">
        <v>18</v>
      </c>
      <c r="B51" s="159" t="s">
        <v>39</v>
      </c>
      <c r="C51" s="160" t="s">
        <v>40</v>
      </c>
      <c r="D51" s="159" t="s">
        <v>177</v>
      </c>
      <c r="E51" s="166">
        <v>1</v>
      </c>
      <c r="F51" s="162">
        <v>0.02</v>
      </c>
      <c r="G51" s="26">
        <v>8426.7199999999993</v>
      </c>
      <c r="H51" s="58">
        <f t="shared" si="6"/>
        <v>0.16853439999999997</v>
      </c>
      <c r="I51" s="10">
        <f t="shared" si="7"/>
        <v>84.267199999999988</v>
      </c>
    </row>
    <row r="52" spans="1:9">
      <c r="A52" s="21">
        <v>19</v>
      </c>
      <c r="B52" s="159" t="s">
        <v>98</v>
      </c>
      <c r="C52" s="160" t="s">
        <v>93</v>
      </c>
      <c r="D52" s="183">
        <v>44328</v>
      </c>
      <c r="E52" s="166">
        <v>62</v>
      </c>
      <c r="F52" s="162">
        <f>SUM(E52*3)</f>
        <v>186</v>
      </c>
      <c r="G52" s="158">
        <v>290.39999999999998</v>
      </c>
      <c r="H52" s="58">
        <f t="shared" si="6"/>
        <v>54.014399999999995</v>
      </c>
      <c r="I52" s="10">
        <f>F52/3*G52</f>
        <v>18004.8</v>
      </c>
    </row>
    <row r="53" spans="1:9">
      <c r="A53" s="75">
        <v>20</v>
      </c>
      <c r="B53" s="159" t="s">
        <v>41</v>
      </c>
      <c r="C53" s="160" t="s">
        <v>93</v>
      </c>
      <c r="D53" s="183">
        <v>44328</v>
      </c>
      <c r="E53" s="166">
        <v>124</v>
      </c>
      <c r="F53" s="162">
        <f>SUM(E53)*3</f>
        <v>372</v>
      </c>
      <c r="G53" s="158">
        <v>90</v>
      </c>
      <c r="H53" s="66">
        <f t="shared" si="6"/>
        <v>33.479999999999997</v>
      </c>
      <c r="I53" s="10">
        <f>F53/3*G53</f>
        <v>11160</v>
      </c>
    </row>
    <row r="54" spans="1:9">
      <c r="A54" s="204" t="s">
        <v>125</v>
      </c>
      <c r="B54" s="205"/>
      <c r="C54" s="205"/>
      <c r="D54" s="205"/>
      <c r="E54" s="205"/>
      <c r="F54" s="205"/>
      <c r="G54" s="205"/>
      <c r="H54" s="205"/>
      <c r="I54" s="206"/>
    </row>
    <row r="55" spans="1:9" ht="18.75" hidden="1" customHeight="1">
      <c r="A55" s="77"/>
      <c r="B55" s="78" t="s">
        <v>43</v>
      </c>
      <c r="C55" s="79"/>
      <c r="D55" s="80"/>
      <c r="E55" s="81"/>
      <c r="F55" s="82"/>
      <c r="G55" s="82"/>
      <c r="H55" s="83"/>
      <c r="I55" s="84"/>
    </row>
    <row r="56" spans="1:9" ht="18" hidden="1" customHeight="1">
      <c r="A56" s="21">
        <v>13</v>
      </c>
      <c r="B56" s="54" t="s">
        <v>101</v>
      </c>
      <c r="C56" s="55" t="s">
        <v>83</v>
      </c>
      <c r="D56" s="54" t="s">
        <v>116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8">F56/6*G56</f>
        <v>2575.9934199999998</v>
      </c>
    </row>
    <row r="57" spans="1:9" ht="14.25" hidden="1" customHeight="1">
      <c r="A57" s="21">
        <v>13</v>
      </c>
      <c r="B57" s="54" t="s">
        <v>77</v>
      </c>
      <c r="C57" s="55" t="s">
        <v>83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9">SUM(F57*G57/1000)</f>
        <v>2.4229841999999997</v>
      </c>
      <c r="I57" s="10">
        <f t="shared" si="8"/>
        <v>403.83069999999998</v>
      </c>
    </row>
    <row r="58" spans="1:9" ht="16.5" hidden="1" customHeight="1">
      <c r="A58" s="21">
        <v>18</v>
      </c>
      <c r="B58" s="63" t="s">
        <v>121</v>
      </c>
      <c r="C58" s="62" t="s">
        <v>122</v>
      </c>
      <c r="D58" s="125" t="s">
        <v>180</v>
      </c>
      <c r="E58" s="85"/>
      <c r="F58" s="65">
        <v>3</v>
      </c>
      <c r="G58" s="57">
        <v>1582.05</v>
      </c>
      <c r="H58" s="58">
        <f t="shared" si="9"/>
        <v>4.7461499999999992</v>
      </c>
      <c r="I58" s="10">
        <f>G58*1</f>
        <v>1582.05</v>
      </c>
    </row>
    <row r="59" spans="1:9" ht="18.75" customHeight="1">
      <c r="A59" s="21"/>
      <c r="B59" s="74" t="s">
        <v>44</v>
      </c>
      <c r="C59" s="62"/>
      <c r="D59" s="63"/>
      <c r="E59" s="64"/>
      <c r="F59" s="65"/>
      <c r="G59" s="49"/>
      <c r="H59" s="66"/>
      <c r="I59" s="84"/>
    </row>
    <row r="60" spans="1:9" ht="21" hidden="1" customHeight="1">
      <c r="A60" s="21"/>
      <c r="B60" s="63" t="s">
        <v>45</v>
      </c>
      <c r="C60" s="62" t="s">
        <v>83</v>
      </c>
      <c r="D60" s="63" t="s">
        <v>54</v>
      </c>
      <c r="E60" s="64">
        <v>450</v>
      </c>
      <c r="F60" s="57">
        <f>SUM(E60/100)</f>
        <v>4.5</v>
      </c>
      <c r="G60" s="10">
        <v>1040.8399999999999</v>
      </c>
      <c r="H60" s="67">
        <v>7.6349999999999998</v>
      </c>
      <c r="I60" s="10">
        <v>0</v>
      </c>
    </row>
    <row r="61" spans="1:9" ht="16.5" customHeight="1">
      <c r="A61" s="21">
        <v>21</v>
      </c>
      <c r="B61" s="149" t="s">
        <v>188</v>
      </c>
      <c r="C61" s="150" t="s">
        <v>150</v>
      </c>
      <c r="D61" s="149" t="s">
        <v>177</v>
      </c>
      <c r="E61" s="170">
        <v>48</v>
      </c>
      <c r="F61" s="171">
        <v>576</v>
      </c>
      <c r="G61" s="26">
        <v>1.4</v>
      </c>
      <c r="H61" s="67"/>
      <c r="I61" s="10">
        <f>G61*F61/12</f>
        <v>67.2</v>
      </c>
    </row>
    <row r="62" spans="1:9" hidden="1">
      <c r="A62" s="21"/>
      <c r="B62" s="74" t="s">
        <v>46</v>
      </c>
      <c r="C62" s="62"/>
      <c r="D62" s="63"/>
      <c r="E62" s="64"/>
      <c r="F62" s="65"/>
      <c r="G62" s="68"/>
      <c r="H62" s="66" t="s">
        <v>130</v>
      </c>
      <c r="I62" s="10"/>
    </row>
    <row r="63" spans="1:9" ht="18" hidden="1" customHeight="1">
      <c r="A63" s="21">
        <v>25</v>
      </c>
      <c r="B63" s="11" t="s">
        <v>47</v>
      </c>
      <c r="C63" s="13" t="s">
        <v>93</v>
      </c>
      <c r="D63" s="11"/>
      <c r="E63" s="15">
        <v>5</v>
      </c>
      <c r="F63" s="57">
        <f>E63</f>
        <v>5</v>
      </c>
      <c r="G63" s="10">
        <v>291.68</v>
      </c>
      <c r="H63" s="53">
        <f t="shared" ref="H63:H70" si="10">SUM(F63*G63/1000)</f>
        <v>1.4584000000000001</v>
      </c>
      <c r="I63" s="10">
        <f>G63*3</f>
        <v>875.04</v>
      </c>
    </row>
    <row r="64" spans="1:9" ht="14.25" hidden="1" customHeight="1">
      <c r="A64" s="21"/>
      <c r="B64" s="11" t="s">
        <v>48</v>
      </c>
      <c r="C64" s="13" t="s">
        <v>93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0"/>
        <v>0.20002</v>
      </c>
      <c r="I64" s="10">
        <v>0</v>
      </c>
    </row>
    <row r="65" spans="1:9" hidden="1">
      <c r="A65" s="21">
        <v>27</v>
      </c>
      <c r="B65" s="11" t="s">
        <v>49</v>
      </c>
      <c r="C65" s="13" t="s">
        <v>94</v>
      </c>
      <c r="D65" s="11" t="s">
        <v>54</v>
      </c>
      <c r="E65" s="56">
        <v>13313</v>
      </c>
      <c r="F65" s="10">
        <f>SUM(E65/100)</f>
        <v>133.13</v>
      </c>
      <c r="G65" s="10">
        <v>278.24</v>
      </c>
      <c r="H65" s="53">
        <f t="shared" si="10"/>
        <v>37.042091200000002</v>
      </c>
      <c r="I65" s="10">
        <f>133.13*G65</f>
        <v>37042.091200000003</v>
      </c>
    </row>
    <row r="66" spans="1:9" hidden="1">
      <c r="A66" s="21">
        <v>28</v>
      </c>
      <c r="B66" s="11" t="s">
        <v>50</v>
      </c>
      <c r="C66" s="13" t="s">
        <v>95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10"/>
        <v>2.88466084</v>
      </c>
      <c r="I66" s="10">
        <f>13.313*G66</f>
        <v>2884.66084</v>
      </c>
    </row>
    <row r="67" spans="1:9" hidden="1">
      <c r="A67" s="21">
        <v>29</v>
      </c>
      <c r="B67" s="11" t="s">
        <v>51</v>
      </c>
      <c r="C67" s="13" t="s">
        <v>75</v>
      </c>
      <c r="D67" s="11" t="s">
        <v>54</v>
      </c>
      <c r="E67" s="56">
        <v>2184</v>
      </c>
      <c r="F67" s="10">
        <f>SUM(E67/100)</f>
        <v>21.84</v>
      </c>
      <c r="G67" s="10">
        <v>2720.94</v>
      </c>
      <c r="H67" s="53">
        <f t="shared" si="10"/>
        <v>59.425329599999998</v>
      </c>
      <c r="I67" s="10">
        <f>21.84*G67</f>
        <v>59425.329599999997</v>
      </c>
    </row>
    <row r="68" spans="1:9" hidden="1">
      <c r="A68" s="21">
        <v>30</v>
      </c>
      <c r="B68" s="69" t="s">
        <v>96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10"/>
        <v>0.51984200000000003</v>
      </c>
      <c r="I68" s="10">
        <f>12.2*G68</f>
        <v>519.84199999999998</v>
      </c>
    </row>
    <row r="69" spans="1:9" hidden="1">
      <c r="A69" s="21">
        <v>31</v>
      </c>
      <c r="B69" s="69" t="s">
        <v>131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10"/>
        <v>0.56168799999999997</v>
      </c>
      <c r="I69" s="10">
        <f>12.2*G69</f>
        <v>561.68799999999999</v>
      </c>
    </row>
    <row r="70" spans="1:9" hidden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0"/>
        <v>0.19625999999999999</v>
      </c>
      <c r="I70" s="10">
        <v>0</v>
      </c>
    </row>
    <row r="71" spans="1:9">
      <c r="A71" s="21"/>
      <c r="B71" s="86" t="s">
        <v>142</v>
      </c>
      <c r="C71" s="40"/>
      <c r="D71" s="11"/>
      <c r="E71" s="15"/>
      <c r="F71" s="49"/>
      <c r="G71" s="10"/>
      <c r="H71" s="53"/>
      <c r="I71" s="10"/>
    </row>
    <row r="72" spans="1:9">
      <c r="A72" s="21">
        <v>22</v>
      </c>
      <c r="B72" s="152" t="s">
        <v>143</v>
      </c>
      <c r="C72" s="28" t="s">
        <v>144</v>
      </c>
      <c r="D72" s="152"/>
      <c r="E72" s="14">
        <v>3227.7</v>
      </c>
      <c r="F72" s="26">
        <f>SUM(E72*12)</f>
        <v>38732.399999999994</v>
      </c>
      <c r="G72" s="26">
        <v>2.6</v>
      </c>
      <c r="H72" s="53">
        <f t="shared" ref="H72" si="11">SUM(F72*G72/1000)</f>
        <v>100.70423999999998</v>
      </c>
      <c r="I72" s="10">
        <f>F72/12*G72</f>
        <v>8392.0199999999986</v>
      </c>
    </row>
    <row r="73" spans="1:9" ht="16.5" customHeight="1">
      <c r="A73" s="21"/>
      <c r="B73" s="118" t="s">
        <v>71</v>
      </c>
      <c r="C73" s="13"/>
      <c r="D73" s="11"/>
      <c r="E73" s="15"/>
      <c r="F73" s="10"/>
      <c r="G73" s="10"/>
      <c r="H73" s="53" t="s">
        <v>130</v>
      </c>
      <c r="I73" s="10"/>
    </row>
    <row r="74" spans="1:9" ht="22.5" hidden="1" customHeight="1">
      <c r="A74" s="21"/>
      <c r="B74" s="11" t="s">
        <v>117</v>
      </c>
      <c r="C74" s="13" t="s">
        <v>93</v>
      </c>
      <c r="D74" s="11" t="s">
        <v>66</v>
      </c>
      <c r="E74" s="15">
        <v>1</v>
      </c>
      <c r="F74" s="10">
        <v>1</v>
      </c>
      <c r="G74" s="10">
        <v>1029.1199999999999</v>
      </c>
      <c r="H74" s="53">
        <f t="shared" ref="H74:H77" si="12">SUM(F74*G74/1000)</f>
        <v>1.0291199999999998</v>
      </c>
      <c r="I74" s="10">
        <v>0</v>
      </c>
    </row>
    <row r="75" spans="1:9" ht="30" hidden="1" customHeight="1">
      <c r="A75" s="21"/>
      <c r="B75" s="11" t="s">
        <v>118</v>
      </c>
      <c r="C75" s="13" t="s">
        <v>119</v>
      </c>
      <c r="D75" s="11"/>
      <c r="E75" s="15">
        <v>1</v>
      </c>
      <c r="F75" s="10">
        <f>E75</f>
        <v>1</v>
      </c>
      <c r="G75" s="10">
        <v>735</v>
      </c>
      <c r="H75" s="53">
        <f t="shared" si="12"/>
        <v>0.73499999999999999</v>
      </c>
      <c r="I75" s="10">
        <v>0</v>
      </c>
    </row>
    <row r="76" spans="1:9" ht="36" hidden="1" customHeight="1">
      <c r="A76" s="21"/>
      <c r="B76" s="11" t="s">
        <v>72</v>
      </c>
      <c r="C76" s="13" t="s">
        <v>73</v>
      </c>
      <c r="D76" s="11" t="s">
        <v>66</v>
      </c>
      <c r="E76" s="15">
        <v>3</v>
      </c>
      <c r="F76" s="10">
        <v>0.2</v>
      </c>
      <c r="G76" s="10">
        <v>657.87</v>
      </c>
      <c r="H76" s="53">
        <f t="shared" si="12"/>
        <v>0.13157400000000002</v>
      </c>
      <c r="I76" s="10">
        <v>0</v>
      </c>
    </row>
    <row r="77" spans="1:9" ht="32.25" hidden="1" customHeight="1">
      <c r="A77" s="21"/>
      <c r="B77" s="11" t="s">
        <v>120</v>
      </c>
      <c r="C77" s="13" t="s">
        <v>93</v>
      </c>
      <c r="D77" s="11" t="s">
        <v>66</v>
      </c>
      <c r="E77" s="15">
        <v>1</v>
      </c>
      <c r="F77" s="57">
        <f>SUM(E77)</f>
        <v>1</v>
      </c>
      <c r="G77" s="10">
        <v>1118.72</v>
      </c>
      <c r="H77" s="53">
        <f t="shared" si="12"/>
        <v>1.1187199999999999</v>
      </c>
      <c r="I77" s="10">
        <v>0</v>
      </c>
    </row>
    <row r="78" spans="1:9" ht="33" hidden="1" customHeight="1">
      <c r="A78" s="21"/>
      <c r="B78" s="39" t="s">
        <v>140</v>
      </c>
      <c r="C78" s="40" t="s">
        <v>93</v>
      </c>
      <c r="D78" s="11" t="s">
        <v>66</v>
      </c>
      <c r="E78" s="15">
        <v>1</v>
      </c>
      <c r="F78" s="49">
        <v>1</v>
      </c>
      <c r="G78" s="10">
        <v>1605.83</v>
      </c>
      <c r="H78" s="53">
        <f>SUM(F78*G78/1000)</f>
        <v>1.6058299999999999</v>
      </c>
      <c r="I78" s="10">
        <v>0</v>
      </c>
    </row>
    <row r="79" spans="1:9" ht="31.5" customHeight="1">
      <c r="A79" s="21">
        <v>23</v>
      </c>
      <c r="B79" s="91" t="s">
        <v>141</v>
      </c>
      <c r="C79" s="92" t="s">
        <v>93</v>
      </c>
      <c r="D79" s="152" t="s">
        <v>173</v>
      </c>
      <c r="E79" s="14">
        <v>2</v>
      </c>
      <c r="F79" s="162">
        <f>E79*12</f>
        <v>24</v>
      </c>
      <c r="G79" s="26">
        <v>425</v>
      </c>
      <c r="H79" s="53">
        <f t="shared" ref="H79" si="13">SUM(F79*G79/1000)</f>
        <v>10.199999999999999</v>
      </c>
      <c r="I79" s="10">
        <f>G79*2</f>
        <v>850</v>
      </c>
    </row>
    <row r="80" spans="1:9" ht="27.75" hidden="1" customHeight="1">
      <c r="A80" s="21"/>
      <c r="B80" s="71" t="s">
        <v>74</v>
      </c>
      <c r="C80" s="13"/>
      <c r="D80" s="11"/>
      <c r="E80" s="15"/>
      <c r="F80" s="10"/>
      <c r="G80" s="10" t="s">
        <v>130</v>
      </c>
      <c r="H80" s="53" t="s">
        <v>130</v>
      </c>
      <c r="I80" s="10"/>
    </row>
    <row r="81" spans="1:9" ht="23.25" hidden="1" customHeight="1">
      <c r="A81" s="21"/>
      <c r="B81" s="35" t="s">
        <v>99</v>
      </c>
      <c r="C81" s="13" t="s">
        <v>75</v>
      </c>
      <c r="D81" s="11"/>
      <c r="E81" s="15"/>
      <c r="F81" s="10">
        <v>0.1</v>
      </c>
      <c r="G81" s="10">
        <v>2949.85</v>
      </c>
      <c r="H81" s="53">
        <f t="shared" ref="H81" si="14">SUM(F81*G81/1000)</f>
        <v>0.294985</v>
      </c>
      <c r="I81" s="10">
        <v>0</v>
      </c>
    </row>
    <row r="82" spans="1:9" hidden="1">
      <c r="A82" s="21"/>
      <c r="B82" s="86" t="s">
        <v>142</v>
      </c>
      <c r="C82" s="40"/>
      <c r="D82" s="11"/>
      <c r="E82" s="15"/>
      <c r="F82" s="49"/>
      <c r="G82" s="10"/>
      <c r="H82" s="53"/>
      <c r="I82" s="10"/>
    </row>
    <row r="83" spans="1:9" hidden="1">
      <c r="A83" s="21">
        <v>20</v>
      </c>
      <c r="B83" s="11" t="s">
        <v>143</v>
      </c>
      <c r="C83" s="21" t="s">
        <v>144</v>
      </c>
      <c r="D83" s="11"/>
      <c r="E83" s="15">
        <v>2579.4</v>
      </c>
      <c r="F83" s="10">
        <f>SUM(E83*12)</f>
        <v>30952.800000000003</v>
      </c>
      <c r="G83" s="10">
        <v>2.2799999999999998</v>
      </c>
      <c r="H83" s="53">
        <f t="shared" ref="H83" si="15">SUM(F83*G83/1000)</f>
        <v>70.572384</v>
      </c>
      <c r="I83" s="10">
        <f>F83/12*G83</f>
        <v>5881.0320000000002</v>
      </c>
    </row>
    <row r="84" spans="1:9" ht="28.5" hidden="1">
      <c r="A84" s="21"/>
      <c r="B84" s="118" t="s">
        <v>89</v>
      </c>
      <c r="C84" s="71"/>
      <c r="D84" s="23"/>
      <c r="E84" s="24"/>
      <c r="F84" s="59"/>
      <c r="G84" s="59"/>
      <c r="H84" s="72">
        <f>SUM(H56:H81)</f>
        <v>248.36785536000002</v>
      </c>
      <c r="I84" s="59"/>
    </row>
    <row r="85" spans="1:9" hidden="1">
      <c r="A85" s="21"/>
      <c r="B85" s="11" t="s">
        <v>145</v>
      </c>
      <c r="C85" s="13"/>
      <c r="D85" s="11"/>
      <c r="E85" s="11"/>
      <c r="F85" s="10">
        <v>1</v>
      </c>
      <c r="G85" s="10">
        <v>20408</v>
      </c>
      <c r="H85" s="53">
        <f>G85*F85/1000</f>
        <v>20.408000000000001</v>
      </c>
      <c r="I85" s="10">
        <v>0</v>
      </c>
    </row>
    <row r="86" spans="1:9" hidden="1">
      <c r="A86" s="21"/>
      <c r="B86" s="11" t="s">
        <v>146</v>
      </c>
      <c r="C86" s="13"/>
      <c r="D86" s="11"/>
      <c r="E86" s="11"/>
      <c r="F86" s="10">
        <v>62</v>
      </c>
      <c r="G86" s="10">
        <v>700</v>
      </c>
      <c r="H86" s="53">
        <f t="shared" ref="H86" si="16">G86*F86/1000</f>
        <v>43.4</v>
      </c>
      <c r="I86" s="10">
        <v>0</v>
      </c>
    </row>
    <row r="87" spans="1:9">
      <c r="A87" s="201" t="s">
        <v>126</v>
      </c>
      <c r="B87" s="202"/>
      <c r="C87" s="202"/>
      <c r="D87" s="202"/>
      <c r="E87" s="202"/>
      <c r="F87" s="202"/>
      <c r="G87" s="202"/>
      <c r="H87" s="202"/>
      <c r="I87" s="203"/>
    </row>
    <row r="88" spans="1:9">
      <c r="A88" s="21">
        <v>24</v>
      </c>
      <c r="B88" s="159" t="s">
        <v>97</v>
      </c>
      <c r="C88" s="153" t="s">
        <v>55</v>
      </c>
      <c r="D88" s="38"/>
      <c r="E88" s="26">
        <v>3227.7</v>
      </c>
      <c r="F88" s="26">
        <f>SUM(E88*12)</f>
        <v>38732.399999999994</v>
      </c>
      <c r="G88" s="26">
        <v>3.5</v>
      </c>
      <c r="H88" s="53">
        <f t="shared" ref="H88" si="17">G88*F88/1000</f>
        <v>135.56339999999997</v>
      </c>
      <c r="I88" s="10">
        <f>F88/12*G88</f>
        <v>11296.949999999997</v>
      </c>
    </row>
    <row r="89" spans="1:9" ht="30">
      <c r="A89" s="21">
        <v>25</v>
      </c>
      <c r="B89" s="152" t="s">
        <v>186</v>
      </c>
      <c r="C89" s="153" t="s">
        <v>150</v>
      </c>
      <c r="D89" s="90"/>
      <c r="E89" s="166">
        <f>E88</f>
        <v>3227.7</v>
      </c>
      <c r="F89" s="26">
        <f>E89*12</f>
        <v>38732.399999999994</v>
      </c>
      <c r="G89" s="26">
        <v>3.2</v>
      </c>
      <c r="H89" s="53">
        <f>F89*G89/1000</f>
        <v>123.94367999999999</v>
      </c>
      <c r="I89" s="10">
        <f>F89/12*G89</f>
        <v>10328.64</v>
      </c>
    </row>
    <row r="90" spans="1:9">
      <c r="A90" s="21"/>
      <c r="B90" s="27" t="s">
        <v>78</v>
      </c>
      <c r="C90" s="71"/>
      <c r="D90" s="70"/>
      <c r="E90" s="59"/>
      <c r="F90" s="59"/>
      <c r="G90" s="59"/>
      <c r="H90" s="72">
        <f>SUM(H89)</f>
        <v>123.94367999999999</v>
      </c>
      <c r="I90" s="59">
        <f>I89+I88+I79+I72+I61+I53+I52+I51+I50+I49+I48+I47+I46+I45+I44+I43+I30+I29+I24+I21+I18+I17+I16+I31+I20</f>
        <v>78103.825231333336</v>
      </c>
    </row>
    <row r="91" spans="1:9">
      <c r="A91" s="207" t="s">
        <v>60</v>
      </c>
      <c r="B91" s="208"/>
      <c r="C91" s="208"/>
      <c r="D91" s="208"/>
      <c r="E91" s="208"/>
      <c r="F91" s="208"/>
      <c r="G91" s="208"/>
      <c r="H91" s="208"/>
      <c r="I91" s="209"/>
    </row>
    <row r="92" spans="1:9">
      <c r="A92" s="21">
        <v>26</v>
      </c>
      <c r="B92" s="91" t="s">
        <v>79</v>
      </c>
      <c r="C92" s="92" t="s">
        <v>93</v>
      </c>
      <c r="D92" s="90"/>
      <c r="E92" s="26"/>
      <c r="F92" s="26">
        <v>6</v>
      </c>
      <c r="G92" s="26">
        <v>224.48</v>
      </c>
      <c r="H92" s="10"/>
      <c r="I92" s="10">
        <f>G92*2</f>
        <v>448.96</v>
      </c>
    </row>
    <row r="93" spans="1:9" ht="18.75" customHeight="1">
      <c r="A93" s="21">
        <v>27</v>
      </c>
      <c r="B93" s="91" t="s">
        <v>237</v>
      </c>
      <c r="C93" s="92" t="s">
        <v>28</v>
      </c>
      <c r="D93" s="90"/>
      <c r="E93" s="26"/>
      <c r="F93" s="26">
        <v>1.325</v>
      </c>
      <c r="G93" s="26">
        <v>241.69</v>
      </c>
      <c r="H93" s="89"/>
      <c r="I93" s="10">
        <f>G93*1.325</f>
        <v>320.23924999999997</v>
      </c>
    </row>
    <row r="94" spans="1:9">
      <c r="A94" s="21">
        <v>28</v>
      </c>
      <c r="B94" s="91" t="s">
        <v>238</v>
      </c>
      <c r="C94" s="92" t="s">
        <v>93</v>
      </c>
      <c r="D94" s="90" t="s">
        <v>231</v>
      </c>
      <c r="E94" s="26"/>
      <c r="F94" s="26">
        <v>1</v>
      </c>
      <c r="G94" s="26">
        <v>101.85</v>
      </c>
      <c r="H94" s="89"/>
      <c r="I94" s="10">
        <v>0</v>
      </c>
    </row>
    <row r="95" spans="1:9">
      <c r="A95" s="21">
        <v>29</v>
      </c>
      <c r="B95" s="91" t="s">
        <v>151</v>
      </c>
      <c r="C95" s="92" t="s">
        <v>136</v>
      </c>
      <c r="D95" s="90" t="s">
        <v>195</v>
      </c>
      <c r="E95" s="26"/>
      <c r="F95" s="26">
        <v>59</v>
      </c>
      <c r="G95" s="26">
        <v>295.36</v>
      </c>
      <c r="H95" s="89"/>
      <c r="I95" s="10">
        <v>0</v>
      </c>
    </row>
    <row r="96" spans="1:9">
      <c r="A96" s="21">
        <v>30</v>
      </c>
      <c r="B96" s="91" t="s">
        <v>167</v>
      </c>
      <c r="C96" s="92" t="s">
        <v>152</v>
      </c>
      <c r="D96" s="90"/>
      <c r="E96" s="26"/>
      <c r="F96" s="26">
        <v>9</v>
      </c>
      <c r="G96" s="26">
        <v>236.08</v>
      </c>
      <c r="H96" s="89"/>
      <c r="I96" s="10">
        <f>G96*1</f>
        <v>236.08</v>
      </c>
    </row>
    <row r="97" spans="1:9">
      <c r="A97" s="21"/>
      <c r="B97" s="33" t="s">
        <v>52</v>
      </c>
      <c r="C97" s="29"/>
      <c r="D97" s="36"/>
      <c r="E97" s="29">
        <v>1</v>
      </c>
      <c r="F97" s="29"/>
      <c r="G97" s="29"/>
      <c r="H97" s="29"/>
      <c r="I97" s="24">
        <f>SUM(I92:I96)</f>
        <v>1005.2792499999999</v>
      </c>
    </row>
    <row r="98" spans="1:9">
      <c r="A98" s="21"/>
      <c r="B98" s="35" t="s">
        <v>76</v>
      </c>
      <c r="C98" s="12"/>
      <c r="D98" s="12"/>
      <c r="E98" s="30"/>
      <c r="F98" s="30"/>
      <c r="G98" s="31"/>
      <c r="H98" s="31"/>
      <c r="I98" s="14">
        <v>0</v>
      </c>
    </row>
    <row r="99" spans="1:9">
      <c r="A99" s="37"/>
      <c r="B99" s="34" t="s">
        <v>147</v>
      </c>
      <c r="C99" s="25"/>
      <c r="D99" s="25"/>
      <c r="E99" s="25"/>
      <c r="F99" s="25"/>
      <c r="G99" s="25"/>
      <c r="H99" s="25"/>
      <c r="I99" s="32">
        <f>I90+I97</f>
        <v>79109.104481333343</v>
      </c>
    </row>
    <row r="100" spans="1:9" ht="15.75">
      <c r="A100" s="210" t="s">
        <v>250</v>
      </c>
      <c r="B100" s="210"/>
      <c r="C100" s="210"/>
      <c r="D100" s="210"/>
      <c r="E100" s="210"/>
      <c r="F100" s="210"/>
      <c r="G100" s="210"/>
      <c r="H100" s="210"/>
      <c r="I100" s="210"/>
    </row>
    <row r="101" spans="1:9" ht="15.75">
      <c r="A101" s="43"/>
      <c r="B101" s="211" t="s">
        <v>251</v>
      </c>
      <c r="C101" s="211"/>
      <c r="D101" s="211"/>
      <c r="E101" s="211"/>
      <c r="F101" s="211"/>
      <c r="G101" s="211"/>
      <c r="H101" s="52"/>
      <c r="I101" s="2"/>
    </row>
    <row r="102" spans="1:9">
      <c r="A102" s="123"/>
      <c r="B102" s="195" t="s">
        <v>6</v>
      </c>
      <c r="C102" s="195"/>
      <c r="D102" s="195"/>
      <c r="E102" s="195"/>
      <c r="F102" s="195"/>
      <c r="G102" s="195"/>
      <c r="H102" s="16"/>
      <c r="I102" s="4"/>
    </row>
    <row r="103" spans="1:9">
      <c r="A103" s="7"/>
      <c r="B103" s="7"/>
      <c r="C103" s="7"/>
      <c r="D103" s="7"/>
      <c r="E103" s="7"/>
      <c r="F103" s="7"/>
      <c r="G103" s="7"/>
      <c r="H103" s="7"/>
      <c r="I103" s="7"/>
    </row>
    <row r="104" spans="1:9" ht="15.75">
      <c r="A104" s="212" t="s">
        <v>7</v>
      </c>
      <c r="B104" s="212"/>
      <c r="C104" s="212"/>
      <c r="D104" s="212"/>
      <c r="E104" s="212"/>
      <c r="F104" s="212"/>
      <c r="G104" s="212"/>
      <c r="H104" s="212"/>
      <c r="I104" s="212"/>
    </row>
    <row r="105" spans="1:9" ht="15.75">
      <c r="A105" s="212" t="s">
        <v>8</v>
      </c>
      <c r="B105" s="212"/>
      <c r="C105" s="212"/>
      <c r="D105" s="212"/>
      <c r="E105" s="212"/>
      <c r="F105" s="212"/>
      <c r="G105" s="212"/>
      <c r="H105" s="212"/>
      <c r="I105" s="212"/>
    </row>
    <row r="106" spans="1:9" ht="15.75">
      <c r="A106" s="199" t="s">
        <v>61</v>
      </c>
      <c r="B106" s="199"/>
      <c r="C106" s="199"/>
      <c r="D106" s="199"/>
      <c r="E106" s="199"/>
      <c r="F106" s="199"/>
      <c r="G106" s="199"/>
      <c r="H106" s="199"/>
      <c r="I106" s="199"/>
    </row>
    <row r="107" spans="1:9" ht="15.75">
      <c r="A107" s="8"/>
    </row>
    <row r="108" spans="1:9" ht="15.75">
      <c r="A108" s="193" t="s">
        <v>9</v>
      </c>
      <c r="B108" s="193"/>
      <c r="C108" s="193"/>
      <c r="D108" s="193"/>
      <c r="E108" s="193"/>
      <c r="F108" s="193"/>
      <c r="G108" s="193"/>
      <c r="H108" s="193"/>
      <c r="I108" s="193"/>
    </row>
    <row r="109" spans="1:9" ht="15.75">
      <c r="A109" s="3"/>
    </row>
    <row r="110" spans="1:9" ht="15.75">
      <c r="B110" s="120" t="s">
        <v>10</v>
      </c>
      <c r="C110" s="194" t="s">
        <v>190</v>
      </c>
      <c r="D110" s="194"/>
      <c r="E110" s="194"/>
      <c r="F110" s="50"/>
      <c r="I110" s="122"/>
    </row>
    <row r="111" spans="1:9">
      <c r="A111" s="123"/>
      <c r="C111" s="195" t="s">
        <v>11</v>
      </c>
      <c r="D111" s="195"/>
      <c r="E111" s="195"/>
      <c r="F111" s="16"/>
      <c r="I111" s="121" t="s">
        <v>12</v>
      </c>
    </row>
    <row r="112" spans="1:9" ht="15.75">
      <c r="A112" s="17"/>
      <c r="C112" s="9"/>
      <c r="D112" s="9"/>
      <c r="G112" s="9"/>
      <c r="H112" s="9"/>
    </row>
    <row r="113" spans="1:9" ht="15.75">
      <c r="B113" s="120" t="s">
        <v>13</v>
      </c>
      <c r="C113" s="196"/>
      <c r="D113" s="196"/>
      <c r="E113" s="196"/>
      <c r="F113" s="51"/>
      <c r="I113" s="122"/>
    </row>
    <row r="114" spans="1:9">
      <c r="A114" s="123"/>
      <c r="C114" s="197" t="s">
        <v>11</v>
      </c>
      <c r="D114" s="197"/>
      <c r="E114" s="197"/>
      <c r="F114" s="123"/>
      <c r="I114" s="121" t="s">
        <v>12</v>
      </c>
    </row>
    <row r="115" spans="1:9" ht="15.75">
      <c r="A115" s="3" t="s">
        <v>14</v>
      </c>
    </row>
    <row r="116" spans="1:9">
      <c r="A116" s="198" t="s">
        <v>15</v>
      </c>
      <c r="B116" s="198"/>
      <c r="C116" s="198"/>
      <c r="D116" s="198"/>
      <c r="E116" s="198"/>
      <c r="F116" s="198"/>
      <c r="G116" s="198"/>
      <c r="H116" s="198"/>
      <c r="I116" s="198"/>
    </row>
    <row r="117" spans="1:9" ht="52.5" customHeight="1">
      <c r="A117" s="192" t="s">
        <v>16</v>
      </c>
      <c r="B117" s="192"/>
      <c r="C117" s="192"/>
      <c r="D117" s="192"/>
      <c r="E117" s="192"/>
      <c r="F117" s="192"/>
      <c r="G117" s="192"/>
      <c r="H117" s="192"/>
      <c r="I117" s="192"/>
    </row>
    <row r="118" spans="1:9" ht="41.25" customHeight="1">
      <c r="A118" s="192" t="s">
        <v>17</v>
      </c>
      <c r="B118" s="192"/>
      <c r="C118" s="192"/>
      <c r="D118" s="192"/>
      <c r="E118" s="192"/>
      <c r="F118" s="192"/>
      <c r="G118" s="192"/>
      <c r="H118" s="192"/>
      <c r="I118" s="192"/>
    </row>
    <row r="119" spans="1:9" ht="41.25" customHeight="1">
      <c r="A119" s="192" t="s">
        <v>21</v>
      </c>
      <c r="B119" s="192"/>
      <c r="C119" s="192"/>
      <c r="D119" s="192"/>
      <c r="E119" s="192"/>
      <c r="F119" s="192"/>
      <c r="G119" s="192"/>
      <c r="H119" s="192"/>
      <c r="I119" s="192"/>
    </row>
    <row r="120" spans="1:9" ht="15.75">
      <c r="A120" s="192" t="s">
        <v>20</v>
      </c>
      <c r="B120" s="192"/>
      <c r="C120" s="192"/>
      <c r="D120" s="192"/>
      <c r="E120" s="192"/>
      <c r="F120" s="192"/>
      <c r="G120" s="192"/>
      <c r="H120" s="192"/>
      <c r="I120" s="192"/>
    </row>
  </sheetData>
  <mergeCells count="28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7:I27"/>
    <mergeCell ref="A42:I42"/>
    <mergeCell ref="A54:I54"/>
    <mergeCell ref="A87:I87"/>
    <mergeCell ref="A91:I91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1"/>
  <sheetViews>
    <sheetView topLeftCell="A77" workbookViewId="0">
      <selection activeCell="B81" sqref="B81:I81"/>
    </sheetView>
  </sheetViews>
  <sheetFormatPr defaultRowHeight="15"/>
  <cols>
    <col min="1" max="1" width="12.7109375" customWidth="1"/>
    <col min="2" max="2" width="51.5703125" customWidth="1"/>
    <col min="3" max="4" width="21.5703125" customWidth="1"/>
    <col min="5" max="5" width="0" hidden="1" customWidth="1"/>
    <col min="6" max="6" width="13.140625" hidden="1" customWidth="1"/>
    <col min="7" max="7" width="18.85546875" customWidth="1"/>
    <col min="8" max="8" width="0" hidden="1" customWidth="1"/>
    <col min="9" max="9" width="21.285156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158</v>
      </c>
      <c r="B3" s="214"/>
      <c r="C3" s="214"/>
      <c r="D3" s="214"/>
      <c r="E3" s="214"/>
      <c r="F3" s="214"/>
      <c r="G3" s="214"/>
      <c r="H3" s="214"/>
      <c r="I3" s="214"/>
    </row>
    <row r="4" spans="1:9" ht="36.7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239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27"/>
      <c r="C6" s="127"/>
      <c r="D6" s="127"/>
      <c r="E6" s="127"/>
      <c r="F6" s="127"/>
      <c r="G6" s="127"/>
      <c r="H6" s="127"/>
      <c r="I6" s="22">
        <v>44377</v>
      </c>
    </row>
    <row r="7" spans="1:9" ht="15.75">
      <c r="B7" s="128"/>
      <c r="C7" s="128"/>
      <c r="D7" s="128"/>
      <c r="E7" s="2"/>
      <c r="F7" s="2"/>
      <c r="G7" s="2"/>
      <c r="H7" s="2"/>
    </row>
    <row r="8" spans="1:9" ht="65.25" customHeight="1">
      <c r="A8" s="217" t="s">
        <v>240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57.7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58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9.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24" si="0">SUM(F16*G16/1000)</f>
        <v>17.68489632</v>
      </c>
      <c r="I16" s="10">
        <f>F16/12*G16</f>
        <v>1473.74136</v>
      </c>
    </row>
    <row r="17" spans="1:9" ht="18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" customHeight="1">
      <c r="A18" s="21">
        <v>3</v>
      </c>
      <c r="B18" s="159" t="s">
        <v>105</v>
      </c>
      <c r="C18" s="160" t="s">
        <v>83</v>
      </c>
      <c r="D18" s="159" t="s">
        <v>172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F18/18*2*G18</f>
        <v>3261.3657600000001</v>
      </c>
    </row>
    <row r="19" spans="1:9">
      <c r="A19" s="21">
        <v>4</v>
      </c>
      <c r="B19" s="159" t="s">
        <v>106</v>
      </c>
      <c r="C19" s="160" t="s">
        <v>107</v>
      </c>
      <c r="D19" s="159" t="s">
        <v>252</v>
      </c>
      <c r="E19" s="166">
        <v>40</v>
      </c>
      <c r="F19" s="162">
        <f>SUM(E19/10)</f>
        <v>4</v>
      </c>
      <c r="G19" s="162">
        <v>253.7</v>
      </c>
      <c r="H19" s="58">
        <f t="shared" si="0"/>
        <v>1.0147999999999999</v>
      </c>
      <c r="I19" s="10">
        <f>4*G19</f>
        <v>1014.8</v>
      </c>
    </row>
    <row r="20" spans="1:9">
      <c r="A20" s="21">
        <v>5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0"/>
        <v>0.40929839999999995</v>
      </c>
      <c r="I20" s="10">
        <f>G20*F20/12</f>
        <v>34.108199999999997</v>
      </c>
    </row>
    <row r="21" spans="1:9">
      <c r="A21" s="21">
        <v>6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0"/>
        <v>0.24397741199999998</v>
      </c>
      <c r="I21" s="10">
        <f>F21/12*G21</f>
        <v>20.331451000000001</v>
      </c>
    </row>
    <row r="22" spans="1:9" hidden="1">
      <c r="A22" s="21">
        <v>6</v>
      </c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0"/>
        <v>2.8662815999999998</v>
      </c>
      <c r="I22" s="10">
        <f>3.57*G22</f>
        <v>1433.1407999999999</v>
      </c>
    </row>
    <row r="23" spans="1:9" hidden="1">
      <c r="A23" s="21">
        <v>7</v>
      </c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0"/>
        <v>5.1027984000000005E-2</v>
      </c>
      <c r="I23" s="10">
        <f>0.3864*G23</f>
        <v>25.513992000000002</v>
      </c>
    </row>
    <row r="24" spans="1:9">
      <c r="A24" s="21">
        <v>7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0"/>
        <v>1.045836</v>
      </c>
      <c r="I24" s="10">
        <f>0.15*G24</f>
        <v>87.152999999999992</v>
      </c>
    </row>
    <row r="25" spans="1:9" hidden="1">
      <c r="A25" s="21">
        <v>9</v>
      </c>
      <c r="B25" s="54" t="s">
        <v>114</v>
      </c>
      <c r="C25" s="55" t="s">
        <v>53</v>
      </c>
      <c r="D25" s="54" t="s">
        <v>182</v>
      </c>
      <c r="E25" s="56">
        <v>6.38</v>
      </c>
      <c r="F25" s="57">
        <f>SUM(E25/100)</f>
        <v>6.3799999999999996E-2</v>
      </c>
      <c r="G25" s="57">
        <v>683.05</v>
      </c>
      <c r="H25" s="58">
        <f t="shared" ref="H25" si="1">SUM(F25*G25/1000)</f>
        <v>4.3578589999999993E-2</v>
      </c>
      <c r="I25" s="10">
        <f>G25*F25</f>
        <v>43.578589999999991</v>
      </c>
    </row>
    <row r="26" spans="1:9" ht="15.75" hidden="1" customHeight="1">
      <c r="A26" s="21">
        <v>10</v>
      </c>
      <c r="B26" s="159" t="s">
        <v>169</v>
      </c>
      <c r="C26" s="160" t="s">
        <v>150</v>
      </c>
      <c r="D26" s="159" t="s">
        <v>174</v>
      </c>
      <c r="E26" s="161">
        <v>3.82</v>
      </c>
      <c r="F26" s="162">
        <f>E26*258</f>
        <v>985.56</v>
      </c>
      <c r="G26" s="162">
        <v>10.39</v>
      </c>
      <c r="H26" s="58">
        <f t="shared" ref="H26" si="2">SUM(F26*G26/1000)</f>
        <v>10.2399684</v>
      </c>
      <c r="I26" s="10">
        <f>F26/12*G26</f>
        <v>853.33069999999998</v>
      </c>
    </row>
    <row r="27" spans="1:9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15.75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5.75" customHeight="1">
      <c r="A29" s="21">
        <v>8</v>
      </c>
      <c r="B29" s="159" t="s">
        <v>91</v>
      </c>
      <c r="C29" s="160" t="s">
        <v>85</v>
      </c>
      <c r="D29" s="159" t="s">
        <v>236</v>
      </c>
      <c r="E29" s="162">
        <v>124.74</v>
      </c>
      <c r="F29" s="162">
        <f>SUM(E29*24/1000)</f>
        <v>2.99376</v>
      </c>
      <c r="G29" s="162">
        <v>232.4</v>
      </c>
      <c r="H29" s="58">
        <f t="shared" ref="H29:H30" si="3">SUM(F29*G29/1000)</f>
        <v>0.69574982399999996</v>
      </c>
      <c r="I29" s="10">
        <f>F29/6*G29</f>
        <v>115.95830400000001</v>
      </c>
    </row>
    <row r="30" spans="1:9" ht="45.75" customHeight="1">
      <c r="A30" s="21">
        <v>9</v>
      </c>
      <c r="B30" s="159" t="s">
        <v>132</v>
      </c>
      <c r="C30" s="160" t="s">
        <v>85</v>
      </c>
      <c r="D30" s="159" t="s">
        <v>171</v>
      </c>
      <c r="E30" s="162">
        <v>31.4</v>
      </c>
      <c r="F30" s="162">
        <f>SUM(E30*52/1000)</f>
        <v>1.6328</v>
      </c>
      <c r="G30" s="162">
        <v>385.6</v>
      </c>
      <c r="H30" s="58">
        <f t="shared" si="3"/>
        <v>0.62960768000000011</v>
      </c>
      <c r="I30" s="10">
        <f t="shared" ref="I30" si="4">F30/6*G30</f>
        <v>104.93461333333335</v>
      </c>
    </row>
    <row r="31" spans="1:9" hidden="1">
      <c r="A31" s="21">
        <v>15</v>
      </c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5">SUM(F31*G31/1000)</f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5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5"/>
        <v>1.49031</v>
      </c>
      <c r="I33" s="10">
        <v>0</v>
      </c>
    </row>
    <row r="34" spans="1:9" ht="20.25" hidden="1" customHeight="1">
      <c r="A34" s="21"/>
      <c r="B34" s="73" t="s">
        <v>5</v>
      </c>
      <c r="C34" s="55"/>
      <c r="D34" s="54"/>
      <c r="E34" s="56"/>
      <c r="F34" s="57"/>
      <c r="G34" s="57"/>
      <c r="H34" s="58" t="s">
        <v>130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100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6">SUM(F36*G36/1000)</f>
        <v>2.1568597380000001</v>
      </c>
      <c r="I36" s="10">
        <f t="shared" ref="I36:I39" si="7">F36/6*G36</f>
        <v>359.47662300000002</v>
      </c>
    </row>
    <row r="37" spans="1:9" hidden="1">
      <c r="A37" s="21">
        <v>8</v>
      </c>
      <c r="B37" s="54" t="s">
        <v>68</v>
      </c>
      <c r="C37" s="55" t="s">
        <v>28</v>
      </c>
      <c r="D37" s="54" t="s">
        <v>84</v>
      </c>
      <c r="E37" s="57">
        <v>31.4</v>
      </c>
      <c r="F37" s="57">
        <f>SUM(E37*155/1000)</f>
        <v>4.867</v>
      </c>
      <c r="G37" s="57">
        <v>460.02</v>
      </c>
      <c r="H37" s="58">
        <f t="shared" si="6"/>
        <v>2.23891734</v>
      </c>
      <c r="I37" s="10">
        <f t="shared" si="7"/>
        <v>373.15289000000001</v>
      </c>
    </row>
    <row r="38" spans="1:9" hidden="1">
      <c r="A38" s="21">
        <v>9</v>
      </c>
      <c r="B38" s="54" t="s">
        <v>115</v>
      </c>
      <c r="C38" s="55" t="s">
        <v>55</v>
      </c>
      <c r="D38" s="124" t="s">
        <v>155</v>
      </c>
      <c r="E38" s="56"/>
      <c r="F38" s="57">
        <v>110</v>
      </c>
      <c r="G38" s="57">
        <v>314</v>
      </c>
      <c r="H38" s="58">
        <f t="shared" si="6"/>
        <v>34.54</v>
      </c>
      <c r="I38" s="10">
        <f>G38*65</f>
        <v>20410</v>
      </c>
    </row>
    <row r="39" spans="1:9" ht="60" hidden="1">
      <c r="A39" s="21">
        <v>10</v>
      </c>
      <c r="B39" s="54" t="s">
        <v>80</v>
      </c>
      <c r="C39" s="55" t="s">
        <v>85</v>
      </c>
      <c r="D39" s="54" t="s">
        <v>100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6"/>
        <v>5.9526882360000002</v>
      </c>
      <c r="I39" s="10">
        <f t="shared" si="7"/>
        <v>992.11470599999996</v>
      </c>
    </row>
    <row r="40" spans="1:9" hidden="1">
      <c r="A40" s="21">
        <v>11</v>
      </c>
      <c r="B40" s="54" t="s">
        <v>86</v>
      </c>
      <c r="C40" s="55" t="s">
        <v>85</v>
      </c>
      <c r="D40" s="54" t="s">
        <v>139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6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6"/>
        <v>0.29244900000000001</v>
      </c>
      <c r="I41" s="10">
        <f>(F41/7.5*1.5)*G41</f>
        <v>58.489800000000002</v>
      </c>
    </row>
    <row r="42" spans="1:9" hidden="1">
      <c r="A42" s="201" t="s">
        <v>124</v>
      </c>
      <c r="B42" s="202"/>
      <c r="C42" s="202"/>
      <c r="D42" s="202"/>
      <c r="E42" s="202"/>
      <c r="F42" s="202"/>
      <c r="G42" s="202"/>
      <c r="H42" s="202"/>
      <c r="I42" s="203"/>
    </row>
    <row r="43" spans="1:9" hidden="1">
      <c r="A43" s="21">
        <v>17</v>
      </c>
      <c r="B43" s="54" t="s">
        <v>92</v>
      </c>
      <c r="C43" s="55" t="s">
        <v>85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8">SUM(F43*G43/1000)</f>
        <v>2.6013433080000006</v>
      </c>
      <c r="I43" s="10">
        <f>1.1094*G43</f>
        <v>1300.671654</v>
      </c>
    </row>
    <row r="44" spans="1:9" hidden="1">
      <c r="A44" s="21">
        <v>18</v>
      </c>
      <c r="B44" s="54" t="s">
        <v>35</v>
      </c>
      <c r="C44" s="55" t="s">
        <v>85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8"/>
        <v>0.58331460000000002</v>
      </c>
      <c r="I44" s="10">
        <f>0.066*G44</f>
        <v>291.65730000000002</v>
      </c>
    </row>
    <row r="45" spans="1:9" hidden="1">
      <c r="A45" s="21">
        <v>19</v>
      </c>
      <c r="B45" s="54" t="s">
        <v>36</v>
      </c>
      <c r="C45" s="55" t="s">
        <v>85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8"/>
        <v>5.6393269695000008</v>
      </c>
      <c r="I45" s="10">
        <f>3.12655/2*G45</f>
        <v>2819.66348475</v>
      </c>
    </row>
    <row r="46" spans="1:9" hidden="1">
      <c r="A46" s="21">
        <v>20</v>
      </c>
      <c r="B46" s="54" t="s">
        <v>37</v>
      </c>
      <c r="C46" s="55" t="s">
        <v>85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8"/>
        <v>4.0277184559999997</v>
      </c>
      <c r="I46" s="10">
        <f>3.2392/2*G46</f>
        <v>2013.859228</v>
      </c>
    </row>
    <row r="47" spans="1:9" hidden="1">
      <c r="A47" s="21">
        <v>21</v>
      </c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8"/>
        <v>2.3224183680000001</v>
      </c>
      <c r="I47" s="10">
        <f>1.7168/2*G47</f>
        <v>1161.2091840000001</v>
      </c>
    </row>
    <row r="48" spans="1:9" hidden="1">
      <c r="A48" s="21">
        <v>22</v>
      </c>
      <c r="B48" s="54" t="s">
        <v>56</v>
      </c>
      <c r="C48" s="55" t="s">
        <v>85</v>
      </c>
      <c r="D48" s="54" t="s">
        <v>133</v>
      </c>
      <c r="E48" s="56">
        <v>2579.4</v>
      </c>
      <c r="F48" s="57">
        <f>SUM(E48*5/1000)</f>
        <v>12.897</v>
      </c>
      <c r="G48" s="10">
        <v>1803.69</v>
      </c>
      <c r="H48" s="58">
        <f t="shared" si="8"/>
        <v>23.262189930000002</v>
      </c>
      <c r="I48" s="10">
        <f>F48/5*G48</f>
        <v>4652.4379860000008</v>
      </c>
    </row>
    <row r="49" spans="1:9" ht="45" hidden="1">
      <c r="A49" s="21">
        <v>23</v>
      </c>
      <c r="B49" s="54" t="s">
        <v>87</v>
      </c>
      <c r="C49" s="55" t="s">
        <v>85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8"/>
        <v>8.2107460800000016</v>
      </c>
      <c r="I49" s="10">
        <f>F49/2*G49</f>
        <v>4105.3730400000004</v>
      </c>
    </row>
    <row r="50" spans="1:9" ht="30" hidden="1">
      <c r="A50" s="21">
        <v>24</v>
      </c>
      <c r="B50" s="54" t="s">
        <v>88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8"/>
        <v>1.6233280000000001</v>
      </c>
      <c r="I50" s="10">
        <f t="shared" ref="I50:I51" si="9">F50/2*G50</f>
        <v>811.6640000000001</v>
      </c>
    </row>
    <row r="51" spans="1:9" hidden="1">
      <c r="A51" s="21">
        <v>25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8"/>
        <v>0.14825839999999998</v>
      </c>
      <c r="I51" s="10">
        <f t="shared" si="9"/>
        <v>74.129199999999997</v>
      </c>
    </row>
    <row r="52" spans="1:9" hidden="1">
      <c r="A52" s="21">
        <v>26</v>
      </c>
      <c r="B52" s="54" t="s">
        <v>98</v>
      </c>
      <c r="C52" s="55" t="s">
        <v>93</v>
      </c>
      <c r="D52" s="54" t="s">
        <v>70</v>
      </c>
      <c r="E52" s="56">
        <v>62</v>
      </c>
      <c r="F52" s="57">
        <f>SUM(E52*3)</f>
        <v>186</v>
      </c>
      <c r="G52" s="10">
        <v>185.08</v>
      </c>
      <c r="H52" s="58">
        <f t="shared" si="8"/>
        <v>34.424880000000002</v>
      </c>
      <c r="I52" s="10">
        <f>F52/3*G52</f>
        <v>11474.960000000001</v>
      </c>
    </row>
    <row r="53" spans="1:9" hidden="1">
      <c r="A53" s="75">
        <v>27</v>
      </c>
      <c r="B53" s="63" t="s">
        <v>41</v>
      </c>
      <c r="C53" s="62" t="s">
        <v>93</v>
      </c>
      <c r="D53" s="63" t="s">
        <v>70</v>
      </c>
      <c r="E53" s="64">
        <v>124</v>
      </c>
      <c r="F53" s="65">
        <f>SUM(E53)*3</f>
        <v>372</v>
      </c>
      <c r="G53" s="76">
        <v>86.15</v>
      </c>
      <c r="H53" s="66">
        <f t="shared" si="8"/>
        <v>32.047800000000002</v>
      </c>
      <c r="I53" s="10">
        <f>F53/3*G53</f>
        <v>10682.6</v>
      </c>
    </row>
    <row r="54" spans="1:9">
      <c r="A54" s="204" t="s">
        <v>127</v>
      </c>
      <c r="B54" s="205"/>
      <c r="C54" s="205"/>
      <c r="D54" s="205"/>
      <c r="E54" s="205"/>
      <c r="F54" s="205"/>
      <c r="G54" s="205"/>
      <c r="H54" s="205"/>
      <c r="I54" s="206"/>
    </row>
    <row r="55" spans="1:9" hidden="1">
      <c r="A55" s="77"/>
      <c r="B55" s="78" t="s">
        <v>43</v>
      </c>
      <c r="C55" s="79"/>
      <c r="D55" s="80"/>
      <c r="E55" s="81"/>
      <c r="F55" s="82"/>
      <c r="G55" s="82"/>
      <c r="H55" s="83"/>
      <c r="I55" s="84"/>
    </row>
    <row r="56" spans="1:9" ht="30" hidden="1">
      <c r="A56" s="21">
        <v>13</v>
      </c>
      <c r="B56" s="54" t="s">
        <v>101</v>
      </c>
      <c r="C56" s="55" t="s">
        <v>83</v>
      </c>
      <c r="D56" s="54" t="s">
        <v>116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10">F56/6*G56</f>
        <v>2575.9934199999998</v>
      </c>
    </row>
    <row r="57" spans="1:9" ht="45" hidden="1">
      <c r="A57" s="21">
        <v>13</v>
      </c>
      <c r="B57" s="54" t="s">
        <v>77</v>
      </c>
      <c r="C57" s="55" t="s">
        <v>83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11">SUM(F57*G57/1000)</f>
        <v>2.4229841999999997</v>
      </c>
      <c r="I57" s="10">
        <f t="shared" si="10"/>
        <v>403.83069999999998</v>
      </c>
    </row>
    <row r="58" spans="1:9" hidden="1">
      <c r="A58" s="21">
        <v>14</v>
      </c>
      <c r="B58" s="63" t="s">
        <v>121</v>
      </c>
      <c r="C58" s="62" t="s">
        <v>122</v>
      </c>
      <c r="D58" s="125" t="s">
        <v>156</v>
      </c>
      <c r="E58" s="85"/>
      <c r="F58" s="65">
        <v>3</v>
      </c>
      <c r="G58" s="57">
        <v>1582.05</v>
      </c>
      <c r="H58" s="58">
        <f t="shared" si="11"/>
        <v>4.7461499999999992</v>
      </c>
      <c r="I58" s="10">
        <f>G58*24</f>
        <v>37969.199999999997</v>
      </c>
    </row>
    <row r="59" spans="1:9">
      <c r="A59" s="21"/>
      <c r="B59" s="74" t="s">
        <v>44</v>
      </c>
      <c r="C59" s="62"/>
      <c r="D59" s="63"/>
      <c r="E59" s="64"/>
      <c r="F59" s="65"/>
      <c r="G59" s="49"/>
      <c r="H59" s="66"/>
      <c r="I59" s="84"/>
    </row>
    <row r="60" spans="1:9" hidden="1">
      <c r="A60" s="21"/>
      <c r="B60" s="63" t="s">
        <v>45</v>
      </c>
      <c r="C60" s="62" t="s">
        <v>83</v>
      </c>
      <c r="D60" s="63" t="s">
        <v>54</v>
      </c>
      <c r="E60" s="64">
        <v>450</v>
      </c>
      <c r="F60" s="57">
        <f>SUM(E60/100)</f>
        <v>4.5</v>
      </c>
      <c r="G60" s="10">
        <v>1040.8399999999999</v>
      </c>
      <c r="H60" s="67">
        <v>7.6349999999999998</v>
      </c>
      <c r="I60" s="10">
        <v>0</v>
      </c>
    </row>
    <row r="61" spans="1:9">
      <c r="A61" s="21">
        <v>10</v>
      </c>
      <c r="B61" s="149" t="s">
        <v>188</v>
      </c>
      <c r="C61" s="150" t="s">
        <v>150</v>
      </c>
      <c r="D61" s="149" t="s">
        <v>177</v>
      </c>
      <c r="E61" s="170">
        <v>48</v>
      </c>
      <c r="F61" s="171">
        <v>576</v>
      </c>
      <c r="G61" s="26">
        <v>1.4</v>
      </c>
      <c r="H61" s="67"/>
      <c r="I61" s="10">
        <f>G61*F61/12</f>
        <v>67.2</v>
      </c>
    </row>
    <row r="62" spans="1:9" ht="18.75" customHeight="1">
      <c r="A62" s="21"/>
      <c r="B62" s="74" t="s">
        <v>46</v>
      </c>
      <c r="C62" s="62"/>
      <c r="D62" s="63"/>
      <c r="E62" s="64"/>
      <c r="F62" s="65"/>
      <c r="G62" s="68"/>
      <c r="H62" s="66" t="s">
        <v>130</v>
      </c>
      <c r="I62" s="10"/>
    </row>
    <row r="63" spans="1:9" ht="22.5" hidden="1" customHeight="1">
      <c r="A63" s="21">
        <v>16</v>
      </c>
      <c r="B63" s="11" t="s">
        <v>47</v>
      </c>
      <c r="C63" s="13" t="s">
        <v>93</v>
      </c>
      <c r="D63" s="11" t="s">
        <v>66</v>
      </c>
      <c r="E63" s="15">
        <v>5</v>
      </c>
      <c r="F63" s="57">
        <f>E63</f>
        <v>5</v>
      </c>
      <c r="G63" s="10">
        <v>291.68</v>
      </c>
      <c r="H63" s="53">
        <f t="shared" ref="H63:H70" si="12">SUM(F63*G63/1000)</f>
        <v>1.4584000000000001</v>
      </c>
      <c r="I63" s="10">
        <f>G63</f>
        <v>291.68</v>
      </c>
    </row>
    <row r="64" spans="1:9" ht="18.75" hidden="1" customHeight="1">
      <c r="A64" s="21"/>
      <c r="B64" s="11" t="s">
        <v>48</v>
      </c>
      <c r="C64" s="13" t="s">
        <v>93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2"/>
        <v>0.20002</v>
      </c>
      <c r="I64" s="10">
        <v>0</v>
      </c>
    </row>
    <row r="65" spans="1:9" ht="15.75" customHeight="1">
      <c r="A65" s="21">
        <v>11</v>
      </c>
      <c r="B65" s="156" t="s">
        <v>49</v>
      </c>
      <c r="C65" s="155" t="s">
        <v>94</v>
      </c>
      <c r="D65" s="152"/>
      <c r="E65" s="166">
        <v>13313</v>
      </c>
      <c r="F65" s="158">
        <f>SUM(E65/100)</f>
        <v>133.13</v>
      </c>
      <c r="G65" s="26">
        <v>316.3</v>
      </c>
      <c r="H65" s="53">
        <f t="shared" si="12"/>
        <v>42.109019000000004</v>
      </c>
      <c r="I65" s="10">
        <f>133.13*G65</f>
        <v>42109.019</v>
      </c>
    </row>
    <row r="66" spans="1:9" ht="18.75" customHeight="1">
      <c r="A66" s="21">
        <v>12</v>
      </c>
      <c r="B66" s="156" t="s">
        <v>50</v>
      </c>
      <c r="C66" s="153" t="s">
        <v>95</v>
      </c>
      <c r="D66" s="152"/>
      <c r="E66" s="166">
        <v>13313</v>
      </c>
      <c r="F66" s="26">
        <f>SUM(E66/1000)</f>
        <v>13.313000000000001</v>
      </c>
      <c r="G66" s="26">
        <v>246.31</v>
      </c>
      <c r="H66" s="53">
        <f t="shared" si="12"/>
        <v>3.2791250300000003</v>
      </c>
      <c r="I66" s="10">
        <f>13.313*G66</f>
        <v>3279.1250300000002</v>
      </c>
    </row>
    <row r="67" spans="1:9" ht="21.75" customHeight="1">
      <c r="A67" s="21">
        <v>13</v>
      </c>
      <c r="B67" s="156" t="s">
        <v>51</v>
      </c>
      <c r="C67" s="153" t="s">
        <v>75</v>
      </c>
      <c r="D67" s="152"/>
      <c r="E67" s="166">
        <v>2184</v>
      </c>
      <c r="F67" s="26">
        <f>SUM(E67/100)</f>
        <v>21.84</v>
      </c>
      <c r="G67" s="26">
        <v>3093.06</v>
      </c>
      <c r="H67" s="53">
        <f t="shared" si="12"/>
        <v>67.552430399999992</v>
      </c>
      <c r="I67" s="10">
        <f>21.84*G67</f>
        <v>67552.430399999997</v>
      </c>
    </row>
    <row r="68" spans="1:9" ht="21.75" customHeight="1">
      <c r="A68" s="21">
        <v>14</v>
      </c>
      <c r="B68" s="168" t="s">
        <v>96</v>
      </c>
      <c r="C68" s="153" t="s">
        <v>32</v>
      </c>
      <c r="D68" s="152"/>
      <c r="E68" s="166">
        <v>12.2</v>
      </c>
      <c r="F68" s="26">
        <f>SUM(E68)</f>
        <v>12.2</v>
      </c>
      <c r="G68" s="26">
        <v>49.36</v>
      </c>
      <c r="H68" s="53">
        <f t="shared" si="12"/>
        <v>0.60219200000000006</v>
      </c>
      <c r="I68" s="10">
        <f>12.2*G68</f>
        <v>602.19200000000001</v>
      </c>
    </row>
    <row r="69" spans="1:9" ht="17.25" customHeight="1">
      <c r="A69" s="21">
        <v>15</v>
      </c>
      <c r="B69" s="168" t="s">
        <v>131</v>
      </c>
      <c r="C69" s="153" t="s">
        <v>32</v>
      </c>
      <c r="D69" s="152"/>
      <c r="E69" s="166">
        <v>12.2</v>
      </c>
      <c r="F69" s="26">
        <f>SUM(E69)</f>
        <v>12.2</v>
      </c>
      <c r="G69" s="26">
        <v>56.66</v>
      </c>
      <c r="H69" s="53">
        <f t="shared" si="12"/>
        <v>0.69125199999999998</v>
      </c>
      <c r="I69" s="10">
        <f>12.2*G69</f>
        <v>691.25199999999995</v>
      </c>
    </row>
    <row r="70" spans="1:9" ht="21.75" hidden="1" customHeight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2"/>
        <v>0.19625999999999999</v>
      </c>
      <c r="I70" s="10">
        <v>0</v>
      </c>
    </row>
    <row r="71" spans="1:9" ht="16.5" customHeight="1">
      <c r="A71" s="21"/>
      <c r="B71" s="185" t="s">
        <v>71</v>
      </c>
      <c r="C71" s="13"/>
      <c r="D71" s="11"/>
      <c r="E71" s="15"/>
      <c r="F71" s="10"/>
      <c r="G71" s="10"/>
      <c r="H71" s="53" t="s">
        <v>130</v>
      </c>
      <c r="I71" s="10"/>
    </row>
    <row r="72" spans="1:9" ht="22.5" hidden="1" customHeight="1">
      <c r="A72" s="21"/>
      <c r="B72" s="11" t="s">
        <v>117</v>
      </c>
      <c r="C72" s="13" t="s">
        <v>93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3">SUM(F72*G72/1000)</f>
        <v>1.0291199999999998</v>
      </c>
      <c r="I72" s="10">
        <v>0</v>
      </c>
    </row>
    <row r="73" spans="1:9" ht="24" hidden="1" customHeight="1">
      <c r="A73" s="21"/>
      <c r="B73" s="11" t="s">
        <v>118</v>
      </c>
      <c r="C73" s="13" t="s">
        <v>119</v>
      </c>
      <c r="D73" s="11"/>
      <c r="E73" s="15">
        <v>1</v>
      </c>
      <c r="F73" s="10">
        <f>E73</f>
        <v>1</v>
      </c>
      <c r="G73" s="10">
        <v>735</v>
      </c>
      <c r="H73" s="53">
        <f t="shared" si="13"/>
        <v>0.73499999999999999</v>
      </c>
      <c r="I73" s="10">
        <v>0</v>
      </c>
    </row>
    <row r="74" spans="1:9" ht="27" hidden="1" customHeight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3"/>
        <v>0.13157400000000002</v>
      </c>
      <c r="I74" s="10">
        <v>0</v>
      </c>
    </row>
    <row r="75" spans="1:9" ht="25.5" hidden="1" customHeight="1">
      <c r="A75" s="21"/>
      <c r="B75" s="11" t="s">
        <v>120</v>
      </c>
      <c r="C75" s="13" t="s">
        <v>93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3"/>
        <v>1.1187199999999999</v>
      </c>
      <c r="I75" s="10">
        <v>0</v>
      </c>
    </row>
    <row r="76" spans="1:9" ht="24" hidden="1" customHeight="1">
      <c r="A76" s="21"/>
      <c r="B76" s="39" t="s">
        <v>140</v>
      </c>
      <c r="C76" s="40" t="s">
        <v>93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30.75" customHeight="1">
      <c r="A77" s="21">
        <v>16</v>
      </c>
      <c r="B77" s="91" t="s">
        <v>141</v>
      </c>
      <c r="C77" s="92" t="s">
        <v>93</v>
      </c>
      <c r="D77" s="152" t="s">
        <v>173</v>
      </c>
      <c r="E77" s="14">
        <v>2</v>
      </c>
      <c r="F77" s="162">
        <f>E77*12</f>
        <v>24</v>
      </c>
      <c r="G77" s="26">
        <v>425</v>
      </c>
      <c r="H77" s="53">
        <f t="shared" ref="H77" si="14">SUM(F77*G77/1000)</f>
        <v>10.199999999999999</v>
      </c>
      <c r="I77" s="10">
        <f>G77*2</f>
        <v>850</v>
      </c>
    </row>
    <row r="78" spans="1:9" ht="24" hidden="1" customHeight="1">
      <c r="A78" s="21"/>
      <c r="B78" s="71" t="s">
        <v>74</v>
      </c>
      <c r="C78" s="13"/>
      <c r="D78" s="11"/>
      <c r="E78" s="15"/>
      <c r="F78" s="10"/>
      <c r="G78" s="10" t="s">
        <v>130</v>
      </c>
      <c r="H78" s="53" t="s">
        <v>130</v>
      </c>
      <c r="I78" s="10"/>
    </row>
    <row r="79" spans="1:9" ht="27" hidden="1" customHeight="1">
      <c r="A79" s="21"/>
      <c r="B79" s="35" t="s">
        <v>99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5">SUM(F79*G79/1000)</f>
        <v>0.294985</v>
      </c>
      <c r="I79" s="10">
        <v>0</v>
      </c>
    </row>
    <row r="80" spans="1:9" ht="18" customHeight="1">
      <c r="A80" s="21"/>
      <c r="B80" s="86" t="s">
        <v>142</v>
      </c>
      <c r="C80" s="40"/>
      <c r="D80" s="11"/>
      <c r="E80" s="15"/>
      <c r="F80" s="49"/>
      <c r="G80" s="10"/>
      <c r="H80" s="53"/>
      <c r="I80" s="10"/>
    </row>
    <row r="81" spans="1:9" ht="20.25" customHeight="1">
      <c r="A81" s="21">
        <v>17</v>
      </c>
      <c r="B81" s="152" t="s">
        <v>143</v>
      </c>
      <c r="C81" s="28" t="s">
        <v>144</v>
      </c>
      <c r="D81" s="152"/>
      <c r="E81" s="14">
        <v>3227.7</v>
      </c>
      <c r="F81" s="26">
        <f>SUM(E81*12)</f>
        <v>38732.399999999994</v>
      </c>
      <c r="G81" s="26">
        <v>2.6</v>
      </c>
      <c r="H81" s="53">
        <f t="shared" ref="H81" si="16">SUM(F81*G81/1000)</f>
        <v>100.70423999999998</v>
      </c>
      <c r="I81" s="10">
        <f>F81/12*G81</f>
        <v>8392.0199999999986</v>
      </c>
    </row>
    <row r="82" spans="1:9" ht="26.25" hidden="1" customHeight="1">
      <c r="A82" s="21"/>
      <c r="B82" s="126" t="s">
        <v>89</v>
      </c>
      <c r="C82" s="71"/>
      <c r="D82" s="23"/>
      <c r="E82" s="24"/>
      <c r="F82" s="59"/>
      <c r="G82" s="59"/>
      <c r="H82" s="72">
        <f>SUM(H56:H79)</f>
        <v>161.46402214999998</v>
      </c>
      <c r="I82" s="59"/>
    </row>
    <row r="83" spans="1:9" ht="26.25" hidden="1" customHeight="1">
      <c r="A83" s="21"/>
      <c r="B83" s="11" t="s">
        <v>145</v>
      </c>
      <c r="C83" s="13"/>
      <c r="D83" s="11"/>
      <c r="E83" s="11"/>
      <c r="F83" s="10">
        <v>1</v>
      </c>
      <c r="G83" s="10">
        <v>20408</v>
      </c>
      <c r="H83" s="53">
        <f>G83*F83/1000</f>
        <v>20.408000000000001</v>
      </c>
      <c r="I83" s="10">
        <v>0</v>
      </c>
    </row>
    <row r="84" spans="1:9" ht="21" hidden="1" customHeight="1">
      <c r="A84" s="21"/>
      <c r="B84" s="11" t="s">
        <v>146</v>
      </c>
      <c r="C84" s="13"/>
      <c r="D84" s="11"/>
      <c r="E84" s="11"/>
      <c r="F84" s="10">
        <v>62</v>
      </c>
      <c r="G84" s="10">
        <v>700</v>
      </c>
      <c r="H84" s="53">
        <f t="shared" ref="H84" si="17">G84*F84/1000</f>
        <v>43.4</v>
      </c>
      <c r="I84" s="10">
        <v>0</v>
      </c>
    </row>
    <row r="85" spans="1:9">
      <c r="A85" s="201" t="s">
        <v>128</v>
      </c>
      <c r="B85" s="202"/>
      <c r="C85" s="202"/>
      <c r="D85" s="202"/>
      <c r="E85" s="202"/>
      <c r="F85" s="202"/>
      <c r="G85" s="202"/>
      <c r="H85" s="202"/>
      <c r="I85" s="203"/>
    </row>
    <row r="86" spans="1:9" ht="16.5" customHeight="1">
      <c r="A86" s="21">
        <v>18</v>
      </c>
      <c r="B86" s="159" t="s">
        <v>97</v>
      </c>
      <c r="C86" s="153" t="s">
        <v>55</v>
      </c>
      <c r="D86" s="38"/>
      <c r="E86" s="26">
        <v>3227.7</v>
      </c>
      <c r="F86" s="26">
        <f>SUM(E86*12)</f>
        <v>38732.399999999994</v>
      </c>
      <c r="G86" s="26">
        <v>3.5</v>
      </c>
      <c r="H86" s="53">
        <f t="shared" ref="H86" si="18">G86*F86/1000</f>
        <v>135.56339999999997</v>
      </c>
      <c r="I86" s="10">
        <f>F86/12*G86</f>
        <v>11296.949999999997</v>
      </c>
    </row>
    <row r="87" spans="1:9" ht="36" customHeight="1">
      <c r="A87" s="21">
        <v>19</v>
      </c>
      <c r="B87" s="152" t="s">
        <v>186</v>
      </c>
      <c r="C87" s="153" t="s">
        <v>150</v>
      </c>
      <c r="D87" s="90"/>
      <c r="E87" s="166">
        <f>E86</f>
        <v>3227.7</v>
      </c>
      <c r="F87" s="26">
        <f>E87*12</f>
        <v>38732.399999999994</v>
      </c>
      <c r="G87" s="26">
        <v>3.2</v>
      </c>
      <c r="H87" s="53">
        <f>F87*G87/1000</f>
        <v>123.94367999999999</v>
      </c>
      <c r="I87" s="10">
        <f>F87/12*G87</f>
        <v>10328.64</v>
      </c>
    </row>
    <row r="88" spans="1:9">
      <c r="A88" s="21"/>
      <c r="B88" s="27" t="s">
        <v>78</v>
      </c>
      <c r="C88" s="71"/>
      <c r="D88" s="70"/>
      <c r="E88" s="59"/>
      <c r="F88" s="59"/>
      <c r="G88" s="59"/>
      <c r="H88" s="72">
        <f>SUM(H87)</f>
        <v>123.94367999999999</v>
      </c>
      <c r="I88" s="59">
        <f>I87+I86+I81+I77+I69+I68+I67+I66+I65+I61+I30+I29+I24+I21+I19+I18+I17+I16+I20</f>
        <v>155211.19807833331</v>
      </c>
    </row>
    <row r="89" spans="1:9">
      <c r="A89" s="207" t="s">
        <v>60</v>
      </c>
      <c r="B89" s="208"/>
      <c r="C89" s="208"/>
      <c r="D89" s="208"/>
      <c r="E89" s="208"/>
      <c r="F89" s="208"/>
      <c r="G89" s="208"/>
      <c r="H89" s="208"/>
      <c r="I89" s="209"/>
    </row>
    <row r="90" spans="1:9" ht="20.25" customHeight="1">
      <c r="A90" s="21">
        <v>20</v>
      </c>
      <c r="B90" s="91" t="s">
        <v>79</v>
      </c>
      <c r="C90" s="92" t="s">
        <v>93</v>
      </c>
      <c r="D90" s="90"/>
      <c r="E90" s="26"/>
      <c r="F90" s="26">
        <v>13</v>
      </c>
      <c r="G90" s="26">
        <v>224.48</v>
      </c>
      <c r="H90" s="10"/>
      <c r="I90" s="10">
        <f>G90*1</f>
        <v>224.48</v>
      </c>
    </row>
    <row r="91" spans="1:9" ht="33" customHeight="1">
      <c r="A91" s="21">
        <v>21</v>
      </c>
      <c r="B91" s="91" t="s">
        <v>237</v>
      </c>
      <c r="C91" s="92" t="s">
        <v>28</v>
      </c>
      <c r="D91" s="90"/>
      <c r="E91" s="26"/>
      <c r="F91" s="26">
        <f>1.325+1.325+1.325</f>
        <v>3.9749999999999996</v>
      </c>
      <c r="G91" s="26">
        <v>241.69</v>
      </c>
      <c r="H91" s="10"/>
      <c r="I91" s="10">
        <f>G91*2.65</f>
        <v>640.47849999999994</v>
      </c>
    </row>
    <row r="92" spans="1:9" ht="20.25" customHeight="1">
      <c r="A92" s="21">
        <v>22</v>
      </c>
      <c r="B92" s="91" t="s">
        <v>181</v>
      </c>
      <c r="C92" s="92" t="s">
        <v>40</v>
      </c>
      <c r="D92" s="90" t="s">
        <v>177</v>
      </c>
      <c r="E92" s="26"/>
      <c r="F92" s="26">
        <v>0.03</v>
      </c>
      <c r="G92" s="26">
        <v>28224.75</v>
      </c>
      <c r="H92" s="10"/>
      <c r="I92" s="10">
        <v>0</v>
      </c>
    </row>
    <row r="93" spans="1:9" ht="29.25" customHeight="1">
      <c r="A93" s="21">
        <v>23</v>
      </c>
      <c r="B93" s="91" t="s">
        <v>218</v>
      </c>
      <c r="C93" s="92" t="s">
        <v>136</v>
      </c>
      <c r="D93" s="90" t="s">
        <v>244</v>
      </c>
      <c r="E93" s="26"/>
      <c r="F93" s="26">
        <v>1.5</v>
      </c>
      <c r="G93" s="26">
        <v>1584.54</v>
      </c>
      <c r="H93" s="10"/>
      <c r="I93" s="10">
        <f>G93*0.5</f>
        <v>792.27</v>
      </c>
    </row>
    <row r="94" spans="1:9" ht="20.25" customHeight="1">
      <c r="A94" s="21">
        <v>24</v>
      </c>
      <c r="B94" s="91" t="s">
        <v>241</v>
      </c>
      <c r="C94" s="42" t="s">
        <v>193</v>
      </c>
      <c r="D94" s="90" t="s">
        <v>245</v>
      </c>
      <c r="E94" s="26"/>
      <c r="F94" s="26">
        <v>1</v>
      </c>
      <c r="G94" s="26">
        <v>182.26</v>
      </c>
      <c r="H94" s="10"/>
      <c r="I94" s="10">
        <f>G94*1</f>
        <v>182.26</v>
      </c>
    </row>
    <row r="95" spans="1:9" ht="15" customHeight="1">
      <c r="A95" s="21">
        <v>25</v>
      </c>
      <c r="B95" s="91" t="s">
        <v>242</v>
      </c>
      <c r="C95" s="42" t="s">
        <v>93</v>
      </c>
      <c r="D95" s="90"/>
      <c r="E95" s="26"/>
      <c r="F95" s="26">
        <v>0.5</v>
      </c>
      <c r="G95" s="26">
        <v>453</v>
      </c>
      <c r="H95" s="10"/>
      <c r="I95" s="10">
        <f>G95*0.5</f>
        <v>226.5</v>
      </c>
    </row>
    <row r="96" spans="1:9" ht="15" customHeight="1">
      <c r="A96" s="21">
        <v>26</v>
      </c>
      <c r="B96" s="91" t="s">
        <v>151</v>
      </c>
      <c r="C96" s="92" t="s">
        <v>136</v>
      </c>
      <c r="D96" s="90" t="s">
        <v>243</v>
      </c>
      <c r="E96" s="26"/>
      <c r="F96" s="26">
        <v>65</v>
      </c>
      <c r="G96" s="26">
        <v>295.36</v>
      </c>
      <c r="H96" s="10"/>
      <c r="I96" s="10">
        <v>0</v>
      </c>
    </row>
    <row r="97" spans="1:9" ht="15" customHeight="1">
      <c r="A97" s="21">
        <v>27</v>
      </c>
      <c r="B97" s="91" t="s">
        <v>167</v>
      </c>
      <c r="C97" s="92" t="s">
        <v>152</v>
      </c>
      <c r="D97" s="90"/>
      <c r="E97" s="26"/>
      <c r="F97" s="26">
        <v>10</v>
      </c>
      <c r="G97" s="26">
        <v>236.08</v>
      </c>
      <c r="H97" s="10"/>
      <c r="I97" s="10">
        <f>G97*1</f>
        <v>236.08</v>
      </c>
    </row>
    <row r="98" spans="1:9" ht="16.5" customHeight="1">
      <c r="A98" s="21"/>
      <c r="B98" s="33" t="s">
        <v>52</v>
      </c>
      <c r="C98" s="29"/>
      <c r="D98" s="36"/>
      <c r="E98" s="29">
        <v>1</v>
      </c>
      <c r="F98" s="29"/>
      <c r="G98" s="29"/>
      <c r="H98" s="29"/>
      <c r="I98" s="24">
        <f>SUM(I90:I97)</f>
        <v>2302.0684999999999</v>
      </c>
    </row>
    <row r="99" spans="1:9">
      <c r="A99" s="21"/>
      <c r="B99" s="35" t="s">
        <v>76</v>
      </c>
      <c r="C99" s="12"/>
      <c r="D99" s="12"/>
      <c r="E99" s="30"/>
      <c r="F99" s="30"/>
      <c r="G99" s="31"/>
      <c r="H99" s="31"/>
      <c r="I99" s="14">
        <v>0</v>
      </c>
    </row>
    <row r="100" spans="1:9">
      <c r="A100" s="37"/>
      <c r="B100" s="34" t="s">
        <v>147</v>
      </c>
      <c r="C100" s="25"/>
      <c r="D100" s="25"/>
      <c r="E100" s="25"/>
      <c r="F100" s="25"/>
      <c r="G100" s="25"/>
      <c r="H100" s="25"/>
      <c r="I100" s="32">
        <f>I88+I98</f>
        <v>157513.26657833331</v>
      </c>
    </row>
    <row r="101" spans="1:9" ht="15.75">
      <c r="A101" s="210" t="s">
        <v>253</v>
      </c>
      <c r="B101" s="210"/>
      <c r="C101" s="210"/>
      <c r="D101" s="210"/>
      <c r="E101" s="210"/>
      <c r="F101" s="210"/>
      <c r="G101" s="210"/>
      <c r="H101" s="210"/>
      <c r="I101" s="210"/>
    </row>
    <row r="102" spans="1:9" ht="15.75">
      <c r="A102" s="43"/>
      <c r="B102" s="211" t="s">
        <v>254</v>
      </c>
      <c r="C102" s="211"/>
      <c r="D102" s="211"/>
      <c r="E102" s="211"/>
      <c r="F102" s="211"/>
      <c r="G102" s="211"/>
      <c r="H102" s="52"/>
      <c r="I102" s="2"/>
    </row>
    <row r="103" spans="1:9">
      <c r="A103" s="131"/>
      <c r="B103" s="195" t="s">
        <v>6</v>
      </c>
      <c r="C103" s="195"/>
      <c r="D103" s="195"/>
      <c r="E103" s="195"/>
      <c r="F103" s="195"/>
      <c r="G103" s="195"/>
      <c r="H103" s="16"/>
      <c r="I103" s="4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>
      <c r="A105" s="212" t="s">
        <v>7</v>
      </c>
      <c r="B105" s="212"/>
      <c r="C105" s="212"/>
      <c r="D105" s="212"/>
      <c r="E105" s="212"/>
      <c r="F105" s="212"/>
      <c r="G105" s="212"/>
      <c r="H105" s="212"/>
      <c r="I105" s="212"/>
    </row>
    <row r="106" spans="1:9" ht="15.75">
      <c r="A106" s="212" t="s">
        <v>8</v>
      </c>
      <c r="B106" s="212"/>
      <c r="C106" s="212"/>
      <c r="D106" s="212"/>
      <c r="E106" s="212"/>
      <c r="F106" s="212"/>
      <c r="G106" s="212"/>
      <c r="H106" s="212"/>
      <c r="I106" s="212"/>
    </row>
    <row r="107" spans="1:9" ht="15.75">
      <c r="A107" s="199" t="s">
        <v>61</v>
      </c>
      <c r="B107" s="199"/>
      <c r="C107" s="199"/>
      <c r="D107" s="199"/>
      <c r="E107" s="199"/>
      <c r="F107" s="199"/>
      <c r="G107" s="199"/>
      <c r="H107" s="199"/>
      <c r="I107" s="199"/>
    </row>
    <row r="108" spans="1:9" ht="15.75">
      <c r="A108" s="8"/>
    </row>
    <row r="109" spans="1:9" ht="15.75">
      <c r="A109" s="193" t="s">
        <v>9</v>
      </c>
      <c r="B109" s="193"/>
      <c r="C109" s="193"/>
      <c r="D109" s="193"/>
      <c r="E109" s="193"/>
      <c r="F109" s="193"/>
      <c r="G109" s="193"/>
      <c r="H109" s="193"/>
      <c r="I109" s="193"/>
    </row>
    <row r="110" spans="1:9" ht="15.75">
      <c r="A110" s="3"/>
    </row>
    <row r="111" spans="1:9" ht="15.75">
      <c r="B111" s="128" t="s">
        <v>10</v>
      </c>
      <c r="C111" s="194" t="s">
        <v>190</v>
      </c>
      <c r="D111" s="194"/>
      <c r="E111" s="194"/>
      <c r="F111" s="50"/>
      <c r="I111" s="130"/>
    </row>
    <row r="112" spans="1:9">
      <c r="A112" s="131"/>
      <c r="C112" s="195" t="s">
        <v>11</v>
      </c>
      <c r="D112" s="195"/>
      <c r="E112" s="195"/>
      <c r="F112" s="16"/>
      <c r="I112" s="129" t="s">
        <v>12</v>
      </c>
    </row>
    <row r="113" spans="1:9" ht="15.75">
      <c r="A113" s="17"/>
      <c r="C113" s="9"/>
      <c r="D113" s="9"/>
      <c r="G113" s="9"/>
      <c r="H113" s="9"/>
    </row>
    <row r="114" spans="1:9" ht="15.75">
      <c r="B114" s="128" t="s">
        <v>13</v>
      </c>
      <c r="C114" s="196"/>
      <c r="D114" s="196"/>
      <c r="E114" s="196"/>
      <c r="F114" s="51"/>
      <c r="I114" s="130"/>
    </row>
    <row r="115" spans="1:9">
      <c r="A115" s="131"/>
      <c r="C115" s="197" t="s">
        <v>11</v>
      </c>
      <c r="D115" s="197"/>
      <c r="E115" s="197"/>
      <c r="F115" s="131"/>
      <c r="I115" s="129" t="s">
        <v>12</v>
      </c>
    </row>
    <row r="116" spans="1:9" ht="15.75">
      <c r="A116" s="3" t="s">
        <v>14</v>
      </c>
    </row>
    <row r="117" spans="1:9">
      <c r="A117" s="198" t="s">
        <v>15</v>
      </c>
      <c r="B117" s="198"/>
      <c r="C117" s="198"/>
      <c r="D117" s="198"/>
      <c r="E117" s="198"/>
      <c r="F117" s="198"/>
      <c r="G117" s="198"/>
      <c r="H117" s="198"/>
      <c r="I117" s="198"/>
    </row>
    <row r="118" spans="1:9" ht="43.5" customHeight="1">
      <c r="A118" s="192" t="s">
        <v>16</v>
      </c>
      <c r="B118" s="192"/>
      <c r="C118" s="192"/>
      <c r="D118" s="192"/>
      <c r="E118" s="192"/>
      <c r="F118" s="192"/>
      <c r="G118" s="192"/>
      <c r="H118" s="192"/>
      <c r="I118" s="192"/>
    </row>
    <row r="119" spans="1:9" ht="41.25" customHeight="1">
      <c r="A119" s="192" t="s">
        <v>17</v>
      </c>
      <c r="B119" s="192"/>
      <c r="C119" s="192"/>
      <c r="D119" s="192"/>
      <c r="E119" s="192"/>
      <c r="F119" s="192"/>
      <c r="G119" s="192"/>
      <c r="H119" s="192"/>
      <c r="I119" s="192"/>
    </row>
    <row r="120" spans="1:9" ht="41.25" customHeight="1">
      <c r="A120" s="192" t="s">
        <v>21</v>
      </c>
      <c r="B120" s="192"/>
      <c r="C120" s="192"/>
      <c r="D120" s="192"/>
      <c r="E120" s="192"/>
      <c r="F120" s="192"/>
      <c r="G120" s="192"/>
      <c r="H120" s="192"/>
      <c r="I120" s="192"/>
    </row>
    <row r="121" spans="1:9" ht="15.75">
      <c r="A121" s="192" t="s">
        <v>20</v>
      </c>
      <c r="B121" s="192"/>
      <c r="C121" s="192"/>
      <c r="D121" s="192"/>
      <c r="E121" s="192"/>
      <c r="F121" s="192"/>
      <c r="G121" s="192"/>
      <c r="H121" s="192"/>
      <c r="I121" s="192"/>
    </row>
  </sheetData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7:I27"/>
    <mergeCell ref="A42:I42"/>
    <mergeCell ref="A54:I54"/>
    <mergeCell ref="A85:I85"/>
    <mergeCell ref="A89:I89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" top="0.74803149606299213" bottom="0.74803149606299213" header="0.31496062992125984" footer="0.31496062992125984"/>
  <pageSetup paperSize="9" scale="62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6"/>
  <sheetViews>
    <sheetView topLeftCell="A97" zoomScaleNormal="100" workbookViewId="0">
      <selection activeCell="B86" sqref="B86:I87"/>
    </sheetView>
  </sheetViews>
  <sheetFormatPr defaultRowHeight="15"/>
  <cols>
    <col min="1" max="1" width="10.7109375" customWidth="1"/>
    <col min="2" max="2" width="50.5703125" customWidth="1"/>
    <col min="3" max="3" width="19.85546875" customWidth="1"/>
    <col min="4" max="4" width="17.85546875" customWidth="1"/>
    <col min="5" max="5" width="0" hidden="1" customWidth="1"/>
    <col min="6" max="6" width="11.5703125" hidden="1" customWidth="1"/>
    <col min="7" max="7" width="16.140625" customWidth="1"/>
    <col min="8" max="8" width="0" hidden="1" customWidth="1"/>
    <col min="9" max="9" width="18.1406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160</v>
      </c>
      <c r="B3" s="214"/>
      <c r="C3" s="214"/>
      <c r="D3" s="214"/>
      <c r="E3" s="214"/>
      <c r="F3" s="214"/>
      <c r="G3" s="214"/>
      <c r="H3" s="214"/>
      <c r="I3" s="214"/>
    </row>
    <row r="4" spans="1:9" ht="33.7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255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37"/>
      <c r="C6" s="137"/>
      <c r="D6" s="137"/>
      <c r="E6" s="137"/>
      <c r="F6" s="137"/>
      <c r="G6" s="137"/>
      <c r="H6" s="137"/>
      <c r="I6" s="22">
        <v>44408</v>
      </c>
    </row>
    <row r="7" spans="1:9" ht="1.5" customHeight="1">
      <c r="B7" s="135"/>
      <c r="C7" s="135"/>
      <c r="D7" s="135"/>
      <c r="E7" s="2"/>
      <c r="F7" s="2"/>
      <c r="G7" s="2"/>
      <c r="H7" s="2"/>
    </row>
    <row r="8" spans="1:9" ht="107.25" customHeight="1">
      <c r="A8" s="217" t="s">
        <v>240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68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63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7.2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24" si="0">SUM(F16*G16/1000)</f>
        <v>17.68489632</v>
      </c>
      <c r="I16" s="10">
        <f>F16/12*G16</f>
        <v>1473.74136</v>
      </c>
    </row>
    <row r="17" spans="1:9" ht="16.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20.25" customHeight="1">
      <c r="A18" s="21">
        <v>3</v>
      </c>
      <c r="B18" s="159" t="s">
        <v>105</v>
      </c>
      <c r="C18" s="160" t="s">
        <v>83</v>
      </c>
      <c r="D18" s="159" t="s">
        <v>172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F18/18*2*G18</f>
        <v>3261.3657600000001</v>
      </c>
    </row>
    <row r="19" spans="1:9" hidden="1">
      <c r="A19" s="21">
        <v>4</v>
      </c>
      <c r="B19" s="159" t="s">
        <v>106</v>
      </c>
      <c r="C19" s="160" t="s">
        <v>107</v>
      </c>
      <c r="D19" s="159" t="s">
        <v>252</v>
      </c>
      <c r="E19" s="166">
        <v>40</v>
      </c>
      <c r="F19" s="162">
        <f>SUM(E19/10)</f>
        <v>4</v>
      </c>
      <c r="G19" s="162">
        <v>253.7</v>
      </c>
      <c r="H19" s="58">
        <f t="shared" si="0"/>
        <v>1.0147999999999999</v>
      </c>
      <c r="I19" s="10">
        <f>4*G19</f>
        <v>1014.8</v>
      </c>
    </row>
    <row r="20" spans="1:9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0"/>
        <v>0.40929839999999995</v>
      </c>
      <c r="I20" s="10">
        <f>G20*F20/12</f>
        <v>34.108199999999997</v>
      </c>
    </row>
    <row r="21" spans="1:9" ht="17.2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0"/>
        <v>0.24397741199999998</v>
      </c>
      <c r="I21" s="10">
        <f>F21/12*G21</f>
        <v>20.331451000000001</v>
      </c>
    </row>
    <row r="22" spans="1:9">
      <c r="A22" s="21">
        <v>6</v>
      </c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0"/>
        <v>2.8662815999999998</v>
      </c>
      <c r="I22" s="10">
        <f>G22*F22/2</f>
        <v>1433.1407999999999</v>
      </c>
    </row>
    <row r="23" spans="1:9">
      <c r="A23" s="21">
        <v>7</v>
      </c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0"/>
        <v>5.1027984000000005E-2</v>
      </c>
      <c r="I23" s="10">
        <f>G23*F23/2</f>
        <v>25.513992000000002</v>
      </c>
    </row>
    <row r="24" spans="1:9">
      <c r="A24" s="21">
        <v>8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0"/>
        <v>1.045836</v>
      </c>
      <c r="I24" s="10">
        <f>0.15*G24</f>
        <v>87.152999999999992</v>
      </c>
    </row>
    <row r="25" spans="1:9">
      <c r="A25" s="21">
        <v>9</v>
      </c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ref="H25:H26" si="1">SUM(F25*G25/1000)</f>
        <v>9.9076295999999994E-2</v>
      </c>
      <c r="I25" s="10">
        <f>G25*F25/2</f>
        <v>49.538148</v>
      </c>
    </row>
    <row r="26" spans="1:9" ht="17.25" hidden="1" customHeight="1">
      <c r="A26" s="21">
        <v>5</v>
      </c>
      <c r="B26" s="159" t="s">
        <v>169</v>
      </c>
      <c r="C26" s="160" t="s">
        <v>150</v>
      </c>
      <c r="D26" s="159" t="s">
        <v>174</v>
      </c>
      <c r="E26" s="161">
        <v>3.82</v>
      </c>
      <c r="F26" s="162">
        <f>E26*258</f>
        <v>985.56</v>
      </c>
      <c r="G26" s="162">
        <v>10.39</v>
      </c>
      <c r="H26" s="58">
        <f t="shared" si="1"/>
        <v>10.2399684</v>
      </c>
      <c r="I26" s="10">
        <f>F26/12*G26</f>
        <v>853.33069999999998</v>
      </c>
    </row>
    <row r="27" spans="1:9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19.5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5.75" customHeight="1">
      <c r="A29" s="21">
        <v>10</v>
      </c>
      <c r="B29" s="159" t="s">
        <v>91</v>
      </c>
      <c r="C29" s="160" t="s">
        <v>85</v>
      </c>
      <c r="D29" s="159" t="s">
        <v>236</v>
      </c>
      <c r="E29" s="162">
        <v>124.74</v>
      </c>
      <c r="F29" s="162">
        <f>SUM(E29*24/1000)</f>
        <v>2.99376</v>
      </c>
      <c r="G29" s="162">
        <v>232.4</v>
      </c>
      <c r="H29" s="58">
        <f t="shared" ref="H29:H30" si="2">SUM(F29*G29/1000)</f>
        <v>0.69574982399999996</v>
      </c>
      <c r="I29" s="10">
        <f>F29/6*G29</f>
        <v>115.95830400000001</v>
      </c>
    </row>
    <row r="30" spans="1:9" ht="46.5" customHeight="1">
      <c r="A30" s="21">
        <v>11</v>
      </c>
      <c r="B30" s="159" t="s">
        <v>132</v>
      </c>
      <c r="C30" s="160" t="s">
        <v>85</v>
      </c>
      <c r="D30" s="159" t="s">
        <v>171</v>
      </c>
      <c r="E30" s="162">
        <v>31.4</v>
      </c>
      <c r="F30" s="162">
        <f>SUM(E30*52/1000)</f>
        <v>1.6328</v>
      </c>
      <c r="G30" s="162">
        <v>385.6</v>
      </c>
      <c r="H30" s="58">
        <f t="shared" si="2"/>
        <v>0.62960768000000011</v>
      </c>
      <c r="I30" s="10">
        <f t="shared" ref="I30" si="3">F30/6*G30</f>
        <v>104.93461333333335</v>
      </c>
    </row>
    <row r="31" spans="1:9" hidden="1">
      <c r="A31" s="21">
        <v>15</v>
      </c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4">SUM(F31*G31/1000)</f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4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4"/>
        <v>1.49031</v>
      </c>
      <c r="I33" s="10">
        <v>0</v>
      </c>
    </row>
    <row r="34" spans="1:9" hidden="1">
      <c r="A34" s="21"/>
      <c r="B34" s="73" t="s">
        <v>5</v>
      </c>
      <c r="C34" s="55"/>
      <c r="D34" s="54"/>
      <c r="E34" s="56"/>
      <c r="F34" s="57"/>
      <c r="G34" s="57"/>
      <c r="H34" s="58" t="s">
        <v>130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100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5">SUM(F36*G36/1000)</f>
        <v>2.1568597380000001</v>
      </c>
      <c r="I36" s="10">
        <f t="shared" ref="I36:I39" si="6">F36/6*G36</f>
        <v>359.47662300000002</v>
      </c>
    </row>
    <row r="37" spans="1:9" ht="30" hidden="1">
      <c r="A37" s="21">
        <v>8</v>
      </c>
      <c r="B37" s="54" t="s">
        <v>68</v>
      </c>
      <c r="C37" s="55" t="s">
        <v>28</v>
      </c>
      <c r="D37" s="54" t="s">
        <v>84</v>
      </c>
      <c r="E37" s="57">
        <v>31.4</v>
      </c>
      <c r="F37" s="57">
        <f>SUM(E37*155/1000)</f>
        <v>4.867</v>
      </c>
      <c r="G37" s="57">
        <v>460.02</v>
      </c>
      <c r="H37" s="58">
        <f t="shared" si="5"/>
        <v>2.23891734</v>
      </c>
      <c r="I37" s="10">
        <f t="shared" si="6"/>
        <v>373.15289000000001</v>
      </c>
    </row>
    <row r="38" spans="1:9" hidden="1">
      <c r="A38" s="21">
        <v>9</v>
      </c>
      <c r="B38" s="54" t="s">
        <v>115</v>
      </c>
      <c r="C38" s="55" t="s">
        <v>55</v>
      </c>
      <c r="D38" s="124" t="s">
        <v>155</v>
      </c>
      <c r="E38" s="56"/>
      <c r="F38" s="57">
        <v>110</v>
      </c>
      <c r="G38" s="57">
        <v>314</v>
      </c>
      <c r="H38" s="58">
        <f t="shared" si="5"/>
        <v>34.54</v>
      </c>
      <c r="I38" s="10">
        <f>G38*65</f>
        <v>20410</v>
      </c>
    </row>
    <row r="39" spans="1:9" ht="60" hidden="1">
      <c r="A39" s="21">
        <v>10</v>
      </c>
      <c r="B39" s="54" t="s">
        <v>80</v>
      </c>
      <c r="C39" s="55" t="s">
        <v>85</v>
      </c>
      <c r="D39" s="54" t="s">
        <v>100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5"/>
        <v>5.9526882360000002</v>
      </c>
      <c r="I39" s="10">
        <f t="shared" si="6"/>
        <v>992.11470599999996</v>
      </c>
    </row>
    <row r="40" spans="1:9" hidden="1">
      <c r="A40" s="21">
        <v>11</v>
      </c>
      <c r="B40" s="54" t="s">
        <v>86</v>
      </c>
      <c r="C40" s="55" t="s">
        <v>85</v>
      </c>
      <c r="D40" s="54" t="s">
        <v>139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5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5"/>
        <v>0.29244900000000001</v>
      </c>
      <c r="I41" s="10">
        <f>(F41/7.5*1.5)*G41</f>
        <v>58.489800000000002</v>
      </c>
    </row>
    <row r="42" spans="1:9" hidden="1">
      <c r="A42" s="201" t="s">
        <v>124</v>
      </c>
      <c r="B42" s="202"/>
      <c r="C42" s="202"/>
      <c r="D42" s="202"/>
      <c r="E42" s="202"/>
      <c r="F42" s="202"/>
      <c r="G42" s="202"/>
      <c r="H42" s="202"/>
      <c r="I42" s="203"/>
    </row>
    <row r="43" spans="1:9" hidden="1">
      <c r="A43" s="21">
        <v>17</v>
      </c>
      <c r="B43" s="54" t="s">
        <v>92</v>
      </c>
      <c r="C43" s="55" t="s">
        <v>85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7">SUM(F43*G43/1000)</f>
        <v>2.6013433080000006</v>
      </c>
      <c r="I43" s="10">
        <f>1.1094*G43</f>
        <v>1300.671654</v>
      </c>
    </row>
    <row r="44" spans="1:9" hidden="1">
      <c r="A44" s="21">
        <v>18</v>
      </c>
      <c r="B44" s="54" t="s">
        <v>35</v>
      </c>
      <c r="C44" s="55" t="s">
        <v>85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7"/>
        <v>0.58331460000000002</v>
      </c>
      <c r="I44" s="10">
        <f>0.066*G44</f>
        <v>291.65730000000002</v>
      </c>
    </row>
    <row r="45" spans="1:9" hidden="1">
      <c r="A45" s="21">
        <v>19</v>
      </c>
      <c r="B45" s="54" t="s">
        <v>36</v>
      </c>
      <c r="C45" s="55" t="s">
        <v>85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7"/>
        <v>5.6393269695000008</v>
      </c>
      <c r="I45" s="10">
        <f>3.12655/2*G45</f>
        <v>2819.66348475</v>
      </c>
    </row>
    <row r="46" spans="1:9" hidden="1">
      <c r="A46" s="21">
        <v>20</v>
      </c>
      <c r="B46" s="54" t="s">
        <v>37</v>
      </c>
      <c r="C46" s="55" t="s">
        <v>85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7"/>
        <v>4.0277184559999997</v>
      </c>
      <c r="I46" s="10">
        <f>3.2392/2*G46</f>
        <v>2013.859228</v>
      </c>
    </row>
    <row r="47" spans="1:9" hidden="1">
      <c r="A47" s="21">
        <v>21</v>
      </c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7"/>
        <v>2.3224183680000001</v>
      </c>
      <c r="I47" s="10">
        <f>1.7168/2*G47</f>
        <v>1161.2091840000001</v>
      </c>
    </row>
    <row r="48" spans="1:9" hidden="1">
      <c r="A48" s="21">
        <v>22</v>
      </c>
      <c r="B48" s="54" t="s">
        <v>56</v>
      </c>
      <c r="C48" s="55" t="s">
        <v>85</v>
      </c>
      <c r="D48" s="54" t="s">
        <v>133</v>
      </c>
      <c r="E48" s="56">
        <v>2579.4</v>
      </c>
      <c r="F48" s="57">
        <f>SUM(E48*5/1000)</f>
        <v>12.897</v>
      </c>
      <c r="G48" s="10">
        <v>1803.69</v>
      </c>
      <c r="H48" s="58">
        <f t="shared" si="7"/>
        <v>23.262189930000002</v>
      </c>
      <c r="I48" s="10">
        <f>F48/5*G48</f>
        <v>4652.4379860000008</v>
      </c>
    </row>
    <row r="49" spans="1:9" ht="45" hidden="1">
      <c r="A49" s="21">
        <v>23</v>
      </c>
      <c r="B49" s="54" t="s">
        <v>87</v>
      </c>
      <c r="C49" s="55" t="s">
        <v>85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7"/>
        <v>8.2107460800000016</v>
      </c>
      <c r="I49" s="10">
        <f>F49/2*G49</f>
        <v>4105.3730400000004</v>
      </c>
    </row>
    <row r="50" spans="1:9" ht="30" hidden="1">
      <c r="A50" s="21">
        <v>24</v>
      </c>
      <c r="B50" s="54" t="s">
        <v>88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7"/>
        <v>1.6233280000000001</v>
      </c>
      <c r="I50" s="10">
        <f t="shared" ref="I50:I51" si="8">F50/2*G50</f>
        <v>811.6640000000001</v>
      </c>
    </row>
    <row r="51" spans="1:9" hidden="1">
      <c r="A51" s="21">
        <v>25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7"/>
        <v>0.14825839999999998</v>
      </c>
      <c r="I51" s="10">
        <f t="shared" si="8"/>
        <v>74.129199999999997</v>
      </c>
    </row>
    <row r="52" spans="1:9" hidden="1">
      <c r="A52" s="21">
        <v>26</v>
      </c>
      <c r="B52" s="54" t="s">
        <v>98</v>
      </c>
      <c r="C52" s="55" t="s">
        <v>93</v>
      </c>
      <c r="D52" s="54" t="s">
        <v>70</v>
      </c>
      <c r="E52" s="56">
        <v>62</v>
      </c>
      <c r="F52" s="57">
        <f>SUM(E52*3)</f>
        <v>186</v>
      </c>
      <c r="G52" s="10">
        <v>185.08</v>
      </c>
      <c r="H52" s="58">
        <f t="shared" si="7"/>
        <v>34.424880000000002</v>
      </c>
      <c r="I52" s="10">
        <f>F52/3*G52</f>
        <v>11474.960000000001</v>
      </c>
    </row>
    <row r="53" spans="1:9" hidden="1">
      <c r="A53" s="75">
        <v>27</v>
      </c>
      <c r="B53" s="63" t="s">
        <v>41</v>
      </c>
      <c r="C53" s="62" t="s">
        <v>93</v>
      </c>
      <c r="D53" s="63" t="s">
        <v>70</v>
      </c>
      <c r="E53" s="64">
        <v>124</v>
      </c>
      <c r="F53" s="65">
        <f>SUM(E53)*3</f>
        <v>372</v>
      </c>
      <c r="G53" s="76">
        <v>86.15</v>
      </c>
      <c r="H53" s="66">
        <f t="shared" si="7"/>
        <v>32.047800000000002</v>
      </c>
      <c r="I53" s="10">
        <f>F53/3*G53</f>
        <v>10682.6</v>
      </c>
    </row>
    <row r="54" spans="1:9">
      <c r="A54" s="204" t="s">
        <v>127</v>
      </c>
      <c r="B54" s="205"/>
      <c r="C54" s="205"/>
      <c r="D54" s="205"/>
      <c r="E54" s="205"/>
      <c r="F54" s="205"/>
      <c r="G54" s="205"/>
      <c r="H54" s="205"/>
      <c r="I54" s="206"/>
    </row>
    <row r="55" spans="1:9" hidden="1">
      <c r="A55" s="77"/>
      <c r="B55" s="78" t="s">
        <v>43</v>
      </c>
      <c r="C55" s="79"/>
      <c r="D55" s="80"/>
      <c r="E55" s="81"/>
      <c r="F55" s="82"/>
      <c r="G55" s="82"/>
      <c r="H55" s="83"/>
      <c r="I55" s="84"/>
    </row>
    <row r="56" spans="1:9" ht="30" hidden="1">
      <c r="A56" s="21">
        <v>13</v>
      </c>
      <c r="B56" s="54" t="s">
        <v>101</v>
      </c>
      <c r="C56" s="55" t="s">
        <v>83</v>
      </c>
      <c r="D56" s="54" t="s">
        <v>116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9">F56/6*G56</f>
        <v>2575.9934199999998</v>
      </c>
    </row>
    <row r="57" spans="1:9" ht="45" hidden="1">
      <c r="A57" s="21">
        <v>13</v>
      </c>
      <c r="B57" s="54" t="s">
        <v>77</v>
      </c>
      <c r="C57" s="55" t="s">
        <v>83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10">SUM(F57*G57/1000)</f>
        <v>2.4229841999999997</v>
      </c>
      <c r="I57" s="10">
        <f t="shared" si="9"/>
        <v>403.83069999999998</v>
      </c>
    </row>
    <row r="58" spans="1:9" hidden="1">
      <c r="A58" s="21">
        <v>8</v>
      </c>
      <c r="B58" s="63" t="s">
        <v>121</v>
      </c>
      <c r="C58" s="62" t="s">
        <v>122</v>
      </c>
      <c r="D58" s="125" t="s">
        <v>180</v>
      </c>
      <c r="E58" s="85"/>
      <c r="F58" s="65">
        <v>3</v>
      </c>
      <c r="G58" s="57">
        <v>1582.05</v>
      </c>
      <c r="H58" s="58">
        <f t="shared" si="10"/>
        <v>4.7461499999999992</v>
      </c>
      <c r="I58" s="10">
        <f>G58*1</f>
        <v>1582.05</v>
      </c>
    </row>
    <row r="59" spans="1:9">
      <c r="A59" s="21"/>
      <c r="B59" s="74" t="s">
        <v>44</v>
      </c>
      <c r="C59" s="62"/>
      <c r="D59" s="63"/>
      <c r="E59" s="64"/>
      <c r="F59" s="65"/>
      <c r="G59" s="49"/>
      <c r="H59" s="66"/>
      <c r="I59" s="84"/>
    </row>
    <row r="60" spans="1:9" hidden="1">
      <c r="A60" s="21"/>
      <c r="B60" s="63" t="s">
        <v>45</v>
      </c>
      <c r="C60" s="62" t="s">
        <v>83</v>
      </c>
      <c r="D60" s="63" t="s">
        <v>54</v>
      </c>
      <c r="E60" s="64">
        <v>450</v>
      </c>
      <c r="F60" s="57">
        <f>SUM(E60/100)</f>
        <v>4.5</v>
      </c>
      <c r="G60" s="10">
        <v>1040.8399999999999</v>
      </c>
      <c r="H60" s="67">
        <v>7.6349999999999998</v>
      </c>
      <c r="I60" s="10">
        <v>0</v>
      </c>
    </row>
    <row r="61" spans="1:9">
      <c r="A61" s="21">
        <v>12</v>
      </c>
      <c r="B61" s="149" t="s">
        <v>188</v>
      </c>
      <c r="C61" s="150" t="s">
        <v>150</v>
      </c>
      <c r="D61" s="149" t="s">
        <v>177</v>
      </c>
      <c r="E61" s="170">
        <v>48</v>
      </c>
      <c r="F61" s="171">
        <v>576</v>
      </c>
      <c r="G61" s="26">
        <v>1.4</v>
      </c>
      <c r="H61" s="67"/>
      <c r="I61" s="10">
        <f>G61*F61/12</f>
        <v>67.2</v>
      </c>
    </row>
    <row r="62" spans="1:9" hidden="1">
      <c r="A62" s="21"/>
      <c r="B62" s="74" t="s">
        <v>46</v>
      </c>
      <c r="C62" s="62"/>
      <c r="D62" s="63"/>
      <c r="E62" s="64"/>
      <c r="F62" s="65"/>
      <c r="G62" s="68"/>
      <c r="H62" s="66" t="s">
        <v>130</v>
      </c>
      <c r="I62" s="10"/>
    </row>
    <row r="63" spans="1:9" ht="13.5" hidden="1" customHeight="1">
      <c r="A63" s="21">
        <v>8</v>
      </c>
      <c r="B63" s="11" t="s">
        <v>47</v>
      </c>
      <c r="C63" s="13" t="s">
        <v>93</v>
      </c>
      <c r="D63" s="11" t="s">
        <v>177</v>
      </c>
      <c r="E63" s="15">
        <v>5</v>
      </c>
      <c r="F63" s="57">
        <f>E63</f>
        <v>5</v>
      </c>
      <c r="G63" s="10">
        <v>291.68</v>
      </c>
      <c r="H63" s="53">
        <f t="shared" ref="H63:H70" si="11">SUM(F63*G63/1000)</f>
        <v>1.4584000000000001</v>
      </c>
      <c r="I63" s="10">
        <f>G63</f>
        <v>291.68</v>
      </c>
    </row>
    <row r="64" spans="1:9" ht="17.25" hidden="1" customHeight="1">
      <c r="A64" s="21"/>
      <c r="B64" s="11" t="s">
        <v>48</v>
      </c>
      <c r="C64" s="13" t="s">
        <v>93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1"/>
        <v>0.20002</v>
      </c>
      <c r="I64" s="10">
        <v>0</v>
      </c>
    </row>
    <row r="65" spans="1:9" hidden="1">
      <c r="A65" s="21">
        <v>9</v>
      </c>
      <c r="B65" s="11" t="s">
        <v>49</v>
      </c>
      <c r="C65" s="13" t="s">
        <v>94</v>
      </c>
      <c r="D65" s="11"/>
      <c r="E65" s="56">
        <v>13313</v>
      </c>
      <c r="F65" s="10">
        <f>SUM(E65/100)</f>
        <v>133.13</v>
      </c>
      <c r="G65" s="10">
        <v>278.24</v>
      </c>
      <c r="H65" s="53">
        <f t="shared" si="11"/>
        <v>37.042091200000002</v>
      </c>
      <c r="I65" s="10">
        <f>133.13*G65</f>
        <v>37042.091200000003</v>
      </c>
    </row>
    <row r="66" spans="1:9" hidden="1">
      <c r="A66" s="21">
        <v>10</v>
      </c>
      <c r="B66" s="11" t="s">
        <v>50</v>
      </c>
      <c r="C66" s="13" t="s">
        <v>95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11"/>
        <v>2.88466084</v>
      </c>
      <c r="I66" s="10">
        <f>13.313*G66</f>
        <v>2884.66084</v>
      </c>
    </row>
    <row r="67" spans="1:9" hidden="1">
      <c r="A67" s="21">
        <v>11</v>
      </c>
      <c r="B67" s="11" t="s">
        <v>51</v>
      </c>
      <c r="C67" s="13" t="s">
        <v>75</v>
      </c>
      <c r="D67" s="11"/>
      <c r="E67" s="56">
        <v>2184</v>
      </c>
      <c r="F67" s="10">
        <f>SUM(E67/100)</f>
        <v>21.84</v>
      </c>
      <c r="G67" s="10">
        <v>2720.94</v>
      </c>
      <c r="H67" s="53">
        <f t="shared" si="11"/>
        <v>59.425329599999998</v>
      </c>
      <c r="I67" s="10">
        <f>21.84*G67</f>
        <v>59425.329599999997</v>
      </c>
    </row>
    <row r="68" spans="1:9" hidden="1">
      <c r="A68" s="21">
        <v>12</v>
      </c>
      <c r="B68" s="69" t="s">
        <v>96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11"/>
        <v>0.51984200000000003</v>
      </c>
      <c r="I68" s="10">
        <f>12.2*G68</f>
        <v>519.84199999999998</v>
      </c>
    </row>
    <row r="69" spans="1:9" hidden="1">
      <c r="A69" s="21">
        <v>13</v>
      </c>
      <c r="B69" s="69" t="s">
        <v>131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11"/>
        <v>0.56168799999999997</v>
      </c>
      <c r="I69" s="10">
        <f>12.2*G69</f>
        <v>561.68799999999999</v>
      </c>
    </row>
    <row r="70" spans="1:9" hidden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1"/>
        <v>0.19625999999999999</v>
      </c>
      <c r="I70" s="10">
        <v>0</v>
      </c>
    </row>
    <row r="71" spans="1:9">
      <c r="A71" s="21"/>
      <c r="B71" s="86" t="s">
        <v>142</v>
      </c>
      <c r="C71" s="40"/>
      <c r="D71" s="11"/>
      <c r="E71" s="15"/>
      <c r="F71" s="49"/>
      <c r="G71" s="10"/>
      <c r="H71" s="53"/>
      <c r="I71" s="10"/>
    </row>
    <row r="72" spans="1:9">
      <c r="A72" s="21">
        <v>13</v>
      </c>
      <c r="B72" s="152" t="s">
        <v>143</v>
      </c>
      <c r="C72" s="28" t="s">
        <v>144</v>
      </c>
      <c r="D72" s="152"/>
      <c r="E72" s="14">
        <v>3227.7</v>
      </c>
      <c r="F72" s="26">
        <f>SUM(E72*12)</f>
        <v>38732.399999999994</v>
      </c>
      <c r="G72" s="26">
        <v>2.6</v>
      </c>
      <c r="H72" s="53">
        <f t="shared" ref="H72" si="12">SUM(F72*G72/1000)</f>
        <v>100.70423999999998</v>
      </c>
      <c r="I72" s="10">
        <f>F72/12*G72</f>
        <v>8392.0199999999986</v>
      </c>
    </row>
    <row r="73" spans="1:9">
      <c r="A73" s="21"/>
      <c r="B73" s="136" t="s">
        <v>71</v>
      </c>
      <c r="C73" s="13"/>
      <c r="D73" s="11"/>
      <c r="E73" s="15"/>
      <c r="F73" s="10"/>
      <c r="G73" s="10"/>
      <c r="H73" s="53" t="s">
        <v>130</v>
      </c>
      <c r="I73" s="10"/>
    </row>
    <row r="74" spans="1:9" hidden="1">
      <c r="A74" s="21"/>
      <c r="B74" s="11" t="s">
        <v>117</v>
      </c>
      <c r="C74" s="13" t="s">
        <v>93</v>
      </c>
      <c r="D74" s="11" t="s">
        <v>66</v>
      </c>
      <c r="E74" s="15">
        <v>1</v>
      </c>
      <c r="F74" s="10">
        <v>1</v>
      </c>
      <c r="G74" s="10">
        <v>1029.1199999999999</v>
      </c>
      <c r="H74" s="53">
        <f t="shared" ref="H74:H77" si="13">SUM(F74*G74/1000)</f>
        <v>1.0291199999999998</v>
      </c>
      <c r="I74" s="10">
        <v>0</v>
      </c>
    </row>
    <row r="75" spans="1:9" hidden="1">
      <c r="A75" s="21"/>
      <c r="B75" s="11" t="s">
        <v>118</v>
      </c>
      <c r="C75" s="13" t="s">
        <v>119</v>
      </c>
      <c r="D75" s="11"/>
      <c r="E75" s="15">
        <v>1</v>
      </c>
      <c r="F75" s="10">
        <f>E75</f>
        <v>1</v>
      </c>
      <c r="G75" s="10">
        <v>735</v>
      </c>
      <c r="H75" s="53">
        <f t="shared" si="13"/>
        <v>0.73499999999999999</v>
      </c>
      <c r="I75" s="10">
        <v>0</v>
      </c>
    </row>
    <row r="76" spans="1:9" hidden="1">
      <c r="A76" s="21"/>
      <c r="B76" s="11" t="s">
        <v>72</v>
      </c>
      <c r="C76" s="13" t="s">
        <v>73</v>
      </c>
      <c r="D76" s="11" t="s">
        <v>66</v>
      </c>
      <c r="E76" s="15">
        <v>3</v>
      </c>
      <c r="F76" s="10">
        <v>0.2</v>
      </c>
      <c r="G76" s="10">
        <v>657.87</v>
      </c>
      <c r="H76" s="53">
        <f t="shared" si="13"/>
        <v>0.13157400000000002</v>
      </c>
      <c r="I76" s="10">
        <v>0</v>
      </c>
    </row>
    <row r="77" spans="1:9" hidden="1">
      <c r="A77" s="21"/>
      <c r="B77" s="11" t="s">
        <v>120</v>
      </c>
      <c r="C77" s="13" t="s">
        <v>93</v>
      </c>
      <c r="D77" s="11" t="s">
        <v>66</v>
      </c>
      <c r="E77" s="15">
        <v>1</v>
      </c>
      <c r="F77" s="57">
        <f>SUM(E77)</f>
        <v>1</v>
      </c>
      <c r="G77" s="10">
        <v>1118.72</v>
      </c>
      <c r="H77" s="53">
        <f t="shared" si="13"/>
        <v>1.1187199999999999</v>
      </c>
      <c r="I77" s="10">
        <v>0</v>
      </c>
    </row>
    <row r="78" spans="1:9" hidden="1">
      <c r="A78" s="21"/>
      <c r="B78" s="39" t="s">
        <v>140</v>
      </c>
      <c r="C78" s="40" t="s">
        <v>93</v>
      </c>
      <c r="D78" s="11" t="s">
        <v>66</v>
      </c>
      <c r="E78" s="15">
        <v>1</v>
      </c>
      <c r="F78" s="49">
        <v>1</v>
      </c>
      <c r="G78" s="10">
        <v>1605.83</v>
      </c>
      <c r="H78" s="53">
        <f>SUM(F78*G78/1000)</f>
        <v>1.6058299999999999</v>
      </c>
      <c r="I78" s="10">
        <v>0</v>
      </c>
    </row>
    <row r="79" spans="1:9" ht="30">
      <c r="A79" s="21">
        <v>14</v>
      </c>
      <c r="B79" s="91" t="s">
        <v>141</v>
      </c>
      <c r="C79" s="92" t="s">
        <v>93</v>
      </c>
      <c r="D79" s="152" t="s">
        <v>173</v>
      </c>
      <c r="E79" s="14">
        <v>2</v>
      </c>
      <c r="F79" s="162">
        <f>E79*12</f>
        <v>24</v>
      </c>
      <c r="G79" s="26">
        <v>425</v>
      </c>
      <c r="H79" s="53">
        <f t="shared" ref="H79" si="14">SUM(F79*G79/1000)</f>
        <v>10.199999999999999</v>
      </c>
      <c r="I79" s="10">
        <f>G79*2</f>
        <v>850</v>
      </c>
    </row>
    <row r="80" spans="1:9" hidden="1">
      <c r="A80" s="21"/>
      <c r="B80" s="71" t="s">
        <v>74</v>
      </c>
      <c r="C80" s="13"/>
      <c r="D80" s="11"/>
      <c r="E80" s="15"/>
      <c r="F80" s="10"/>
      <c r="G80" s="10" t="s">
        <v>130</v>
      </c>
      <c r="H80" s="53" t="s">
        <v>130</v>
      </c>
      <c r="I80" s="10"/>
    </row>
    <row r="81" spans="1:9" hidden="1">
      <c r="A81" s="21"/>
      <c r="B81" s="35" t="s">
        <v>99</v>
      </c>
      <c r="C81" s="13" t="s">
        <v>75</v>
      </c>
      <c r="D81" s="11"/>
      <c r="E81" s="15"/>
      <c r="F81" s="10">
        <v>0.1</v>
      </c>
      <c r="G81" s="10">
        <v>2949.85</v>
      </c>
      <c r="H81" s="53">
        <f t="shared" ref="H81" si="15">SUM(F81*G81/1000)</f>
        <v>0.294985</v>
      </c>
      <c r="I81" s="10">
        <v>0</v>
      </c>
    </row>
    <row r="82" spans="1:9" ht="33" hidden="1" customHeight="1">
      <c r="A82" s="21"/>
      <c r="B82" s="23" t="s">
        <v>89</v>
      </c>
      <c r="C82" s="71"/>
      <c r="D82" s="23"/>
      <c r="E82" s="24"/>
      <c r="F82" s="59"/>
      <c r="G82" s="59"/>
      <c r="H82" s="72">
        <f>SUM(H56:H81)</f>
        <v>248.36785536000002</v>
      </c>
      <c r="I82" s="59"/>
    </row>
    <row r="83" spans="1:9" hidden="1">
      <c r="A83" s="21">
        <v>16</v>
      </c>
      <c r="B83" s="11" t="s">
        <v>145</v>
      </c>
      <c r="C83" s="13"/>
      <c r="D83" s="11"/>
      <c r="E83" s="11"/>
      <c r="F83" s="10">
        <v>1</v>
      </c>
      <c r="G83" s="10">
        <v>2483</v>
      </c>
      <c r="H83" s="53">
        <f>G83*F83/1000</f>
        <v>2.4830000000000001</v>
      </c>
      <c r="I83" s="10">
        <f>G83*1</f>
        <v>2483</v>
      </c>
    </row>
    <row r="84" spans="1:9" hidden="1">
      <c r="A84" s="21"/>
      <c r="B84" s="11" t="s">
        <v>146</v>
      </c>
      <c r="C84" s="13"/>
      <c r="D84" s="11"/>
      <c r="E84" s="11"/>
      <c r="F84" s="10">
        <v>62</v>
      </c>
      <c r="G84" s="10">
        <v>700</v>
      </c>
      <c r="H84" s="53">
        <f t="shared" ref="H84" si="16">G84*F84/1000</f>
        <v>43.4</v>
      </c>
      <c r="I84" s="10">
        <v>0</v>
      </c>
    </row>
    <row r="85" spans="1:9">
      <c r="A85" s="201" t="s">
        <v>128</v>
      </c>
      <c r="B85" s="202"/>
      <c r="C85" s="202"/>
      <c r="D85" s="202"/>
      <c r="E85" s="202"/>
      <c r="F85" s="202"/>
      <c r="G85" s="202"/>
      <c r="H85" s="202"/>
      <c r="I85" s="203"/>
    </row>
    <row r="86" spans="1:9" ht="16.5" customHeight="1">
      <c r="A86" s="21">
        <v>15</v>
      </c>
      <c r="B86" s="159" t="s">
        <v>97</v>
      </c>
      <c r="C86" s="153" t="s">
        <v>55</v>
      </c>
      <c r="D86" s="38"/>
      <c r="E86" s="26">
        <v>3227.7</v>
      </c>
      <c r="F86" s="26">
        <f>SUM(E86*12)</f>
        <v>38732.399999999994</v>
      </c>
      <c r="G86" s="26">
        <v>3.5</v>
      </c>
      <c r="H86" s="53">
        <f t="shared" ref="H86" si="17">G86*F86/1000</f>
        <v>135.56339999999997</v>
      </c>
      <c r="I86" s="10">
        <f>F86/12*G86</f>
        <v>11296.949999999997</v>
      </c>
    </row>
    <row r="87" spans="1:9" ht="29.25" customHeight="1">
      <c r="A87" s="21">
        <v>16</v>
      </c>
      <c r="B87" s="152" t="s">
        <v>186</v>
      </c>
      <c r="C87" s="153" t="s">
        <v>150</v>
      </c>
      <c r="D87" s="90"/>
      <c r="E87" s="166">
        <f>E86</f>
        <v>3227.7</v>
      </c>
      <c r="F87" s="26">
        <f>E87*12</f>
        <v>38732.399999999994</v>
      </c>
      <c r="G87" s="26">
        <v>3.2</v>
      </c>
      <c r="H87" s="53">
        <f>F87*G87/1000</f>
        <v>123.94367999999999</v>
      </c>
      <c r="I87" s="10">
        <f>F87/12*G87</f>
        <v>10328.64</v>
      </c>
    </row>
    <row r="88" spans="1:9">
      <c r="A88" s="21"/>
      <c r="B88" s="27" t="s">
        <v>78</v>
      </c>
      <c r="C88" s="71"/>
      <c r="D88" s="70"/>
      <c r="E88" s="59"/>
      <c r="F88" s="59"/>
      <c r="G88" s="59"/>
      <c r="H88" s="72">
        <f>SUM(H87)</f>
        <v>123.94367999999999</v>
      </c>
      <c r="I88" s="59">
        <f>I87+I86+I79+I72+I61+I30+I29+I25+I24+I23+I22+I21+I20+I18+I17+I16</f>
        <v>41470.572588333329</v>
      </c>
    </row>
    <row r="89" spans="1:9">
      <c r="A89" s="207" t="s">
        <v>60</v>
      </c>
      <c r="B89" s="208"/>
      <c r="C89" s="208"/>
      <c r="D89" s="208"/>
      <c r="E89" s="208"/>
      <c r="F89" s="208"/>
      <c r="G89" s="208"/>
      <c r="H89" s="208"/>
      <c r="I89" s="209"/>
    </row>
    <row r="90" spans="1:9" ht="32.25" customHeight="1">
      <c r="A90" s="21">
        <v>17</v>
      </c>
      <c r="B90" s="91" t="s">
        <v>168</v>
      </c>
      <c r="C90" s="92" t="s">
        <v>38</v>
      </c>
      <c r="D90" s="90" t="s">
        <v>177</v>
      </c>
      <c r="E90" s="26"/>
      <c r="F90" s="26">
        <v>0.03</v>
      </c>
      <c r="G90" s="26">
        <v>4233.72</v>
      </c>
      <c r="H90" s="10"/>
      <c r="I90" s="10">
        <v>0</v>
      </c>
    </row>
    <row r="91" spans="1:9" ht="15.75" customHeight="1">
      <c r="A91" s="21">
        <v>18</v>
      </c>
      <c r="B91" s="91" t="s">
        <v>181</v>
      </c>
      <c r="C91" s="92" t="s">
        <v>40</v>
      </c>
      <c r="D91" s="90" t="s">
        <v>177</v>
      </c>
      <c r="E91" s="26"/>
      <c r="F91" s="26">
        <v>0.04</v>
      </c>
      <c r="G91" s="26">
        <v>28224.75</v>
      </c>
      <c r="H91" s="10"/>
      <c r="I91" s="10">
        <v>0</v>
      </c>
    </row>
    <row r="92" spans="1:9" ht="35.25" customHeight="1">
      <c r="A92" s="21">
        <v>19</v>
      </c>
      <c r="B92" s="91" t="s">
        <v>164</v>
      </c>
      <c r="C92" s="92" t="s">
        <v>165</v>
      </c>
      <c r="D92" s="90" t="s">
        <v>256</v>
      </c>
      <c r="E92" s="26"/>
      <c r="F92" s="26">
        <v>1</v>
      </c>
      <c r="G92" s="26">
        <v>64.040000000000006</v>
      </c>
      <c r="H92" s="10"/>
      <c r="I92" s="10">
        <f>G92*1</f>
        <v>64.040000000000006</v>
      </c>
    </row>
    <row r="93" spans="1:9" ht="18.75" customHeight="1">
      <c r="A93" s="21"/>
      <c r="B93" s="33" t="s">
        <v>52</v>
      </c>
      <c r="C93" s="29"/>
      <c r="D93" s="36"/>
      <c r="E93" s="29">
        <v>1</v>
      </c>
      <c r="F93" s="29"/>
      <c r="G93" s="29"/>
      <c r="H93" s="29"/>
      <c r="I93" s="24">
        <f>SUM(I90:I92)</f>
        <v>64.040000000000006</v>
      </c>
    </row>
    <row r="94" spans="1:9">
      <c r="A94" s="21"/>
      <c r="B94" s="35" t="s">
        <v>76</v>
      </c>
      <c r="C94" s="12"/>
      <c r="D94" s="12"/>
      <c r="E94" s="30"/>
      <c r="F94" s="30"/>
      <c r="G94" s="31"/>
      <c r="H94" s="31"/>
      <c r="I94" s="14">
        <v>0</v>
      </c>
    </row>
    <row r="95" spans="1:9">
      <c r="A95" s="37"/>
      <c r="B95" s="34" t="s">
        <v>147</v>
      </c>
      <c r="C95" s="25"/>
      <c r="D95" s="25"/>
      <c r="E95" s="25"/>
      <c r="F95" s="25"/>
      <c r="G95" s="25"/>
      <c r="H95" s="25"/>
      <c r="I95" s="32">
        <f>I88+I93</f>
        <v>41534.61258833333</v>
      </c>
    </row>
    <row r="96" spans="1:9" ht="15.75">
      <c r="A96" s="210" t="s">
        <v>257</v>
      </c>
      <c r="B96" s="210"/>
      <c r="C96" s="210"/>
      <c r="D96" s="210"/>
      <c r="E96" s="210"/>
      <c r="F96" s="210"/>
      <c r="G96" s="210"/>
      <c r="H96" s="210"/>
      <c r="I96" s="210"/>
    </row>
    <row r="97" spans="1:9" ht="15.75">
      <c r="A97" s="43"/>
      <c r="B97" s="211" t="s">
        <v>258</v>
      </c>
      <c r="C97" s="211"/>
      <c r="D97" s="211"/>
      <c r="E97" s="211"/>
      <c r="F97" s="211"/>
      <c r="G97" s="211"/>
      <c r="H97" s="52"/>
      <c r="I97" s="2"/>
    </row>
    <row r="98" spans="1:9">
      <c r="A98" s="134"/>
      <c r="B98" s="195" t="s">
        <v>6</v>
      </c>
      <c r="C98" s="195"/>
      <c r="D98" s="195"/>
      <c r="E98" s="195"/>
      <c r="F98" s="195"/>
      <c r="G98" s="195"/>
      <c r="H98" s="16"/>
      <c r="I98" s="4"/>
    </row>
    <row r="99" spans="1:9">
      <c r="A99" s="7"/>
      <c r="B99" s="7"/>
      <c r="C99" s="7"/>
      <c r="D99" s="7"/>
      <c r="E99" s="7"/>
      <c r="F99" s="7"/>
      <c r="G99" s="7"/>
      <c r="H99" s="7"/>
      <c r="I99" s="7"/>
    </row>
    <row r="100" spans="1:9" ht="15.75">
      <c r="A100" s="212" t="s">
        <v>7</v>
      </c>
      <c r="B100" s="212"/>
      <c r="C100" s="212"/>
      <c r="D100" s="212"/>
      <c r="E100" s="212"/>
      <c r="F100" s="212"/>
      <c r="G100" s="212"/>
      <c r="H100" s="212"/>
      <c r="I100" s="212"/>
    </row>
    <row r="101" spans="1:9" ht="15.75">
      <c r="A101" s="212" t="s">
        <v>8</v>
      </c>
      <c r="B101" s="212"/>
      <c r="C101" s="212"/>
      <c r="D101" s="212"/>
      <c r="E101" s="212"/>
      <c r="F101" s="212"/>
      <c r="G101" s="212"/>
      <c r="H101" s="212"/>
      <c r="I101" s="212"/>
    </row>
    <row r="102" spans="1:9" ht="15.75">
      <c r="A102" s="199" t="s">
        <v>61</v>
      </c>
      <c r="B102" s="199"/>
      <c r="C102" s="199"/>
      <c r="D102" s="199"/>
      <c r="E102" s="199"/>
      <c r="F102" s="199"/>
      <c r="G102" s="199"/>
      <c r="H102" s="199"/>
      <c r="I102" s="199"/>
    </row>
    <row r="103" spans="1:9" ht="15.75">
      <c r="A103" s="8"/>
    </row>
    <row r="104" spans="1:9" ht="15.75">
      <c r="A104" s="193" t="s">
        <v>9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15.75">
      <c r="A105" s="3"/>
    </row>
    <row r="106" spans="1:9" ht="15.75">
      <c r="B106" s="135" t="s">
        <v>10</v>
      </c>
      <c r="C106" s="194" t="s">
        <v>190</v>
      </c>
      <c r="D106" s="194"/>
      <c r="E106" s="194"/>
      <c r="F106" s="50"/>
      <c r="I106" s="133"/>
    </row>
    <row r="107" spans="1:9">
      <c r="A107" s="134"/>
      <c r="C107" s="195" t="s">
        <v>11</v>
      </c>
      <c r="D107" s="195"/>
      <c r="E107" s="195"/>
      <c r="F107" s="16"/>
      <c r="I107" s="132" t="s">
        <v>12</v>
      </c>
    </row>
    <row r="108" spans="1:9" ht="15.75">
      <c r="A108" s="17"/>
      <c r="C108" s="9"/>
      <c r="D108" s="9"/>
      <c r="G108" s="9"/>
      <c r="H108" s="9"/>
    </row>
    <row r="109" spans="1:9" ht="15.75">
      <c r="B109" s="135" t="s">
        <v>13</v>
      </c>
      <c r="C109" s="196"/>
      <c r="D109" s="196"/>
      <c r="E109" s="196"/>
      <c r="F109" s="51"/>
      <c r="I109" s="133"/>
    </row>
    <row r="110" spans="1:9">
      <c r="A110" s="134"/>
      <c r="C110" s="197" t="s">
        <v>11</v>
      </c>
      <c r="D110" s="197"/>
      <c r="E110" s="197"/>
      <c r="F110" s="134"/>
      <c r="I110" s="132" t="s">
        <v>12</v>
      </c>
    </row>
    <row r="111" spans="1:9" ht="15.75">
      <c r="A111" s="3" t="s">
        <v>14</v>
      </c>
    </row>
    <row r="112" spans="1:9">
      <c r="A112" s="198" t="s">
        <v>15</v>
      </c>
      <c r="B112" s="198"/>
      <c r="C112" s="198"/>
      <c r="D112" s="198"/>
      <c r="E112" s="198"/>
      <c r="F112" s="198"/>
      <c r="G112" s="198"/>
      <c r="H112" s="198"/>
      <c r="I112" s="198"/>
    </row>
    <row r="113" spans="1:9" ht="44.25" customHeight="1">
      <c r="A113" s="192" t="s">
        <v>16</v>
      </c>
      <c r="B113" s="192"/>
      <c r="C113" s="192"/>
      <c r="D113" s="192"/>
      <c r="E113" s="192"/>
      <c r="F113" s="192"/>
      <c r="G113" s="192"/>
      <c r="H113" s="192"/>
      <c r="I113" s="192"/>
    </row>
    <row r="114" spans="1:9" ht="33" customHeight="1">
      <c r="A114" s="192" t="s">
        <v>17</v>
      </c>
      <c r="B114" s="192"/>
      <c r="C114" s="192"/>
      <c r="D114" s="192"/>
      <c r="E114" s="192"/>
      <c r="F114" s="192"/>
      <c r="G114" s="192"/>
      <c r="H114" s="192"/>
      <c r="I114" s="192"/>
    </row>
    <row r="115" spans="1:9" ht="29.25" customHeight="1">
      <c r="A115" s="192" t="s">
        <v>21</v>
      </c>
      <c r="B115" s="192"/>
      <c r="C115" s="192"/>
      <c r="D115" s="192"/>
      <c r="E115" s="192"/>
      <c r="F115" s="192"/>
      <c r="G115" s="192"/>
      <c r="H115" s="192"/>
      <c r="I115" s="192"/>
    </row>
    <row r="116" spans="1:9" ht="15.75">
      <c r="A116" s="192" t="s">
        <v>20</v>
      </c>
      <c r="B116" s="192"/>
      <c r="C116" s="192"/>
      <c r="D116" s="192"/>
      <c r="E116" s="192"/>
      <c r="F116" s="192"/>
      <c r="G116" s="192"/>
      <c r="H116" s="192"/>
      <c r="I116" s="192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7:I27"/>
    <mergeCell ref="A42:I42"/>
    <mergeCell ref="A54:I54"/>
    <mergeCell ref="A85:I85"/>
    <mergeCell ref="A89:I89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" top="0.74803149606299213" bottom="0.74803149606299213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7"/>
  <sheetViews>
    <sheetView view="pageBreakPreview" topLeftCell="A61" zoomScale="60" zoomScaleNormal="100" workbookViewId="0">
      <selection activeCell="A124" sqref="A124:I124"/>
    </sheetView>
  </sheetViews>
  <sheetFormatPr defaultRowHeight="15"/>
  <cols>
    <col min="1" max="1" width="11" customWidth="1"/>
    <col min="2" max="2" width="53.85546875" customWidth="1"/>
    <col min="3" max="3" width="17.5703125" customWidth="1"/>
    <col min="4" max="4" width="18.5703125" customWidth="1"/>
    <col min="5" max="6" width="0" hidden="1" customWidth="1"/>
    <col min="7" max="7" width="14.42578125" customWidth="1"/>
    <col min="8" max="8" width="0" hidden="1" customWidth="1"/>
    <col min="9" max="9" width="18.57031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162</v>
      </c>
      <c r="B3" s="214"/>
      <c r="C3" s="214"/>
      <c r="D3" s="214"/>
      <c r="E3" s="214"/>
      <c r="F3" s="214"/>
      <c r="G3" s="214"/>
      <c r="H3" s="214"/>
      <c r="I3" s="214"/>
    </row>
    <row r="4" spans="1:9" ht="32.2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259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43"/>
      <c r="C6" s="143"/>
      <c r="D6" s="143"/>
      <c r="E6" s="143"/>
      <c r="F6" s="143"/>
      <c r="G6" s="143"/>
      <c r="H6" s="143"/>
      <c r="I6" s="22">
        <v>44439</v>
      </c>
    </row>
    <row r="7" spans="1:9" ht="15.75">
      <c r="B7" s="141"/>
      <c r="C7" s="141"/>
      <c r="D7" s="141"/>
      <c r="E7" s="2"/>
      <c r="F7" s="2"/>
      <c r="G7" s="2"/>
      <c r="H7" s="2"/>
    </row>
    <row r="8" spans="1:9" ht="84" customHeight="1">
      <c r="A8" s="217" t="s">
        <v>240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59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86.2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8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24" si="0">SUM(F16*G16/1000)</f>
        <v>17.68489632</v>
      </c>
      <c r="I16" s="10">
        <f>F16/12*G16</f>
        <v>1473.74136</v>
      </c>
    </row>
    <row r="17" spans="1:9" ht="17.2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6.5" customHeight="1">
      <c r="A18" s="21">
        <v>3</v>
      </c>
      <c r="B18" s="159" t="s">
        <v>105</v>
      </c>
      <c r="C18" s="160" t="s">
        <v>83</v>
      </c>
      <c r="D18" s="159" t="s">
        <v>172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F18/18*2*G18</f>
        <v>3261.3657600000001</v>
      </c>
    </row>
    <row r="19" spans="1:9" ht="12" hidden="1" customHeight="1">
      <c r="A19" s="21">
        <v>4</v>
      </c>
      <c r="B19" s="159" t="s">
        <v>106</v>
      </c>
      <c r="C19" s="160" t="s">
        <v>107</v>
      </c>
      <c r="D19" s="159" t="s">
        <v>252</v>
      </c>
      <c r="E19" s="166">
        <v>40</v>
      </c>
      <c r="F19" s="162">
        <f>SUM(E19/10)</f>
        <v>4</v>
      </c>
      <c r="G19" s="162">
        <v>253.7</v>
      </c>
      <c r="H19" s="58">
        <f t="shared" si="0"/>
        <v>1.0147999999999999</v>
      </c>
      <c r="I19" s="10">
        <f>4*G19</f>
        <v>1014.8</v>
      </c>
    </row>
    <row r="20" spans="1:9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0"/>
        <v>0.40929839999999995</v>
      </c>
      <c r="I20" s="10">
        <f>G20*F20/12</f>
        <v>34.108199999999997</v>
      </c>
    </row>
    <row r="21" spans="1:9" ht="1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0"/>
        <v>0.24397741199999998</v>
      </c>
      <c r="I21" s="10">
        <f>F21/12*G21</f>
        <v>20.331451000000001</v>
      </c>
    </row>
    <row r="22" spans="1:9" ht="21.75" hidden="1" customHeight="1">
      <c r="A22" s="21">
        <v>7</v>
      </c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0"/>
        <v>2.8662815999999998</v>
      </c>
      <c r="I22" s="10">
        <f>G22*F22/2</f>
        <v>1433.1407999999999</v>
      </c>
    </row>
    <row r="23" spans="1:9" ht="15.75" hidden="1" customHeight="1">
      <c r="A23" s="21">
        <v>8</v>
      </c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0"/>
        <v>5.1027984000000005E-2</v>
      </c>
      <c r="I23" s="10">
        <f>G23*F23/2</f>
        <v>25.513992000000002</v>
      </c>
    </row>
    <row r="24" spans="1:9" ht="18.75" customHeight="1">
      <c r="A24" s="21">
        <v>6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0"/>
        <v>1.045836</v>
      </c>
      <c r="I24" s="10">
        <f>0.15*G24</f>
        <v>87.152999999999992</v>
      </c>
    </row>
    <row r="25" spans="1:9" ht="18.75" hidden="1" customHeight="1">
      <c r="A25" s="21">
        <v>10</v>
      </c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ref="H25" si="1">SUM(F25*G25/1000)</f>
        <v>9.9076295999999994E-2</v>
      </c>
      <c r="I25" s="10">
        <f>G25*F25/2</f>
        <v>49.538148</v>
      </c>
    </row>
    <row r="26" spans="1:9" ht="15" hidden="1" customHeight="1">
      <c r="A26" s="21">
        <v>4</v>
      </c>
      <c r="B26" s="159" t="s">
        <v>169</v>
      </c>
      <c r="C26" s="160" t="s">
        <v>150</v>
      </c>
      <c r="D26" s="159" t="s">
        <v>174</v>
      </c>
      <c r="E26" s="161">
        <v>3.82</v>
      </c>
      <c r="F26" s="162">
        <f>E26*258</f>
        <v>985.56</v>
      </c>
      <c r="G26" s="162">
        <v>10.39</v>
      </c>
      <c r="H26" s="58">
        <f t="shared" ref="H26" si="2">SUM(F26*G26/1000)</f>
        <v>10.2399684</v>
      </c>
      <c r="I26" s="10">
        <f>F26/12*G26</f>
        <v>853.33069999999998</v>
      </c>
    </row>
    <row r="27" spans="1:9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21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8" customHeight="1">
      <c r="A29" s="21">
        <v>7</v>
      </c>
      <c r="B29" s="159" t="s">
        <v>91</v>
      </c>
      <c r="C29" s="160" t="s">
        <v>85</v>
      </c>
      <c r="D29" s="159" t="s">
        <v>236</v>
      </c>
      <c r="E29" s="162">
        <v>124.74</v>
      </c>
      <c r="F29" s="162">
        <f>SUM(E29*24/1000)</f>
        <v>2.99376</v>
      </c>
      <c r="G29" s="162">
        <v>232.4</v>
      </c>
      <c r="H29" s="58">
        <f t="shared" ref="H29:H30" si="3">SUM(F29*G29/1000)</f>
        <v>0.69574982399999996</v>
      </c>
      <c r="I29" s="10">
        <f>F29/6*G29</f>
        <v>115.95830400000001</v>
      </c>
    </row>
    <row r="30" spans="1:9" ht="31.5" customHeight="1">
      <c r="A30" s="21">
        <v>8</v>
      </c>
      <c r="B30" s="159" t="s">
        <v>132</v>
      </c>
      <c r="C30" s="160" t="s">
        <v>85</v>
      </c>
      <c r="D30" s="159" t="s">
        <v>171</v>
      </c>
      <c r="E30" s="162">
        <v>31.4</v>
      </c>
      <c r="F30" s="162">
        <f>SUM(E30*52/1000)</f>
        <v>1.6328</v>
      </c>
      <c r="G30" s="162">
        <v>385.6</v>
      </c>
      <c r="H30" s="58">
        <f t="shared" si="3"/>
        <v>0.62960768000000011</v>
      </c>
      <c r="I30" s="10">
        <f t="shared" ref="I30" si="4">F30/6*G30</f>
        <v>104.93461333333335</v>
      </c>
    </row>
    <row r="31" spans="1:9" hidden="1">
      <c r="A31" s="21">
        <v>15</v>
      </c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5">SUM(F31*G31/1000)</f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5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5"/>
        <v>1.49031</v>
      </c>
      <c r="I33" s="10">
        <v>0</v>
      </c>
    </row>
    <row r="34" spans="1:9" hidden="1">
      <c r="A34" s="21"/>
      <c r="B34" s="73" t="s">
        <v>5</v>
      </c>
      <c r="C34" s="55"/>
      <c r="D34" s="54"/>
      <c r="E34" s="56"/>
      <c r="F34" s="57"/>
      <c r="G34" s="57"/>
      <c r="H34" s="58" t="s">
        <v>130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100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6">SUM(F36*G36/1000)</f>
        <v>2.1568597380000001</v>
      </c>
      <c r="I36" s="10">
        <f t="shared" ref="I36:I39" si="7">F36/6*G36</f>
        <v>359.47662300000002</v>
      </c>
    </row>
    <row r="37" spans="1:9" hidden="1">
      <c r="A37" s="21">
        <v>8</v>
      </c>
      <c r="B37" s="54" t="s">
        <v>68</v>
      </c>
      <c r="C37" s="55" t="s">
        <v>28</v>
      </c>
      <c r="D37" s="54" t="s">
        <v>84</v>
      </c>
      <c r="E37" s="57">
        <v>31.4</v>
      </c>
      <c r="F37" s="57">
        <f>SUM(E37*155/1000)</f>
        <v>4.867</v>
      </c>
      <c r="G37" s="57">
        <v>460.02</v>
      </c>
      <c r="H37" s="58">
        <f t="shared" si="6"/>
        <v>2.23891734</v>
      </c>
      <c r="I37" s="10">
        <f t="shared" si="7"/>
        <v>373.15289000000001</v>
      </c>
    </row>
    <row r="38" spans="1:9" hidden="1">
      <c r="A38" s="21">
        <v>9</v>
      </c>
      <c r="B38" s="54" t="s">
        <v>115</v>
      </c>
      <c r="C38" s="55" t="s">
        <v>55</v>
      </c>
      <c r="D38" s="124" t="s">
        <v>155</v>
      </c>
      <c r="E38" s="56"/>
      <c r="F38" s="57">
        <v>110</v>
      </c>
      <c r="G38" s="57">
        <v>314</v>
      </c>
      <c r="H38" s="58">
        <f t="shared" si="6"/>
        <v>34.54</v>
      </c>
      <c r="I38" s="10">
        <f>G38*65</f>
        <v>20410</v>
      </c>
    </row>
    <row r="39" spans="1:9" ht="45" hidden="1">
      <c r="A39" s="21">
        <v>10</v>
      </c>
      <c r="B39" s="54" t="s">
        <v>80</v>
      </c>
      <c r="C39" s="55" t="s">
        <v>85</v>
      </c>
      <c r="D39" s="54" t="s">
        <v>100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6"/>
        <v>5.9526882360000002</v>
      </c>
      <c r="I39" s="10">
        <f t="shared" si="7"/>
        <v>992.11470599999996</v>
      </c>
    </row>
    <row r="40" spans="1:9" hidden="1">
      <c r="A40" s="21">
        <v>11</v>
      </c>
      <c r="B40" s="54" t="s">
        <v>86</v>
      </c>
      <c r="C40" s="55" t="s">
        <v>85</v>
      </c>
      <c r="D40" s="54" t="s">
        <v>139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6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6"/>
        <v>0.29244900000000001</v>
      </c>
      <c r="I41" s="10">
        <f>(F41/7.5*1.5)*G41</f>
        <v>58.489800000000002</v>
      </c>
    </row>
    <row r="42" spans="1:9" hidden="1">
      <c r="A42" s="201" t="s">
        <v>124</v>
      </c>
      <c r="B42" s="202"/>
      <c r="C42" s="202"/>
      <c r="D42" s="202"/>
      <c r="E42" s="202"/>
      <c r="F42" s="202"/>
      <c r="G42" s="202"/>
      <c r="H42" s="202"/>
      <c r="I42" s="203"/>
    </row>
    <row r="43" spans="1:9" hidden="1">
      <c r="A43" s="21">
        <v>17</v>
      </c>
      <c r="B43" s="54" t="s">
        <v>92</v>
      </c>
      <c r="C43" s="55" t="s">
        <v>85</v>
      </c>
      <c r="D43" s="54" t="s">
        <v>42</v>
      </c>
      <c r="E43" s="56">
        <v>1109.4000000000001</v>
      </c>
      <c r="F43" s="57">
        <f>SUM(E43*2/1000)</f>
        <v>2.2188000000000003</v>
      </c>
      <c r="G43" s="10">
        <v>1172.4100000000001</v>
      </c>
      <c r="H43" s="58">
        <f t="shared" ref="H43:H53" si="8">SUM(F43*G43/1000)</f>
        <v>2.6013433080000006</v>
      </c>
      <c r="I43" s="10">
        <f>1.1094*G43</f>
        <v>1300.671654</v>
      </c>
    </row>
    <row r="44" spans="1:9" hidden="1">
      <c r="A44" s="21">
        <v>18</v>
      </c>
      <c r="B44" s="54" t="s">
        <v>35</v>
      </c>
      <c r="C44" s="55" t="s">
        <v>85</v>
      </c>
      <c r="D44" s="54" t="s">
        <v>42</v>
      </c>
      <c r="E44" s="56">
        <v>66</v>
      </c>
      <c r="F44" s="57">
        <f>SUM(E44*2/1000)</f>
        <v>0.13200000000000001</v>
      </c>
      <c r="G44" s="10">
        <v>4419.05</v>
      </c>
      <c r="H44" s="58">
        <f t="shared" si="8"/>
        <v>0.58331460000000002</v>
      </c>
      <c r="I44" s="10">
        <f>0.066*G44</f>
        <v>291.65730000000002</v>
      </c>
    </row>
    <row r="45" spans="1:9" hidden="1">
      <c r="A45" s="21">
        <v>19</v>
      </c>
      <c r="B45" s="54" t="s">
        <v>36</v>
      </c>
      <c r="C45" s="55" t="s">
        <v>85</v>
      </c>
      <c r="D45" s="54" t="s">
        <v>42</v>
      </c>
      <c r="E45" s="56">
        <v>1563.2750000000001</v>
      </c>
      <c r="F45" s="57">
        <f>SUM(E45*2/1000)</f>
        <v>3.1265500000000004</v>
      </c>
      <c r="G45" s="10">
        <v>1803.69</v>
      </c>
      <c r="H45" s="58">
        <f t="shared" si="8"/>
        <v>5.6393269695000008</v>
      </c>
      <c r="I45" s="10">
        <f>3.12655/2*G45</f>
        <v>2819.66348475</v>
      </c>
    </row>
    <row r="46" spans="1:9" hidden="1">
      <c r="A46" s="21">
        <v>20</v>
      </c>
      <c r="B46" s="54" t="s">
        <v>37</v>
      </c>
      <c r="C46" s="55" t="s">
        <v>85</v>
      </c>
      <c r="D46" s="54" t="s">
        <v>42</v>
      </c>
      <c r="E46" s="56">
        <v>1619.6</v>
      </c>
      <c r="F46" s="57">
        <f>SUM(E46*2/1000)</f>
        <v>3.2391999999999999</v>
      </c>
      <c r="G46" s="10">
        <v>1243.43</v>
      </c>
      <c r="H46" s="58">
        <f t="shared" si="8"/>
        <v>4.0277184559999997</v>
      </c>
      <c r="I46" s="10">
        <f>3.2392/2*G46</f>
        <v>2013.859228</v>
      </c>
    </row>
    <row r="47" spans="1:9" hidden="1">
      <c r="A47" s="21">
        <v>21</v>
      </c>
      <c r="B47" s="54" t="s">
        <v>33</v>
      </c>
      <c r="C47" s="55" t="s">
        <v>34</v>
      </c>
      <c r="D47" s="54" t="s">
        <v>42</v>
      </c>
      <c r="E47" s="56">
        <v>85.84</v>
      </c>
      <c r="F47" s="57">
        <f>SUM(E47*2/100)</f>
        <v>1.7168000000000001</v>
      </c>
      <c r="G47" s="10">
        <v>1352.76</v>
      </c>
      <c r="H47" s="58">
        <f t="shared" si="8"/>
        <v>2.3224183680000001</v>
      </c>
      <c r="I47" s="10">
        <f>1.7168/2*G47</f>
        <v>1161.2091840000001</v>
      </c>
    </row>
    <row r="48" spans="1:9" hidden="1">
      <c r="A48" s="21">
        <v>22</v>
      </c>
      <c r="B48" s="54" t="s">
        <v>56</v>
      </c>
      <c r="C48" s="55" t="s">
        <v>85</v>
      </c>
      <c r="D48" s="54" t="s">
        <v>133</v>
      </c>
      <c r="E48" s="56">
        <v>2579.4</v>
      </c>
      <c r="F48" s="57">
        <f>SUM(E48*5/1000)</f>
        <v>12.897</v>
      </c>
      <c r="G48" s="10">
        <v>1803.69</v>
      </c>
      <c r="H48" s="58">
        <f t="shared" si="8"/>
        <v>23.262189930000002</v>
      </c>
      <c r="I48" s="10">
        <f>F48/5*G48</f>
        <v>4652.4379860000008</v>
      </c>
    </row>
    <row r="49" spans="1:9" ht="30" hidden="1">
      <c r="A49" s="21">
        <v>23</v>
      </c>
      <c r="B49" s="54" t="s">
        <v>87</v>
      </c>
      <c r="C49" s="55" t="s">
        <v>85</v>
      </c>
      <c r="D49" s="54" t="s">
        <v>42</v>
      </c>
      <c r="E49" s="56">
        <v>2579.4</v>
      </c>
      <c r="F49" s="57">
        <f>SUM(E49*2/1000)</f>
        <v>5.1588000000000003</v>
      </c>
      <c r="G49" s="10">
        <v>1591.6</v>
      </c>
      <c r="H49" s="58">
        <f t="shared" si="8"/>
        <v>8.2107460800000016</v>
      </c>
      <c r="I49" s="10">
        <f>F49/2*G49</f>
        <v>4105.3730400000004</v>
      </c>
    </row>
    <row r="50" spans="1:9" ht="30" hidden="1">
      <c r="A50" s="21">
        <v>24</v>
      </c>
      <c r="B50" s="54" t="s">
        <v>88</v>
      </c>
      <c r="C50" s="55" t="s">
        <v>38</v>
      </c>
      <c r="D50" s="54" t="s">
        <v>42</v>
      </c>
      <c r="E50" s="56">
        <v>20</v>
      </c>
      <c r="F50" s="57">
        <f>SUM(E50*2/100)</f>
        <v>0.4</v>
      </c>
      <c r="G50" s="10">
        <v>4058.32</v>
      </c>
      <c r="H50" s="58">
        <f t="shared" si="8"/>
        <v>1.6233280000000001</v>
      </c>
      <c r="I50" s="10">
        <f t="shared" ref="I50:I51" si="9">F50/2*G50</f>
        <v>811.6640000000001</v>
      </c>
    </row>
    <row r="51" spans="1:9" hidden="1">
      <c r="A51" s="21">
        <v>25</v>
      </c>
      <c r="B51" s="54" t="s">
        <v>39</v>
      </c>
      <c r="C51" s="55" t="s">
        <v>40</v>
      </c>
      <c r="D51" s="54" t="s">
        <v>42</v>
      </c>
      <c r="E51" s="56">
        <v>1</v>
      </c>
      <c r="F51" s="57">
        <v>0.02</v>
      </c>
      <c r="G51" s="10">
        <v>7412.92</v>
      </c>
      <c r="H51" s="58">
        <f t="shared" si="8"/>
        <v>0.14825839999999998</v>
      </c>
      <c r="I51" s="10">
        <f t="shared" si="9"/>
        <v>74.129199999999997</v>
      </c>
    </row>
    <row r="52" spans="1:9" hidden="1">
      <c r="A52" s="21">
        <v>7</v>
      </c>
      <c r="B52" s="54" t="s">
        <v>98</v>
      </c>
      <c r="C52" s="55" t="s">
        <v>93</v>
      </c>
      <c r="D52" s="163">
        <v>44050</v>
      </c>
      <c r="E52" s="56">
        <v>62</v>
      </c>
      <c r="F52" s="57">
        <f>SUM(E52*3)</f>
        <v>186</v>
      </c>
      <c r="G52" s="10">
        <v>185.08</v>
      </c>
      <c r="H52" s="58">
        <f t="shared" si="8"/>
        <v>34.424880000000002</v>
      </c>
      <c r="I52" s="10">
        <f>F52/3*G52</f>
        <v>11474.960000000001</v>
      </c>
    </row>
    <row r="53" spans="1:9" hidden="1">
      <c r="A53" s="75">
        <v>8</v>
      </c>
      <c r="B53" s="63" t="s">
        <v>41</v>
      </c>
      <c r="C53" s="62" t="s">
        <v>93</v>
      </c>
      <c r="D53" s="164">
        <v>44050</v>
      </c>
      <c r="E53" s="64">
        <v>124</v>
      </c>
      <c r="F53" s="65">
        <f>SUM(E53)*3</f>
        <v>372</v>
      </c>
      <c r="G53" s="76">
        <v>86.15</v>
      </c>
      <c r="H53" s="66">
        <f t="shared" si="8"/>
        <v>32.047800000000002</v>
      </c>
      <c r="I53" s="10">
        <f>F53/3*G53</f>
        <v>10682.6</v>
      </c>
    </row>
    <row r="54" spans="1:9">
      <c r="A54" s="204" t="s">
        <v>125</v>
      </c>
      <c r="B54" s="205"/>
      <c r="C54" s="205"/>
      <c r="D54" s="205"/>
      <c r="E54" s="205"/>
      <c r="F54" s="205"/>
      <c r="G54" s="205"/>
      <c r="H54" s="205"/>
      <c r="I54" s="206"/>
    </row>
    <row r="55" spans="1:9" hidden="1">
      <c r="A55" s="77"/>
      <c r="B55" s="78" t="s">
        <v>43</v>
      </c>
      <c r="C55" s="79"/>
      <c r="D55" s="80"/>
      <c r="E55" s="81"/>
      <c r="F55" s="82"/>
      <c r="G55" s="82"/>
      <c r="H55" s="83"/>
      <c r="I55" s="84"/>
    </row>
    <row r="56" spans="1:9" ht="30" hidden="1">
      <c r="A56" s="21">
        <v>13</v>
      </c>
      <c r="B56" s="54" t="s">
        <v>101</v>
      </c>
      <c r="C56" s="55" t="s">
        <v>83</v>
      </c>
      <c r="D56" s="54" t="s">
        <v>116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10">F56/6*G56</f>
        <v>2575.9934199999998</v>
      </c>
    </row>
    <row r="57" spans="1:9" ht="30" hidden="1">
      <c r="A57" s="21">
        <v>13</v>
      </c>
      <c r="B57" s="54" t="s">
        <v>77</v>
      </c>
      <c r="C57" s="55" t="s">
        <v>83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11">SUM(F57*G57/1000)</f>
        <v>2.4229841999999997</v>
      </c>
      <c r="I57" s="10">
        <f t="shared" si="10"/>
        <v>403.83069999999998</v>
      </c>
    </row>
    <row r="58" spans="1:9" ht="15.75" hidden="1" customHeight="1">
      <c r="A58" s="21">
        <v>9</v>
      </c>
      <c r="B58" s="63" t="s">
        <v>121</v>
      </c>
      <c r="C58" s="62" t="s">
        <v>122</v>
      </c>
      <c r="D58" s="125"/>
      <c r="E58" s="85"/>
      <c r="F58" s="65">
        <v>3</v>
      </c>
      <c r="G58" s="57">
        <v>1582.05</v>
      </c>
      <c r="H58" s="58">
        <f t="shared" si="11"/>
        <v>4.7461499999999992</v>
      </c>
      <c r="I58" s="10">
        <f>G58*1</f>
        <v>1582.05</v>
      </c>
    </row>
    <row r="59" spans="1:9">
      <c r="A59" s="21"/>
      <c r="B59" s="74" t="s">
        <v>44</v>
      </c>
      <c r="C59" s="62"/>
      <c r="D59" s="63"/>
      <c r="E59" s="64"/>
      <c r="F59" s="65"/>
      <c r="G59" s="49"/>
      <c r="H59" s="66"/>
      <c r="I59" s="84"/>
    </row>
    <row r="60" spans="1:9" hidden="1">
      <c r="A60" s="21"/>
      <c r="B60" s="63" t="s">
        <v>45</v>
      </c>
      <c r="C60" s="62" t="s">
        <v>83</v>
      </c>
      <c r="D60" s="63" t="s">
        <v>54</v>
      </c>
      <c r="E60" s="64">
        <v>450</v>
      </c>
      <c r="F60" s="57">
        <f>SUM(E60/100)</f>
        <v>4.5</v>
      </c>
      <c r="G60" s="10">
        <v>1040.8399999999999</v>
      </c>
      <c r="H60" s="67">
        <v>7.6349999999999998</v>
      </c>
      <c r="I60" s="10">
        <v>0</v>
      </c>
    </row>
    <row r="61" spans="1:9">
      <c r="A61" s="21">
        <v>9</v>
      </c>
      <c r="B61" s="149" t="s">
        <v>188</v>
      </c>
      <c r="C61" s="150" t="s">
        <v>150</v>
      </c>
      <c r="D61" s="149" t="s">
        <v>177</v>
      </c>
      <c r="E61" s="170">
        <v>48</v>
      </c>
      <c r="F61" s="171">
        <v>576</v>
      </c>
      <c r="G61" s="26">
        <v>1.4</v>
      </c>
      <c r="H61" s="67"/>
      <c r="I61" s="10">
        <f>G61*F61/12</f>
        <v>67.2</v>
      </c>
    </row>
    <row r="62" spans="1:9" hidden="1">
      <c r="A62" s="21"/>
      <c r="B62" s="74" t="s">
        <v>46</v>
      </c>
      <c r="C62" s="62"/>
      <c r="D62" s="63"/>
      <c r="E62" s="64"/>
      <c r="F62" s="65"/>
      <c r="G62" s="68"/>
      <c r="H62" s="66" t="s">
        <v>130</v>
      </c>
      <c r="I62" s="10"/>
    </row>
    <row r="63" spans="1:9" hidden="1">
      <c r="A63" s="21">
        <v>16</v>
      </c>
      <c r="B63" s="11" t="s">
        <v>47</v>
      </c>
      <c r="C63" s="13" t="s">
        <v>93</v>
      </c>
      <c r="D63" s="11" t="s">
        <v>66</v>
      </c>
      <c r="E63" s="15">
        <v>5</v>
      </c>
      <c r="F63" s="57">
        <f>E63</f>
        <v>5</v>
      </c>
      <c r="G63" s="10">
        <v>291.68</v>
      </c>
      <c r="H63" s="53">
        <f t="shared" ref="H63:H70" si="12">SUM(F63*G63/1000)</f>
        <v>1.4584000000000001</v>
      </c>
      <c r="I63" s="10">
        <f>G63</f>
        <v>291.68</v>
      </c>
    </row>
    <row r="64" spans="1:9" hidden="1">
      <c r="A64" s="21"/>
      <c r="B64" s="11" t="s">
        <v>48</v>
      </c>
      <c r="C64" s="13" t="s">
        <v>93</v>
      </c>
      <c r="D64" s="11" t="s">
        <v>66</v>
      </c>
      <c r="E64" s="15">
        <v>2</v>
      </c>
      <c r="F64" s="57">
        <f>E64</f>
        <v>2</v>
      </c>
      <c r="G64" s="10">
        <v>100.01</v>
      </c>
      <c r="H64" s="53">
        <f t="shared" si="12"/>
        <v>0.20002</v>
      </c>
      <c r="I64" s="10">
        <v>0</v>
      </c>
    </row>
    <row r="65" spans="1:9" hidden="1">
      <c r="A65" s="21">
        <v>28</v>
      </c>
      <c r="B65" s="11" t="s">
        <v>49</v>
      </c>
      <c r="C65" s="13" t="s">
        <v>94</v>
      </c>
      <c r="D65" s="11" t="s">
        <v>54</v>
      </c>
      <c r="E65" s="56">
        <v>13313</v>
      </c>
      <c r="F65" s="10">
        <f>SUM(E65/100)</f>
        <v>133.13</v>
      </c>
      <c r="G65" s="10">
        <v>278.24</v>
      </c>
      <c r="H65" s="53">
        <f t="shared" si="12"/>
        <v>37.042091200000002</v>
      </c>
      <c r="I65" s="10">
        <f>133.13*G65</f>
        <v>37042.091200000003</v>
      </c>
    </row>
    <row r="66" spans="1:9" hidden="1">
      <c r="A66" s="21">
        <v>29</v>
      </c>
      <c r="B66" s="11" t="s">
        <v>50</v>
      </c>
      <c r="C66" s="13" t="s">
        <v>95</v>
      </c>
      <c r="D66" s="11"/>
      <c r="E66" s="56">
        <v>13313</v>
      </c>
      <c r="F66" s="10">
        <f>SUM(E66/1000)</f>
        <v>13.313000000000001</v>
      </c>
      <c r="G66" s="10">
        <v>216.68</v>
      </c>
      <c r="H66" s="53">
        <f t="shared" si="12"/>
        <v>2.88466084</v>
      </c>
      <c r="I66" s="10">
        <f>13.313*G66</f>
        <v>2884.66084</v>
      </c>
    </row>
    <row r="67" spans="1:9" hidden="1">
      <c r="A67" s="21">
        <v>30</v>
      </c>
      <c r="B67" s="11" t="s">
        <v>51</v>
      </c>
      <c r="C67" s="13" t="s">
        <v>75</v>
      </c>
      <c r="D67" s="11" t="s">
        <v>54</v>
      </c>
      <c r="E67" s="56">
        <v>2184</v>
      </c>
      <c r="F67" s="10">
        <f>SUM(E67/100)</f>
        <v>21.84</v>
      </c>
      <c r="G67" s="10">
        <v>2720.94</v>
      </c>
      <c r="H67" s="53">
        <f t="shared" si="12"/>
        <v>59.425329599999998</v>
      </c>
      <c r="I67" s="10">
        <f>21.84*G67</f>
        <v>59425.329599999997</v>
      </c>
    </row>
    <row r="68" spans="1:9" hidden="1">
      <c r="A68" s="21">
        <v>31</v>
      </c>
      <c r="B68" s="69" t="s">
        <v>96</v>
      </c>
      <c r="C68" s="13" t="s">
        <v>32</v>
      </c>
      <c r="D68" s="11"/>
      <c r="E68" s="56">
        <v>12.2</v>
      </c>
      <c r="F68" s="10">
        <f>SUM(E68)</f>
        <v>12.2</v>
      </c>
      <c r="G68" s="10">
        <v>42.61</v>
      </c>
      <c r="H68" s="53">
        <f t="shared" si="12"/>
        <v>0.51984200000000003</v>
      </c>
      <c r="I68" s="10">
        <f>12.2*G68</f>
        <v>519.84199999999998</v>
      </c>
    </row>
    <row r="69" spans="1:9" hidden="1">
      <c r="A69" s="21">
        <v>32</v>
      </c>
      <c r="B69" s="69" t="s">
        <v>131</v>
      </c>
      <c r="C69" s="13" t="s">
        <v>32</v>
      </c>
      <c r="D69" s="11"/>
      <c r="E69" s="56">
        <v>12.2</v>
      </c>
      <c r="F69" s="10">
        <f>SUM(E69)</f>
        <v>12.2</v>
      </c>
      <c r="G69" s="10">
        <v>46.04</v>
      </c>
      <c r="H69" s="53">
        <f t="shared" si="12"/>
        <v>0.56168799999999997</v>
      </c>
      <c r="I69" s="10">
        <f>12.2*G69</f>
        <v>561.68799999999999</v>
      </c>
    </row>
    <row r="70" spans="1:9" hidden="1">
      <c r="A70" s="21"/>
      <c r="B70" s="11" t="s">
        <v>57</v>
      </c>
      <c r="C70" s="13" t="s">
        <v>58</v>
      </c>
      <c r="D70" s="11" t="s">
        <v>54</v>
      </c>
      <c r="E70" s="15">
        <v>3</v>
      </c>
      <c r="F70" s="57">
        <v>3</v>
      </c>
      <c r="G70" s="10">
        <v>65.42</v>
      </c>
      <c r="H70" s="53">
        <f t="shared" si="12"/>
        <v>0.19625999999999999</v>
      </c>
      <c r="I70" s="10">
        <v>0</v>
      </c>
    </row>
    <row r="71" spans="1:9" ht="17.25" customHeight="1">
      <c r="A71" s="21"/>
      <c r="B71" s="142" t="s">
        <v>71</v>
      </c>
      <c r="C71" s="13"/>
      <c r="D71" s="11"/>
      <c r="E71" s="15"/>
      <c r="F71" s="10"/>
      <c r="G71" s="10"/>
      <c r="H71" s="53" t="s">
        <v>130</v>
      </c>
      <c r="I71" s="10"/>
    </row>
    <row r="72" spans="1:9" hidden="1">
      <c r="A72" s="21"/>
      <c r="B72" s="11" t="s">
        <v>117</v>
      </c>
      <c r="C72" s="13" t="s">
        <v>93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3">SUM(F72*G72/1000)</f>
        <v>1.0291199999999998</v>
      </c>
      <c r="I72" s="10">
        <v>0</v>
      </c>
    </row>
    <row r="73" spans="1:9" hidden="1">
      <c r="A73" s="21"/>
      <c r="B73" s="11" t="s">
        <v>118</v>
      </c>
      <c r="C73" s="13" t="s">
        <v>119</v>
      </c>
      <c r="D73" s="11"/>
      <c r="E73" s="15">
        <v>1</v>
      </c>
      <c r="F73" s="10">
        <f>E73</f>
        <v>1</v>
      </c>
      <c r="G73" s="10">
        <v>735</v>
      </c>
      <c r="H73" s="53">
        <f t="shared" si="13"/>
        <v>0.73499999999999999</v>
      </c>
      <c r="I73" s="10">
        <v>0</v>
      </c>
    </row>
    <row r="74" spans="1:9" hidden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3"/>
        <v>0.13157400000000002</v>
      </c>
      <c r="I74" s="10">
        <v>0</v>
      </c>
    </row>
    <row r="75" spans="1:9" hidden="1">
      <c r="A75" s="21"/>
      <c r="B75" s="11" t="s">
        <v>120</v>
      </c>
      <c r="C75" s="13" t="s">
        <v>93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3"/>
        <v>1.1187199999999999</v>
      </c>
      <c r="I75" s="10">
        <v>0</v>
      </c>
    </row>
    <row r="76" spans="1:9" hidden="1">
      <c r="A76" s="21"/>
      <c r="B76" s="39" t="s">
        <v>140</v>
      </c>
      <c r="C76" s="40" t="s">
        <v>93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31.5" customHeight="1">
      <c r="A77" s="21">
        <v>10</v>
      </c>
      <c r="B77" s="91" t="s">
        <v>141</v>
      </c>
      <c r="C77" s="92" t="s">
        <v>93</v>
      </c>
      <c r="D77" s="152" t="s">
        <v>173</v>
      </c>
      <c r="E77" s="14">
        <v>2</v>
      </c>
      <c r="F77" s="162">
        <f>E77*12</f>
        <v>24</v>
      </c>
      <c r="G77" s="26">
        <v>425</v>
      </c>
      <c r="H77" s="53">
        <f t="shared" ref="H77" si="14">SUM(F77*G77/1000)</f>
        <v>10.199999999999999</v>
      </c>
      <c r="I77" s="10">
        <f>G77*2</f>
        <v>850</v>
      </c>
    </row>
    <row r="78" spans="1:9" hidden="1">
      <c r="A78" s="21"/>
      <c r="B78" s="71" t="s">
        <v>74</v>
      </c>
      <c r="C78" s="13"/>
      <c r="D78" s="11"/>
      <c r="E78" s="15"/>
      <c r="F78" s="10"/>
      <c r="G78" s="10" t="s">
        <v>130</v>
      </c>
      <c r="H78" s="53" t="s">
        <v>130</v>
      </c>
      <c r="I78" s="10"/>
    </row>
    <row r="79" spans="1:9" hidden="1">
      <c r="A79" s="21"/>
      <c r="B79" s="35" t="s">
        <v>99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5">SUM(F79*G79/1000)</f>
        <v>0.294985</v>
      </c>
      <c r="I79" s="10">
        <v>0</v>
      </c>
    </row>
    <row r="80" spans="1:9" ht="18.75" customHeight="1">
      <c r="A80" s="21"/>
      <c r="B80" s="86" t="s">
        <v>142</v>
      </c>
      <c r="C80" s="40"/>
      <c r="D80" s="11"/>
      <c r="E80" s="15"/>
      <c r="F80" s="49"/>
      <c r="G80" s="10"/>
      <c r="H80" s="53"/>
      <c r="I80" s="10"/>
    </row>
    <row r="81" spans="1:9" ht="18" customHeight="1">
      <c r="A81" s="21">
        <v>11</v>
      </c>
      <c r="B81" s="152" t="s">
        <v>143</v>
      </c>
      <c r="C81" s="28" t="s">
        <v>144</v>
      </c>
      <c r="D81" s="152"/>
      <c r="E81" s="14">
        <v>3227.7</v>
      </c>
      <c r="F81" s="26">
        <f>SUM(E81*12)</f>
        <v>38732.399999999994</v>
      </c>
      <c r="G81" s="26">
        <v>2.6</v>
      </c>
      <c r="H81" s="53">
        <f t="shared" ref="H81" si="16">SUM(F81*G81/1000)</f>
        <v>100.70423999999998</v>
      </c>
      <c r="I81" s="10">
        <f>F81/12*G81</f>
        <v>8392.0199999999986</v>
      </c>
    </row>
    <row r="82" spans="1:9" ht="15.75" hidden="1" customHeight="1">
      <c r="A82" s="21"/>
      <c r="B82" s="142" t="s">
        <v>89</v>
      </c>
      <c r="C82" s="71"/>
      <c r="D82" s="23"/>
      <c r="E82" s="24"/>
      <c r="F82" s="59"/>
      <c r="G82" s="59"/>
      <c r="H82" s="72">
        <f>SUM(H56:H79)</f>
        <v>147.66361536000002</v>
      </c>
      <c r="I82" s="59"/>
    </row>
    <row r="83" spans="1:9" ht="16.5" hidden="1" customHeight="1">
      <c r="A83" s="21"/>
      <c r="B83" s="11" t="s">
        <v>145</v>
      </c>
      <c r="C83" s="13"/>
      <c r="D83" s="11"/>
      <c r="E83" s="11"/>
      <c r="F83" s="10">
        <v>1</v>
      </c>
      <c r="G83" s="10">
        <v>20408</v>
      </c>
      <c r="H83" s="53">
        <f>G83*F83/1000</f>
        <v>20.408000000000001</v>
      </c>
      <c r="I83" s="10">
        <v>0</v>
      </c>
    </row>
    <row r="84" spans="1:9" ht="19.5" hidden="1" customHeight="1">
      <c r="A84" s="21"/>
      <c r="B84" s="11" t="s">
        <v>146</v>
      </c>
      <c r="C84" s="13"/>
      <c r="D84" s="11"/>
      <c r="E84" s="11"/>
      <c r="F84" s="10">
        <v>62</v>
      </c>
      <c r="G84" s="10">
        <v>30380</v>
      </c>
      <c r="H84" s="53">
        <f t="shared" ref="H84" si="17">G84*F84/1000</f>
        <v>1883.56</v>
      </c>
      <c r="I84" s="10">
        <f>G84*1</f>
        <v>30380</v>
      </c>
    </row>
    <row r="85" spans="1:9">
      <c r="A85" s="201" t="s">
        <v>126</v>
      </c>
      <c r="B85" s="202"/>
      <c r="C85" s="202"/>
      <c r="D85" s="202"/>
      <c r="E85" s="202"/>
      <c r="F85" s="202"/>
      <c r="G85" s="202"/>
      <c r="H85" s="202"/>
      <c r="I85" s="203"/>
    </row>
    <row r="86" spans="1:9" ht="18" customHeight="1">
      <c r="A86" s="21">
        <v>12</v>
      </c>
      <c r="B86" s="159" t="s">
        <v>97</v>
      </c>
      <c r="C86" s="153" t="s">
        <v>55</v>
      </c>
      <c r="D86" s="38"/>
      <c r="E86" s="26">
        <v>3227.7</v>
      </c>
      <c r="F86" s="26">
        <f>SUM(E86*12)</f>
        <v>38732.399999999994</v>
      </c>
      <c r="G86" s="26">
        <v>3.5</v>
      </c>
      <c r="H86" s="53">
        <f t="shared" ref="H86" si="18">G86*F86/1000</f>
        <v>135.56339999999997</v>
      </c>
      <c r="I86" s="10">
        <f>F86/12*G86</f>
        <v>11296.949999999997</v>
      </c>
    </row>
    <row r="87" spans="1:9" ht="33" customHeight="1">
      <c r="A87" s="21">
        <v>13</v>
      </c>
      <c r="B87" s="152" t="s">
        <v>186</v>
      </c>
      <c r="C87" s="153" t="s">
        <v>150</v>
      </c>
      <c r="D87" s="90"/>
      <c r="E87" s="166">
        <f>E86</f>
        <v>3227.7</v>
      </c>
      <c r="F87" s="26">
        <f>E87*12</f>
        <v>38732.399999999994</v>
      </c>
      <c r="G87" s="26">
        <v>3.2</v>
      </c>
      <c r="H87" s="53">
        <f>F87*G87/1000</f>
        <v>123.94367999999999</v>
      </c>
      <c r="I87" s="10">
        <f>F87/12*G87</f>
        <v>10328.64</v>
      </c>
    </row>
    <row r="88" spans="1:9">
      <c r="A88" s="21"/>
      <c r="B88" s="27" t="s">
        <v>78</v>
      </c>
      <c r="C88" s="71"/>
      <c r="D88" s="70"/>
      <c r="E88" s="59"/>
      <c r="F88" s="59"/>
      <c r="G88" s="59"/>
      <c r="H88" s="72">
        <f>SUM(H87)</f>
        <v>123.94367999999999</v>
      </c>
      <c r="I88" s="59">
        <f>I87+I86+I81+I77+I61+I30+I29+I24+I21+I20+I18+I17+I16</f>
        <v>39962.379648333321</v>
      </c>
    </row>
    <row r="89" spans="1:9">
      <c r="A89" s="207" t="s">
        <v>60</v>
      </c>
      <c r="B89" s="208"/>
      <c r="C89" s="208"/>
      <c r="D89" s="208"/>
      <c r="E89" s="208"/>
      <c r="F89" s="208"/>
      <c r="G89" s="208"/>
      <c r="H89" s="208"/>
      <c r="I89" s="209"/>
    </row>
    <row r="90" spans="1:9" ht="18" customHeight="1">
      <c r="A90" s="21">
        <v>14</v>
      </c>
      <c r="B90" s="91" t="s">
        <v>260</v>
      </c>
      <c r="C90" s="92" t="s">
        <v>93</v>
      </c>
      <c r="D90" s="90"/>
      <c r="E90" s="26"/>
      <c r="F90" s="26">
        <v>2</v>
      </c>
      <c r="G90" s="26">
        <v>224.48</v>
      </c>
      <c r="H90" s="10"/>
      <c r="I90" s="10">
        <f>G90*2</f>
        <v>448.96</v>
      </c>
    </row>
    <row r="91" spans="1:9" ht="18" customHeight="1">
      <c r="A91" s="21">
        <v>15</v>
      </c>
      <c r="B91" s="91" t="s">
        <v>261</v>
      </c>
      <c r="C91" s="92" t="s">
        <v>262</v>
      </c>
      <c r="D91" s="90"/>
      <c r="E91" s="26"/>
      <c r="F91" s="26">
        <v>1</v>
      </c>
      <c r="G91" s="26">
        <v>314.27</v>
      </c>
      <c r="H91" s="10"/>
      <c r="I91" s="10">
        <f>G91*1</f>
        <v>314.27</v>
      </c>
    </row>
    <row r="92" spans="1:9" ht="18" customHeight="1">
      <c r="A92" s="21">
        <v>16</v>
      </c>
      <c r="B92" s="91" t="s">
        <v>263</v>
      </c>
      <c r="C92" s="92" t="s">
        <v>262</v>
      </c>
      <c r="D92" s="90"/>
      <c r="E92" s="26"/>
      <c r="F92" s="26">
        <v>1</v>
      </c>
      <c r="G92" s="26">
        <v>44.89</v>
      </c>
      <c r="H92" s="10"/>
      <c r="I92" s="10">
        <f>G92*1</f>
        <v>44.89</v>
      </c>
    </row>
    <row r="93" spans="1:9" ht="18" customHeight="1">
      <c r="A93" s="21">
        <v>17</v>
      </c>
      <c r="B93" s="91" t="s">
        <v>264</v>
      </c>
      <c r="C93" s="42" t="s">
        <v>227</v>
      </c>
      <c r="D93" s="90"/>
      <c r="E93" s="26"/>
      <c r="F93" s="26">
        <v>0.08</v>
      </c>
      <c r="G93" s="26">
        <v>4113.16</v>
      </c>
      <c r="H93" s="10"/>
      <c r="I93" s="10">
        <f>G93*0.08</f>
        <v>329.05279999999999</v>
      </c>
    </row>
    <row r="94" spans="1:9" ht="20.25" customHeight="1">
      <c r="A94" s="21">
        <v>18</v>
      </c>
      <c r="B94" s="91" t="s">
        <v>265</v>
      </c>
      <c r="C94" s="92" t="s">
        <v>28</v>
      </c>
      <c r="D94" s="90"/>
      <c r="E94" s="26"/>
      <c r="F94" s="26">
        <v>0.20150000000000001</v>
      </c>
      <c r="G94" s="26">
        <v>4683.09</v>
      </c>
      <c r="H94" s="10"/>
      <c r="I94" s="10">
        <f>G94*0.2015</f>
        <v>943.64263500000004</v>
      </c>
    </row>
    <row r="95" spans="1:9" ht="33" customHeight="1">
      <c r="A95" s="21">
        <v>19</v>
      </c>
      <c r="B95" s="91" t="s">
        <v>218</v>
      </c>
      <c r="C95" s="92" t="s">
        <v>136</v>
      </c>
      <c r="D95" s="90" t="s">
        <v>275</v>
      </c>
      <c r="E95" s="26"/>
      <c r="F95" s="26">
        <v>2</v>
      </c>
      <c r="G95" s="26">
        <v>1584.54</v>
      </c>
      <c r="H95" s="10"/>
      <c r="I95" s="10">
        <f>G95*0.5</f>
        <v>792.27</v>
      </c>
    </row>
    <row r="96" spans="1:9" ht="18" customHeight="1">
      <c r="A96" s="21">
        <v>20</v>
      </c>
      <c r="B96" s="91" t="s">
        <v>39</v>
      </c>
      <c r="C96" s="92" t="s">
        <v>266</v>
      </c>
      <c r="D96" s="90" t="s">
        <v>177</v>
      </c>
      <c r="E96" s="26"/>
      <c r="F96" s="26">
        <v>0.01</v>
      </c>
      <c r="G96" s="26">
        <v>8763.7900000000009</v>
      </c>
      <c r="H96" s="10"/>
      <c r="I96" s="10">
        <v>0</v>
      </c>
    </row>
    <row r="97" spans="1:9" ht="30" customHeight="1">
      <c r="A97" s="21">
        <v>21</v>
      </c>
      <c r="B97" s="91" t="s">
        <v>168</v>
      </c>
      <c r="C97" s="92" t="s">
        <v>38</v>
      </c>
      <c r="D97" s="90" t="s">
        <v>177</v>
      </c>
      <c r="E97" s="26"/>
      <c r="F97" s="26">
        <v>0.04</v>
      </c>
      <c r="G97" s="26">
        <v>4233.72</v>
      </c>
      <c r="H97" s="10"/>
      <c r="I97" s="10">
        <v>0</v>
      </c>
    </row>
    <row r="98" spans="1:9" ht="32.25" customHeight="1">
      <c r="A98" s="21">
        <v>22</v>
      </c>
      <c r="B98" s="105" t="s">
        <v>267</v>
      </c>
      <c r="C98" s="28" t="s">
        <v>268</v>
      </c>
      <c r="D98" s="189">
        <v>44433</v>
      </c>
      <c r="E98" s="26"/>
      <c r="F98" s="26">
        <v>0.2</v>
      </c>
      <c r="G98" s="26">
        <v>1948.52</v>
      </c>
      <c r="H98" s="10"/>
      <c r="I98" s="10">
        <f>G98*0.2</f>
        <v>389.70400000000001</v>
      </c>
    </row>
    <row r="99" spans="1:9" ht="18" customHeight="1">
      <c r="A99" s="21">
        <v>23</v>
      </c>
      <c r="B99" s="91" t="s">
        <v>269</v>
      </c>
      <c r="C99" s="92" t="s">
        <v>270</v>
      </c>
      <c r="D99" s="90"/>
      <c r="E99" s="26"/>
      <c r="F99" s="26">
        <v>1</v>
      </c>
      <c r="G99" s="26">
        <v>960.81</v>
      </c>
      <c r="H99" s="10"/>
      <c r="I99" s="10">
        <f>G99*1</f>
        <v>960.81</v>
      </c>
    </row>
    <row r="100" spans="1:9" ht="18" customHeight="1">
      <c r="A100" s="21">
        <v>24</v>
      </c>
      <c r="B100" s="91" t="s">
        <v>271</v>
      </c>
      <c r="C100" s="92" t="s">
        <v>272</v>
      </c>
      <c r="D100" s="90" t="s">
        <v>276</v>
      </c>
      <c r="E100" s="26"/>
      <c r="F100" s="26">
        <v>12.5</v>
      </c>
      <c r="G100" s="26">
        <v>45</v>
      </c>
      <c r="H100" s="10"/>
      <c r="I100" s="10">
        <f>G100*12.5</f>
        <v>562.5</v>
      </c>
    </row>
    <row r="101" spans="1:9" ht="18" customHeight="1">
      <c r="A101" s="21">
        <v>25</v>
      </c>
      <c r="B101" s="190" t="s">
        <v>273</v>
      </c>
      <c r="C101" s="191" t="s">
        <v>274</v>
      </c>
      <c r="D101" s="90" t="s">
        <v>277</v>
      </c>
      <c r="E101" s="26"/>
      <c r="F101" s="26">
        <f>0.5/3</f>
        <v>0.16666666666666666</v>
      </c>
      <c r="G101" s="26">
        <v>1325.15</v>
      </c>
      <c r="H101" s="10"/>
      <c r="I101" s="10">
        <f>G101*0.5/3</f>
        <v>220.85833333333335</v>
      </c>
    </row>
    <row r="102" spans="1:9" ht="18" customHeight="1">
      <c r="A102" s="21">
        <v>26</v>
      </c>
      <c r="B102" s="91" t="s">
        <v>151</v>
      </c>
      <c r="C102" s="92" t="s">
        <v>136</v>
      </c>
      <c r="D102" s="90" t="s">
        <v>278</v>
      </c>
      <c r="E102" s="26"/>
      <c r="F102" s="26">
        <v>114</v>
      </c>
      <c r="G102" s="26">
        <v>295.36</v>
      </c>
      <c r="H102" s="10"/>
      <c r="I102" s="10">
        <v>0</v>
      </c>
    </row>
    <row r="103" spans="1:9" ht="18" customHeight="1">
      <c r="A103" s="21">
        <v>27</v>
      </c>
      <c r="B103" s="91" t="s">
        <v>167</v>
      </c>
      <c r="C103" s="92" t="s">
        <v>152</v>
      </c>
      <c r="D103" s="90"/>
      <c r="E103" s="26"/>
      <c r="F103" s="26">
        <v>13</v>
      </c>
      <c r="G103" s="26">
        <v>236.08</v>
      </c>
      <c r="H103" s="10"/>
      <c r="I103" s="10">
        <f>G103*3</f>
        <v>708.24</v>
      </c>
    </row>
    <row r="104" spans="1:9" ht="18" customHeight="1">
      <c r="A104" s="21"/>
      <c r="B104" s="33" t="s">
        <v>52</v>
      </c>
      <c r="C104" s="29"/>
      <c r="D104" s="36"/>
      <c r="E104" s="29">
        <v>1</v>
      </c>
      <c r="F104" s="29"/>
      <c r="G104" s="29"/>
      <c r="H104" s="29"/>
      <c r="I104" s="24">
        <f>SUM(I90:I103)</f>
        <v>5715.1977683333334</v>
      </c>
    </row>
    <row r="105" spans="1:9">
      <c r="A105" s="21"/>
      <c r="B105" s="35" t="s">
        <v>76</v>
      </c>
      <c r="C105" s="12"/>
      <c r="D105" s="12"/>
      <c r="E105" s="30"/>
      <c r="F105" s="30"/>
      <c r="G105" s="31"/>
      <c r="H105" s="31"/>
      <c r="I105" s="14">
        <v>0</v>
      </c>
    </row>
    <row r="106" spans="1:9">
      <c r="A106" s="37"/>
      <c r="B106" s="34" t="s">
        <v>147</v>
      </c>
      <c r="C106" s="25"/>
      <c r="D106" s="25"/>
      <c r="E106" s="25"/>
      <c r="F106" s="25"/>
      <c r="G106" s="25"/>
      <c r="H106" s="25"/>
      <c r="I106" s="32">
        <f>I88+I104</f>
        <v>45677.577416666652</v>
      </c>
    </row>
    <row r="107" spans="1:9" ht="15.75">
      <c r="A107" s="210" t="s">
        <v>279</v>
      </c>
      <c r="B107" s="210"/>
      <c r="C107" s="210"/>
      <c r="D107" s="210"/>
      <c r="E107" s="210"/>
      <c r="F107" s="210"/>
      <c r="G107" s="210"/>
      <c r="H107" s="210"/>
      <c r="I107" s="210"/>
    </row>
    <row r="108" spans="1:9" ht="15.75">
      <c r="A108" s="43"/>
      <c r="B108" s="211" t="s">
        <v>280</v>
      </c>
      <c r="C108" s="211"/>
      <c r="D108" s="211"/>
      <c r="E108" s="211"/>
      <c r="F108" s="211"/>
      <c r="G108" s="211"/>
      <c r="H108" s="52"/>
      <c r="I108" s="2"/>
    </row>
    <row r="109" spans="1:9">
      <c r="A109" s="140"/>
      <c r="B109" s="195" t="s">
        <v>6</v>
      </c>
      <c r="C109" s="195"/>
      <c r="D109" s="195"/>
      <c r="E109" s="195"/>
      <c r="F109" s="195"/>
      <c r="G109" s="195"/>
      <c r="H109" s="16"/>
      <c r="I109" s="4"/>
    </row>
    <row r="110" spans="1:9">
      <c r="A110" s="7"/>
      <c r="B110" s="7"/>
      <c r="C110" s="7"/>
      <c r="D110" s="7"/>
      <c r="E110" s="7"/>
      <c r="F110" s="7"/>
      <c r="G110" s="7"/>
      <c r="H110" s="7"/>
      <c r="I110" s="7"/>
    </row>
    <row r="111" spans="1:9" ht="15.75">
      <c r="A111" s="212" t="s">
        <v>7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15.75">
      <c r="A112" s="212" t="s">
        <v>8</v>
      </c>
      <c r="B112" s="212"/>
      <c r="C112" s="212"/>
      <c r="D112" s="212"/>
      <c r="E112" s="212"/>
      <c r="F112" s="212"/>
      <c r="G112" s="212"/>
      <c r="H112" s="212"/>
      <c r="I112" s="212"/>
    </row>
    <row r="113" spans="1:9" ht="15.75">
      <c r="A113" s="199" t="s">
        <v>61</v>
      </c>
      <c r="B113" s="199"/>
      <c r="C113" s="199"/>
      <c r="D113" s="199"/>
      <c r="E113" s="199"/>
      <c r="F113" s="199"/>
      <c r="G113" s="199"/>
      <c r="H113" s="199"/>
      <c r="I113" s="199"/>
    </row>
    <row r="114" spans="1:9" ht="15.75">
      <c r="A114" s="8"/>
    </row>
    <row r="115" spans="1:9" ht="15.75">
      <c r="A115" s="193" t="s">
        <v>9</v>
      </c>
      <c r="B115" s="193"/>
      <c r="C115" s="193"/>
      <c r="D115" s="193"/>
      <c r="E115" s="193"/>
      <c r="F115" s="193"/>
      <c r="G115" s="193"/>
      <c r="H115" s="193"/>
      <c r="I115" s="193"/>
    </row>
    <row r="116" spans="1:9" ht="15.75">
      <c r="A116" s="3"/>
    </row>
    <row r="117" spans="1:9" ht="15.75">
      <c r="B117" s="141" t="s">
        <v>10</v>
      </c>
      <c r="C117" s="194" t="s">
        <v>190</v>
      </c>
      <c r="D117" s="194"/>
      <c r="E117" s="194"/>
      <c r="F117" s="50"/>
      <c r="I117" s="139"/>
    </row>
    <row r="118" spans="1:9">
      <c r="A118" s="140"/>
      <c r="C118" s="195" t="s">
        <v>11</v>
      </c>
      <c r="D118" s="195"/>
      <c r="E118" s="195"/>
      <c r="F118" s="16"/>
      <c r="I118" s="138" t="s">
        <v>12</v>
      </c>
    </row>
    <row r="119" spans="1:9" ht="15.75">
      <c r="A119" s="17"/>
      <c r="C119" s="9"/>
      <c r="D119" s="9"/>
      <c r="G119" s="9"/>
      <c r="H119" s="9"/>
    </row>
    <row r="120" spans="1:9" ht="15.75">
      <c r="B120" s="141" t="s">
        <v>13</v>
      </c>
      <c r="C120" s="196"/>
      <c r="D120" s="196"/>
      <c r="E120" s="196"/>
      <c r="F120" s="51"/>
      <c r="I120" s="139"/>
    </row>
    <row r="121" spans="1:9">
      <c r="A121" s="140"/>
      <c r="C121" s="197" t="s">
        <v>11</v>
      </c>
      <c r="D121" s="197"/>
      <c r="E121" s="197"/>
      <c r="F121" s="140"/>
      <c r="I121" s="138" t="s">
        <v>12</v>
      </c>
    </row>
    <row r="122" spans="1:9" ht="15.75">
      <c r="A122" s="3" t="s">
        <v>14</v>
      </c>
    </row>
    <row r="123" spans="1:9">
      <c r="A123" s="198" t="s">
        <v>15</v>
      </c>
      <c r="B123" s="198"/>
      <c r="C123" s="198"/>
      <c r="D123" s="198"/>
      <c r="E123" s="198"/>
      <c r="F123" s="198"/>
      <c r="G123" s="198"/>
      <c r="H123" s="198"/>
      <c r="I123" s="198"/>
    </row>
    <row r="124" spans="1:9" ht="40.5" customHeight="1">
      <c r="A124" s="192" t="s">
        <v>16</v>
      </c>
      <c r="B124" s="192"/>
      <c r="C124" s="192"/>
      <c r="D124" s="192"/>
      <c r="E124" s="192"/>
      <c r="F124" s="192"/>
      <c r="G124" s="192"/>
      <c r="H124" s="192"/>
      <c r="I124" s="192"/>
    </row>
    <row r="125" spans="1:9" ht="33" customHeight="1">
      <c r="A125" s="192" t="s">
        <v>17</v>
      </c>
      <c r="B125" s="192"/>
      <c r="C125" s="192"/>
      <c r="D125" s="192"/>
      <c r="E125" s="192"/>
      <c r="F125" s="192"/>
      <c r="G125" s="192"/>
      <c r="H125" s="192"/>
      <c r="I125" s="192"/>
    </row>
    <row r="126" spans="1:9" ht="30" customHeight="1">
      <c r="A126" s="192" t="s">
        <v>21</v>
      </c>
      <c r="B126" s="192"/>
      <c r="C126" s="192"/>
      <c r="D126" s="192"/>
      <c r="E126" s="192"/>
      <c r="F126" s="192"/>
      <c r="G126" s="192"/>
      <c r="H126" s="192"/>
      <c r="I126" s="192"/>
    </row>
    <row r="127" spans="1:9" ht="15.75">
      <c r="A127" s="192" t="s">
        <v>20</v>
      </c>
      <c r="B127" s="192"/>
      <c r="C127" s="192"/>
      <c r="D127" s="192"/>
      <c r="E127" s="192"/>
      <c r="F127" s="192"/>
      <c r="G127" s="192"/>
      <c r="H127" s="192"/>
      <c r="I127" s="192"/>
    </row>
  </sheetData>
  <mergeCells count="28">
    <mergeCell ref="A14:I14"/>
    <mergeCell ref="A3:I3"/>
    <mergeCell ref="A4:I4"/>
    <mergeCell ref="A5:I5"/>
    <mergeCell ref="A8:I8"/>
    <mergeCell ref="A10:I10"/>
    <mergeCell ref="A113:I113"/>
    <mergeCell ref="A15:I15"/>
    <mergeCell ref="A27:I27"/>
    <mergeCell ref="A42:I42"/>
    <mergeCell ref="A54:I54"/>
    <mergeCell ref="A85:I85"/>
    <mergeCell ref="A89:I89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" right="0.7" top="0.75" bottom="0.75" header="0.3" footer="0.3"/>
  <pageSetup paperSize="9" scale="65" orientation="portrait" horizontalDpi="0" verticalDpi="0" r:id="rId1"/>
  <rowBreaks count="1" manualBreakCount="1">
    <brk id="10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18"/>
  <sheetViews>
    <sheetView topLeftCell="A86" zoomScaleNormal="100" workbookViewId="0">
      <selection activeCell="I101" sqref="I101"/>
    </sheetView>
  </sheetViews>
  <sheetFormatPr defaultRowHeight="15"/>
  <cols>
    <col min="1" max="1" width="11.7109375" customWidth="1"/>
    <col min="2" max="2" width="49.42578125" customWidth="1"/>
    <col min="3" max="3" width="14.28515625" customWidth="1"/>
    <col min="4" max="4" width="23.5703125" customWidth="1"/>
    <col min="5" max="5" width="0" hidden="1" customWidth="1"/>
    <col min="6" max="6" width="17.85546875" hidden="1" customWidth="1"/>
    <col min="7" max="7" width="17.42578125" customWidth="1"/>
    <col min="8" max="8" width="0" hidden="1" customWidth="1"/>
    <col min="9" max="9" width="15.140625" customWidth="1"/>
  </cols>
  <sheetData>
    <row r="1" spans="1:9" ht="15.75">
      <c r="A1" s="19" t="s">
        <v>159</v>
      </c>
      <c r="I1" s="18"/>
    </row>
    <row r="2" spans="1:9" ht="15.75">
      <c r="A2" s="20" t="s">
        <v>62</v>
      </c>
    </row>
    <row r="3" spans="1:9" ht="15.75">
      <c r="A3" s="214" t="s">
        <v>163</v>
      </c>
      <c r="B3" s="214"/>
      <c r="C3" s="214"/>
      <c r="D3" s="214"/>
      <c r="E3" s="214"/>
      <c r="F3" s="214"/>
      <c r="G3" s="214"/>
      <c r="H3" s="214"/>
      <c r="I3" s="214"/>
    </row>
    <row r="4" spans="1:9" ht="34.5" customHeight="1">
      <c r="A4" s="215" t="s">
        <v>123</v>
      </c>
      <c r="B4" s="215"/>
      <c r="C4" s="215"/>
      <c r="D4" s="215"/>
      <c r="E4" s="215"/>
      <c r="F4" s="215"/>
      <c r="G4" s="215"/>
      <c r="H4" s="215"/>
      <c r="I4" s="215"/>
    </row>
    <row r="5" spans="1:9" ht="15.75">
      <c r="A5" s="214" t="s">
        <v>281</v>
      </c>
      <c r="B5" s="216"/>
      <c r="C5" s="216"/>
      <c r="D5" s="216"/>
      <c r="E5" s="216"/>
      <c r="F5" s="216"/>
      <c r="G5" s="216"/>
      <c r="H5" s="216"/>
      <c r="I5" s="216"/>
    </row>
    <row r="6" spans="1:9" ht="15.75">
      <c r="A6" s="1"/>
      <c r="B6" s="144"/>
      <c r="C6" s="144"/>
      <c r="D6" s="144"/>
      <c r="E6" s="144"/>
      <c r="F6" s="144"/>
      <c r="G6" s="144"/>
      <c r="H6" s="144"/>
      <c r="I6" s="22">
        <v>44469</v>
      </c>
    </row>
    <row r="7" spans="1:9" ht="15.75">
      <c r="B7" s="145"/>
      <c r="C7" s="145"/>
      <c r="D7" s="145"/>
      <c r="E7" s="2"/>
      <c r="F7" s="2"/>
      <c r="G7" s="2"/>
      <c r="H7" s="2"/>
    </row>
    <row r="8" spans="1:9" ht="95.25" customHeight="1">
      <c r="A8" s="217" t="s">
        <v>191</v>
      </c>
      <c r="B8" s="217"/>
      <c r="C8" s="217"/>
      <c r="D8" s="217"/>
      <c r="E8" s="217"/>
      <c r="F8" s="217"/>
      <c r="G8" s="217"/>
      <c r="H8" s="217"/>
      <c r="I8" s="217"/>
    </row>
    <row r="9" spans="1:9" ht="15.75">
      <c r="A9" s="3"/>
    </row>
    <row r="10" spans="1:9" ht="74.25" customHeight="1">
      <c r="A10" s="218" t="s">
        <v>148</v>
      </c>
      <c r="B10" s="218"/>
      <c r="C10" s="218"/>
      <c r="D10" s="218"/>
      <c r="E10" s="218"/>
      <c r="F10" s="218"/>
      <c r="G10" s="218"/>
      <c r="H10" s="218"/>
      <c r="I10" s="218"/>
    </row>
    <row r="11" spans="1:9" ht="15.75">
      <c r="A11" s="3"/>
    </row>
    <row r="12" spans="1:9" ht="88.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213" t="s">
        <v>59</v>
      </c>
      <c r="B14" s="213"/>
      <c r="C14" s="213"/>
      <c r="D14" s="213"/>
      <c r="E14" s="213"/>
      <c r="F14" s="213"/>
      <c r="G14" s="213"/>
      <c r="H14" s="213"/>
      <c r="I14" s="213"/>
    </row>
    <row r="15" spans="1:9">
      <c r="A15" s="200" t="s">
        <v>4</v>
      </c>
      <c r="B15" s="200"/>
      <c r="C15" s="200"/>
      <c r="D15" s="200"/>
      <c r="E15" s="200"/>
      <c r="F15" s="200"/>
      <c r="G15" s="200"/>
      <c r="H15" s="200"/>
      <c r="I15" s="200"/>
    </row>
    <row r="16" spans="1:9" ht="16.5" customHeight="1">
      <c r="A16" s="21">
        <v>1</v>
      </c>
      <c r="B16" s="159" t="s">
        <v>103</v>
      </c>
      <c r="C16" s="160" t="s">
        <v>83</v>
      </c>
      <c r="D16" s="159" t="s">
        <v>170</v>
      </c>
      <c r="E16" s="166">
        <v>43.36</v>
      </c>
      <c r="F16" s="162">
        <f>SUM(E16*156/100)</f>
        <v>67.641599999999997</v>
      </c>
      <c r="G16" s="162">
        <v>261.45</v>
      </c>
      <c r="H16" s="58">
        <f t="shared" ref="H16:H18" si="0">SUM(F16*G16/1000)</f>
        <v>17.68489632</v>
      </c>
      <c r="I16" s="10">
        <f>F16/12*G16</f>
        <v>1473.74136</v>
      </c>
    </row>
    <row r="17" spans="1:9" ht="15.75" customHeight="1">
      <c r="A17" s="21">
        <v>2</v>
      </c>
      <c r="B17" s="159" t="s">
        <v>104</v>
      </c>
      <c r="C17" s="160" t="s">
        <v>83</v>
      </c>
      <c r="D17" s="159" t="s">
        <v>171</v>
      </c>
      <c r="E17" s="166">
        <v>173.44</v>
      </c>
      <c r="F17" s="162">
        <f>SUM(E17*104/100)</f>
        <v>180.37759999999997</v>
      </c>
      <c r="G17" s="162">
        <v>261.45</v>
      </c>
      <c r="H17" s="58">
        <f t="shared" si="0"/>
        <v>47.159723519999993</v>
      </c>
      <c r="I17" s="10">
        <f>F17/12*G17</f>
        <v>3929.9769599999995</v>
      </c>
    </row>
    <row r="18" spans="1:9" ht="15.75" customHeight="1">
      <c r="A18" s="21">
        <v>3</v>
      </c>
      <c r="B18" s="159" t="s">
        <v>105</v>
      </c>
      <c r="C18" s="160" t="s">
        <v>83</v>
      </c>
      <c r="D18" s="159" t="s">
        <v>172</v>
      </c>
      <c r="E18" s="166">
        <f>SUM(E16+E17)</f>
        <v>216.8</v>
      </c>
      <c r="F18" s="162">
        <f>SUM(E18*18/100)</f>
        <v>39.024000000000001</v>
      </c>
      <c r="G18" s="162">
        <v>752.16</v>
      </c>
      <c r="H18" s="58">
        <f t="shared" si="0"/>
        <v>29.352291839999999</v>
      </c>
      <c r="I18" s="10">
        <f>F18/18*2*G18</f>
        <v>3261.3657600000001</v>
      </c>
    </row>
    <row r="19" spans="1:9" hidden="1">
      <c r="A19" s="21">
        <v>4</v>
      </c>
      <c r="B19" s="159" t="s">
        <v>106</v>
      </c>
      <c r="C19" s="160" t="s">
        <v>107</v>
      </c>
      <c r="D19" s="159" t="s">
        <v>108</v>
      </c>
      <c r="E19" s="166">
        <v>40</v>
      </c>
      <c r="F19" s="162">
        <f>SUM(E19/10)</f>
        <v>4</v>
      </c>
      <c r="G19" s="162">
        <v>253.7</v>
      </c>
      <c r="H19" s="58">
        <f t="shared" ref="H19:H26" si="1">SUM(F19*G19/1000)</f>
        <v>1.0147999999999999</v>
      </c>
      <c r="I19" s="10">
        <f>4*G19</f>
        <v>1014.8</v>
      </c>
    </row>
    <row r="20" spans="1:9" ht="15" customHeight="1">
      <c r="A20" s="21">
        <v>4</v>
      </c>
      <c r="B20" s="159" t="s">
        <v>109</v>
      </c>
      <c r="C20" s="160" t="s">
        <v>83</v>
      </c>
      <c r="D20" s="159" t="s">
        <v>173</v>
      </c>
      <c r="E20" s="166">
        <v>10.5</v>
      </c>
      <c r="F20" s="162">
        <f>SUM(E20*12/100)</f>
        <v>1.26</v>
      </c>
      <c r="G20" s="162">
        <v>324.83999999999997</v>
      </c>
      <c r="H20" s="58">
        <f t="shared" si="1"/>
        <v>0.40929839999999995</v>
      </c>
      <c r="I20" s="10">
        <f>G20*F20/12</f>
        <v>34.108199999999997</v>
      </c>
    </row>
    <row r="21" spans="1:9" ht="15.75" customHeight="1">
      <c r="A21" s="21">
        <v>5</v>
      </c>
      <c r="B21" s="159" t="s">
        <v>110</v>
      </c>
      <c r="C21" s="160" t="s">
        <v>83</v>
      </c>
      <c r="D21" s="159" t="s">
        <v>177</v>
      </c>
      <c r="E21" s="166">
        <v>6.31</v>
      </c>
      <c r="F21" s="162">
        <f>SUM(E21*12/100)</f>
        <v>0.75719999999999998</v>
      </c>
      <c r="G21" s="162">
        <v>322.20999999999998</v>
      </c>
      <c r="H21" s="58">
        <f t="shared" si="1"/>
        <v>0.24397741199999998</v>
      </c>
      <c r="I21" s="10">
        <f>F21/12*G21</f>
        <v>20.331451000000001</v>
      </c>
    </row>
    <row r="22" spans="1:9">
      <c r="A22" s="21">
        <v>6</v>
      </c>
      <c r="B22" s="159" t="s">
        <v>111</v>
      </c>
      <c r="C22" s="160" t="s">
        <v>53</v>
      </c>
      <c r="D22" s="159" t="s">
        <v>177</v>
      </c>
      <c r="E22" s="166">
        <v>357</v>
      </c>
      <c r="F22" s="162">
        <f>SUM(E22*2/100)</f>
        <v>7.14</v>
      </c>
      <c r="G22" s="162">
        <v>401.44</v>
      </c>
      <c r="H22" s="58">
        <f t="shared" si="1"/>
        <v>2.8662815999999998</v>
      </c>
      <c r="I22" s="10">
        <f>3.57*G22</f>
        <v>1433.1407999999999</v>
      </c>
    </row>
    <row r="23" spans="1:9">
      <c r="A23" s="21">
        <v>7</v>
      </c>
      <c r="B23" s="159" t="s">
        <v>112</v>
      </c>
      <c r="C23" s="160" t="s">
        <v>53</v>
      </c>
      <c r="D23" s="159" t="s">
        <v>177</v>
      </c>
      <c r="E23" s="167">
        <v>38.64</v>
      </c>
      <c r="F23" s="162">
        <f>SUM(E23*2/100)</f>
        <v>0.77280000000000004</v>
      </c>
      <c r="G23" s="162">
        <v>66.03</v>
      </c>
      <c r="H23" s="58">
        <f t="shared" si="1"/>
        <v>5.1027984000000005E-2</v>
      </c>
      <c r="I23" s="10">
        <f>0.3864*G23</f>
        <v>25.513992000000002</v>
      </c>
    </row>
    <row r="24" spans="1:9">
      <c r="A24" s="21">
        <v>8</v>
      </c>
      <c r="B24" s="159" t="s">
        <v>113</v>
      </c>
      <c r="C24" s="160" t="s">
        <v>53</v>
      </c>
      <c r="D24" s="159" t="s">
        <v>173</v>
      </c>
      <c r="E24" s="166">
        <v>15</v>
      </c>
      <c r="F24" s="162">
        <f>SUM(E24*12/100)</f>
        <v>1.8</v>
      </c>
      <c r="G24" s="162">
        <v>581.02</v>
      </c>
      <c r="H24" s="58">
        <f t="shared" si="1"/>
        <v>1.045836</v>
      </c>
      <c r="I24" s="10">
        <f>0.15*G24</f>
        <v>87.152999999999992</v>
      </c>
    </row>
    <row r="25" spans="1:9">
      <c r="A25" s="21">
        <v>9</v>
      </c>
      <c r="B25" s="159" t="s">
        <v>114</v>
      </c>
      <c r="C25" s="160" t="s">
        <v>53</v>
      </c>
      <c r="D25" s="159" t="s">
        <v>177</v>
      </c>
      <c r="E25" s="166">
        <v>6.38</v>
      </c>
      <c r="F25" s="162">
        <f>SUM(E25*2/100)</f>
        <v>0.12759999999999999</v>
      </c>
      <c r="G25" s="162">
        <v>776.46</v>
      </c>
      <c r="H25" s="58">
        <f t="shared" si="1"/>
        <v>9.9076295999999994E-2</v>
      </c>
      <c r="I25" s="10">
        <f>0.0638*G25</f>
        <v>49.538148</v>
      </c>
    </row>
    <row r="26" spans="1:9" ht="15.75" hidden="1" customHeight="1">
      <c r="A26" s="21">
        <v>10</v>
      </c>
      <c r="B26" s="159" t="s">
        <v>169</v>
      </c>
      <c r="C26" s="160" t="s">
        <v>150</v>
      </c>
      <c r="D26" s="159" t="s">
        <v>174</v>
      </c>
      <c r="E26" s="161">
        <v>4.8</v>
      </c>
      <c r="F26" s="162">
        <f>E26*258</f>
        <v>1238.3999999999999</v>
      </c>
      <c r="G26" s="162">
        <v>10.81</v>
      </c>
      <c r="H26" s="58">
        <f t="shared" si="1"/>
        <v>13.387103999999999</v>
      </c>
      <c r="I26" s="10">
        <f>F26/12*G26</f>
        <v>1115.5919999999999</v>
      </c>
    </row>
    <row r="27" spans="1:9">
      <c r="A27" s="201" t="s">
        <v>81</v>
      </c>
      <c r="B27" s="202"/>
      <c r="C27" s="202"/>
      <c r="D27" s="202"/>
      <c r="E27" s="202"/>
      <c r="F27" s="202"/>
      <c r="G27" s="202"/>
      <c r="H27" s="202"/>
      <c r="I27" s="203"/>
    </row>
    <row r="28" spans="1:9" ht="15.75" customHeight="1">
      <c r="A28" s="21"/>
      <c r="B28" s="73" t="s">
        <v>27</v>
      </c>
      <c r="C28" s="55"/>
      <c r="D28" s="54"/>
      <c r="E28" s="56"/>
      <c r="F28" s="57"/>
      <c r="G28" s="57"/>
      <c r="H28" s="58"/>
      <c r="I28" s="10"/>
    </row>
    <row r="29" spans="1:9" ht="18" customHeight="1">
      <c r="A29" s="21">
        <v>10</v>
      </c>
      <c r="B29" s="159" t="s">
        <v>91</v>
      </c>
      <c r="C29" s="160" t="s">
        <v>85</v>
      </c>
      <c r="D29" s="159" t="s">
        <v>184</v>
      </c>
      <c r="E29" s="162">
        <v>124.74</v>
      </c>
      <c r="F29" s="162">
        <f>SUM(E29*24/1000)</f>
        <v>2.99376</v>
      </c>
      <c r="G29" s="162">
        <v>232.4</v>
      </c>
      <c r="H29" s="58">
        <f t="shared" ref="H29:H30" si="2">SUM(F29*G29/1000)</f>
        <v>0.69574982399999996</v>
      </c>
      <c r="I29" s="10">
        <f>F29/6*G29</f>
        <v>115.95830400000001</v>
      </c>
    </row>
    <row r="30" spans="1:9" ht="49.5" customHeight="1">
      <c r="A30" s="21">
        <v>11</v>
      </c>
      <c r="B30" s="159" t="s">
        <v>132</v>
      </c>
      <c r="C30" s="160" t="s">
        <v>85</v>
      </c>
      <c r="D30" s="159" t="s">
        <v>171</v>
      </c>
      <c r="E30" s="162">
        <v>31.4</v>
      </c>
      <c r="F30" s="162">
        <f>SUM(E30*52/1000)</f>
        <v>1.6328</v>
      </c>
      <c r="G30" s="162">
        <v>385.6</v>
      </c>
      <c r="H30" s="58">
        <f t="shared" si="2"/>
        <v>0.62960768000000011</v>
      </c>
      <c r="I30" s="10">
        <f t="shared" ref="I30" si="3">F30/6*G30</f>
        <v>104.93461333333335</v>
      </c>
    </row>
    <row r="31" spans="1:9" hidden="1">
      <c r="A31" s="21">
        <v>15</v>
      </c>
      <c r="B31" s="54" t="s">
        <v>26</v>
      </c>
      <c r="C31" s="55" t="s">
        <v>85</v>
      </c>
      <c r="D31" s="54" t="s">
        <v>54</v>
      </c>
      <c r="E31" s="57">
        <v>124.7</v>
      </c>
      <c r="F31" s="57">
        <f>SUM(E31/1000)</f>
        <v>0.12470000000000001</v>
      </c>
      <c r="G31" s="57">
        <v>3961.23</v>
      </c>
      <c r="H31" s="58">
        <f t="shared" ref="H31:H33" si="4">SUM(F31*G31/1000)</f>
        <v>0.49396538100000004</v>
      </c>
      <c r="I31" s="10">
        <f>0.1247*G31</f>
        <v>493.96538100000004</v>
      </c>
    </row>
    <row r="32" spans="1:9" hidden="1">
      <c r="A32" s="21"/>
      <c r="B32" s="54" t="s">
        <v>64</v>
      </c>
      <c r="C32" s="55" t="s">
        <v>32</v>
      </c>
      <c r="D32" s="54" t="s">
        <v>66</v>
      </c>
      <c r="E32" s="56"/>
      <c r="F32" s="57">
        <v>2</v>
      </c>
      <c r="G32" s="57">
        <v>250.92</v>
      </c>
      <c r="H32" s="58">
        <f t="shared" si="4"/>
        <v>0.50183999999999995</v>
      </c>
      <c r="I32" s="10">
        <v>0</v>
      </c>
    </row>
    <row r="33" spans="1:9" hidden="1">
      <c r="A33" s="21"/>
      <c r="B33" s="54" t="s">
        <v>65</v>
      </c>
      <c r="C33" s="55" t="s">
        <v>31</v>
      </c>
      <c r="D33" s="54" t="s">
        <v>66</v>
      </c>
      <c r="E33" s="56"/>
      <c r="F33" s="57">
        <v>1</v>
      </c>
      <c r="G33" s="57">
        <v>1490.31</v>
      </c>
      <c r="H33" s="58">
        <f t="shared" si="4"/>
        <v>1.49031</v>
      </c>
      <c r="I33" s="10">
        <v>0</v>
      </c>
    </row>
    <row r="34" spans="1:9" hidden="1">
      <c r="A34" s="21"/>
      <c r="B34" s="73" t="s">
        <v>5</v>
      </c>
      <c r="C34" s="55"/>
      <c r="D34" s="54"/>
      <c r="E34" s="56"/>
      <c r="F34" s="57"/>
      <c r="G34" s="57"/>
      <c r="H34" s="58" t="s">
        <v>130</v>
      </c>
      <c r="I34" s="10"/>
    </row>
    <row r="35" spans="1:9" hidden="1">
      <c r="A35" s="21">
        <v>6</v>
      </c>
      <c r="B35" s="54" t="s">
        <v>25</v>
      </c>
      <c r="C35" s="55" t="s">
        <v>31</v>
      </c>
      <c r="D35" s="54"/>
      <c r="E35" s="56"/>
      <c r="F35" s="57">
        <v>6</v>
      </c>
      <c r="G35" s="57">
        <v>2003</v>
      </c>
      <c r="H35" s="58">
        <f>SUM(F35*G35/1000)</f>
        <v>12.018000000000001</v>
      </c>
      <c r="I35" s="10">
        <f>F35/6*G35</f>
        <v>2003</v>
      </c>
    </row>
    <row r="36" spans="1:9" hidden="1">
      <c r="A36" s="21">
        <v>7</v>
      </c>
      <c r="B36" s="54" t="s">
        <v>67</v>
      </c>
      <c r="C36" s="55" t="s">
        <v>28</v>
      </c>
      <c r="D36" s="54" t="s">
        <v>100</v>
      </c>
      <c r="E36" s="57">
        <v>26.07</v>
      </c>
      <c r="F36" s="57">
        <f>SUM(E36*30/1000)</f>
        <v>0.78210000000000002</v>
      </c>
      <c r="G36" s="57">
        <v>2757.78</v>
      </c>
      <c r="H36" s="58">
        <f t="shared" ref="H36:H41" si="5">SUM(F36*G36/1000)</f>
        <v>2.1568597380000001</v>
      </c>
      <c r="I36" s="10">
        <f t="shared" ref="I36:I39" si="6">F36/6*G36</f>
        <v>359.47662300000002</v>
      </c>
    </row>
    <row r="37" spans="1:9" ht="30" hidden="1">
      <c r="A37" s="21">
        <v>8</v>
      </c>
      <c r="B37" s="54" t="s">
        <v>68</v>
      </c>
      <c r="C37" s="55" t="s">
        <v>28</v>
      </c>
      <c r="D37" s="54" t="s">
        <v>84</v>
      </c>
      <c r="E37" s="57">
        <v>31.4</v>
      </c>
      <c r="F37" s="57">
        <f>SUM(E37*155/1000)</f>
        <v>4.867</v>
      </c>
      <c r="G37" s="57">
        <v>460.02</v>
      </c>
      <c r="H37" s="58">
        <f t="shared" si="5"/>
        <v>2.23891734</v>
      </c>
      <c r="I37" s="10">
        <f t="shared" si="6"/>
        <v>373.15289000000001</v>
      </c>
    </row>
    <row r="38" spans="1:9" hidden="1">
      <c r="A38" s="21">
        <v>9</v>
      </c>
      <c r="B38" s="54" t="s">
        <v>115</v>
      </c>
      <c r="C38" s="55" t="s">
        <v>55</v>
      </c>
      <c r="D38" s="124" t="s">
        <v>155</v>
      </c>
      <c r="E38" s="56"/>
      <c r="F38" s="57">
        <v>110</v>
      </c>
      <c r="G38" s="57">
        <v>314</v>
      </c>
      <c r="H38" s="58">
        <f t="shared" si="5"/>
        <v>34.54</v>
      </c>
      <c r="I38" s="10">
        <f>G38*65</f>
        <v>20410</v>
      </c>
    </row>
    <row r="39" spans="1:9" ht="60" hidden="1">
      <c r="A39" s="21">
        <v>10</v>
      </c>
      <c r="B39" s="54" t="s">
        <v>80</v>
      </c>
      <c r="C39" s="55" t="s">
        <v>85</v>
      </c>
      <c r="D39" s="54" t="s">
        <v>100</v>
      </c>
      <c r="E39" s="57">
        <v>26.07</v>
      </c>
      <c r="F39" s="57">
        <f>SUM(E39*30/1000)</f>
        <v>0.78210000000000002</v>
      </c>
      <c r="G39" s="57">
        <v>7611.16</v>
      </c>
      <c r="H39" s="58">
        <f t="shared" si="5"/>
        <v>5.9526882360000002</v>
      </c>
      <c r="I39" s="10">
        <f t="shared" si="6"/>
        <v>992.11470599999996</v>
      </c>
    </row>
    <row r="40" spans="1:9" hidden="1">
      <c r="A40" s="21">
        <v>11</v>
      </c>
      <c r="B40" s="54" t="s">
        <v>86</v>
      </c>
      <c r="C40" s="55" t="s">
        <v>85</v>
      </c>
      <c r="D40" s="54" t="s">
        <v>139</v>
      </c>
      <c r="E40" s="57">
        <v>26.07</v>
      </c>
      <c r="F40" s="57">
        <f>SUM(E40*24/1000)</f>
        <v>0.62568000000000001</v>
      </c>
      <c r="G40" s="57">
        <v>562.25</v>
      </c>
      <c r="H40" s="58">
        <f t="shared" si="5"/>
        <v>0.35178858000000002</v>
      </c>
      <c r="I40" s="10">
        <f>(F40/7.5*1.5)*G40</f>
        <v>70.357715999999996</v>
      </c>
    </row>
    <row r="41" spans="1:9" hidden="1">
      <c r="A41" s="21">
        <v>12</v>
      </c>
      <c r="B41" s="54" t="s">
        <v>69</v>
      </c>
      <c r="C41" s="55" t="s">
        <v>32</v>
      </c>
      <c r="D41" s="54"/>
      <c r="E41" s="56"/>
      <c r="F41" s="57">
        <v>0.3</v>
      </c>
      <c r="G41" s="57">
        <v>974.83</v>
      </c>
      <c r="H41" s="58">
        <f t="shared" si="5"/>
        <v>0.29244900000000001</v>
      </c>
      <c r="I41" s="10">
        <f>(F41/7.5*1.5)*G41</f>
        <v>58.489800000000002</v>
      </c>
    </row>
    <row r="42" spans="1:9">
      <c r="A42" s="201" t="s">
        <v>124</v>
      </c>
      <c r="B42" s="202"/>
      <c r="C42" s="202"/>
      <c r="D42" s="202"/>
      <c r="E42" s="202"/>
      <c r="F42" s="202"/>
      <c r="G42" s="202"/>
      <c r="H42" s="202"/>
      <c r="I42" s="203"/>
    </row>
    <row r="43" spans="1:9" ht="15.75" customHeight="1">
      <c r="A43" s="21">
        <v>12</v>
      </c>
      <c r="B43" s="159" t="s">
        <v>92</v>
      </c>
      <c r="C43" s="160" t="s">
        <v>85</v>
      </c>
      <c r="D43" s="159" t="s">
        <v>177</v>
      </c>
      <c r="E43" s="166">
        <v>1109.4000000000001</v>
      </c>
      <c r="F43" s="162">
        <f>SUM(E43*2/1000)</f>
        <v>2.2188000000000003</v>
      </c>
      <c r="G43" s="26">
        <v>1207.24</v>
      </c>
      <c r="H43" s="58">
        <f t="shared" ref="H43:H53" si="7">SUM(F43*G43/1000)</f>
        <v>2.6786241120000005</v>
      </c>
      <c r="I43" s="10">
        <f>1.1094*G43</f>
        <v>1339.312056</v>
      </c>
    </row>
    <row r="44" spans="1:9" ht="15" customHeight="1">
      <c r="A44" s="21">
        <v>13</v>
      </c>
      <c r="B44" s="159" t="s">
        <v>35</v>
      </c>
      <c r="C44" s="160" t="s">
        <v>85</v>
      </c>
      <c r="D44" s="159" t="s">
        <v>177</v>
      </c>
      <c r="E44" s="166">
        <v>66</v>
      </c>
      <c r="F44" s="162">
        <f>SUM(E44*2/1000)</f>
        <v>0.13200000000000001</v>
      </c>
      <c r="G44" s="26">
        <v>863.92</v>
      </c>
      <c r="H44" s="58">
        <f t="shared" si="7"/>
        <v>0.11403744</v>
      </c>
      <c r="I44" s="10">
        <f>0.066*G44</f>
        <v>57.018720000000002</v>
      </c>
    </row>
    <row r="45" spans="1:9" ht="14.25" customHeight="1">
      <c r="A45" s="21">
        <v>14</v>
      </c>
      <c r="B45" s="159" t="s">
        <v>36</v>
      </c>
      <c r="C45" s="160" t="s">
        <v>85</v>
      </c>
      <c r="D45" s="159" t="s">
        <v>177</v>
      </c>
      <c r="E45" s="166">
        <v>1563.2750000000001</v>
      </c>
      <c r="F45" s="162">
        <f>SUM(E45*2/1000)</f>
        <v>3.1265500000000004</v>
      </c>
      <c r="G45" s="26">
        <v>863.92</v>
      </c>
      <c r="H45" s="58">
        <f t="shared" si="7"/>
        <v>2.7010890760000001</v>
      </c>
      <c r="I45" s="10">
        <f>3.12655/2*G45</f>
        <v>1350.5445379999999</v>
      </c>
    </row>
    <row r="46" spans="1:9" ht="17.25" customHeight="1">
      <c r="A46" s="21">
        <v>15</v>
      </c>
      <c r="B46" s="159" t="s">
        <v>37</v>
      </c>
      <c r="C46" s="160" t="s">
        <v>85</v>
      </c>
      <c r="D46" s="159" t="s">
        <v>177</v>
      </c>
      <c r="E46" s="166">
        <v>1619.6</v>
      </c>
      <c r="F46" s="162">
        <f>SUM(E46*2/1000)</f>
        <v>3.2391999999999999</v>
      </c>
      <c r="G46" s="26">
        <v>904.65</v>
      </c>
      <c r="H46" s="58">
        <f t="shared" si="7"/>
        <v>2.9303422799999996</v>
      </c>
      <c r="I46" s="10">
        <f>3.2392/2*G46</f>
        <v>1465.1711399999999</v>
      </c>
    </row>
    <row r="47" spans="1:9" ht="15.75" customHeight="1">
      <c r="A47" s="21">
        <v>16</v>
      </c>
      <c r="B47" s="159" t="s">
        <v>33</v>
      </c>
      <c r="C47" s="160" t="s">
        <v>34</v>
      </c>
      <c r="D47" s="159" t="s">
        <v>177</v>
      </c>
      <c r="E47" s="166">
        <v>85.84</v>
      </c>
      <c r="F47" s="162">
        <f>SUM(E47*2/100)</f>
        <v>1.7168000000000001</v>
      </c>
      <c r="G47" s="26">
        <v>108.55</v>
      </c>
      <c r="H47" s="58">
        <f t="shared" si="7"/>
        <v>0.18635864000000002</v>
      </c>
      <c r="I47" s="10">
        <f>1.7168/2*G47</f>
        <v>93.179320000000004</v>
      </c>
    </row>
    <row r="48" spans="1:9" ht="17.25" customHeight="1">
      <c r="A48" s="21">
        <v>17</v>
      </c>
      <c r="B48" s="159" t="s">
        <v>56</v>
      </c>
      <c r="C48" s="160" t="s">
        <v>85</v>
      </c>
      <c r="D48" s="159" t="s">
        <v>177</v>
      </c>
      <c r="E48" s="166">
        <v>887.5</v>
      </c>
      <c r="F48" s="162">
        <f>SUM(E48*5/1000)</f>
        <v>4.4375</v>
      </c>
      <c r="G48" s="26">
        <v>1809.27</v>
      </c>
      <c r="H48" s="58">
        <f t="shared" si="7"/>
        <v>8.0286356249999997</v>
      </c>
      <c r="I48" s="10">
        <f>F48/5*G48</f>
        <v>1605.7271249999999</v>
      </c>
    </row>
    <row r="49" spans="1:9" ht="45">
      <c r="A49" s="21">
        <v>18</v>
      </c>
      <c r="B49" s="159" t="s">
        <v>87</v>
      </c>
      <c r="C49" s="160" t="s">
        <v>85</v>
      </c>
      <c r="D49" s="159" t="s">
        <v>177</v>
      </c>
      <c r="E49" s="166">
        <v>887.5</v>
      </c>
      <c r="F49" s="162">
        <f>SUM(E49*2/1000)</f>
        <v>1.7749999999999999</v>
      </c>
      <c r="G49" s="26">
        <v>1809.27</v>
      </c>
      <c r="H49" s="58">
        <f t="shared" si="7"/>
        <v>3.2114542499999996</v>
      </c>
      <c r="I49" s="10">
        <f>F49/2*G49</f>
        <v>1605.7271249999999</v>
      </c>
    </row>
    <row r="50" spans="1:9" ht="30">
      <c r="A50" s="21">
        <v>19</v>
      </c>
      <c r="B50" s="159" t="s">
        <v>88</v>
      </c>
      <c r="C50" s="160" t="s">
        <v>38</v>
      </c>
      <c r="D50" s="159" t="s">
        <v>177</v>
      </c>
      <c r="E50" s="166">
        <v>20</v>
      </c>
      <c r="F50" s="162">
        <f>SUM(E50*2/100)</f>
        <v>0.4</v>
      </c>
      <c r="G50" s="26">
        <v>4070.89</v>
      </c>
      <c r="H50" s="58">
        <f t="shared" si="7"/>
        <v>1.6283559999999999</v>
      </c>
      <c r="I50" s="10">
        <f t="shared" ref="I50:I51" si="8">F50/2*G50</f>
        <v>814.178</v>
      </c>
    </row>
    <row r="51" spans="1:9">
      <c r="A51" s="21">
        <v>20</v>
      </c>
      <c r="B51" s="159" t="s">
        <v>39</v>
      </c>
      <c r="C51" s="160" t="s">
        <v>40</v>
      </c>
      <c r="D51" s="159" t="s">
        <v>177</v>
      </c>
      <c r="E51" s="166">
        <v>1</v>
      </c>
      <c r="F51" s="162">
        <v>0.02</v>
      </c>
      <c r="G51" s="26">
        <v>8426.7199999999993</v>
      </c>
      <c r="H51" s="58">
        <f t="shared" si="7"/>
        <v>0.16853439999999997</v>
      </c>
      <c r="I51" s="10">
        <f t="shared" si="8"/>
        <v>84.267199999999988</v>
      </c>
    </row>
    <row r="52" spans="1:9" ht="18" hidden="1" customHeight="1">
      <c r="A52" s="21">
        <v>17</v>
      </c>
      <c r="B52" s="159" t="s">
        <v>98</v>
      </c>
      <c r="C52" s="160" t="s">
        <v>93</v>
      </c>
      <c r="D52" s="159" t="s">
        <v>70</v>
      </c>
      <c r="E52" s="166">
        <v>62</v>
      </c>
      <c r="F52" s="162">
        <f>SUM(E52*3)</f>
        <v>186</v>
      </c>
      <c r="G52" s="158">
        <v>290.39999999999998</v>
      </c>
      <c r="H52" s="58">
        <f t="shared" si="7"/>
        <v>54.014399999999995</v>
      </c>
      <c r="I52" s="10">
        <f>F52/3*G52</f>
        <v>18004.8</v>
      </c>
    </row>
    <row r="53" spans="1:9" ht="17.25" hidden="1" customHeight="1">
      <c r="A53" s="75">
        <v>18</v>
      </c>
      <c r="B53" s="159" t="s">
        <v>41</v>
      </c>
      <c r="C53" s="160" t="s">
        <v>93</v>
      </c>
      <c r="D53" s="159" t="s">
        <v>70</v>
      </c>
      <c r="E53" s="166">
        <v>124</v>
      </c>
      <c r="F53" s="162">
        <f>SUM(E53)*3</f>
        <v>372</v>
      </c>
      <c r="G53" s="158">
        <v>90</v>
      </c>
      <c r="H53" s="66">
        <f t="shared" si="7"/>
        <v>33.479999999999997</v>
      </c>
      <c r="I53" s="10">
        <f>F53/3*G53</f>
        <v>11160</v>
      </c>
    </row>
    <row r="54" spans="1:9">
      <c r="A54" s="204" t="s">
        <v>125</v>
      </c>
      <c r="B54" s="205"/>
      <c r="C54" s="205"/>
      <c r="D54" s="205"/>
      <c r="E54" s="205"/>
      <c r="F54" s="205"/>
      <c r="G54" s="205"/>
      <c r="H54" s="205"/>
      <c r="I54" s="206"/>
    </row>
    <row r="55" spans="1:9" hidden="1">
      <c r="A55" s="77"/>
      <c r="B55" s="78" t="s">
        <v>43</v>
      </c>
      <c r="C55" s="79"/>
      <c r="D55" s="80"/>
      <c r="E55" s="81"/>
      <c r="F55" s="82"/>
      <c r="G55" s="82"/>
      <c r="H55" s="83"/>
      <c r="I55" s="84"/>
    </row>
    <row r="56" spans="1:9" ht="30" hidden="1">
      <c r="A56" s="21">
        <v>13</v>
      </c>
      <c r="B56" s="54" t="s">
        <v>101</v>
      </c>
      <c r="C56" s="55" t="s">
        <v>83</v>
      </c>
      <c r="D56" s="54" t="s">
        <v>116</v>
      </c>
      <c r="E56" s="56">
        <v>126.94</v>
      </c>
      <c r="F56" s="57">
        <f>SUM(E56*6/100)</f>
        <v>7.6163999999999996</v>
      </c>
      <c r="G56" s="10">
        <v>2029.3</v>
      </c>
      <c r="H56" s="58">
        <f>SUM(F56*G56/1000)</f>
        <v>15.455960519999998</v>
      </c>
      <c r="I56" s="10">
        <f t="shared" ref="I56:I57" si="9">F56/6*G56</f>
        <v>2575.9934199999998</v>
      </c>
    </row>
    <row r="57" spans="1:9" ht="45" hidden="1">
      <c r="A57" s="21">
        <v>13</v>
      </c>
      <c r="B57" s="54" t="s">
        <v>77</v>
      </c>
      <c r="C57" s="55" t="s">
        <v>83</v>
      </c>
      <c r="D57" s="54" t="s">
        <v>29</v>
      </c>
      <c r="E57" s="15">
        <v>19.899999999999999</v>
      </c>
      <c r="F57" s="57">
        <f>SUM(E57*6/100)</f>
        <v>1.194</v>
      </c>
      <c r="G57" s="57">
        <v>2029.3</v>
      </c>
      <c r="H57" s="58">
        <f t="shared" ref="H57:H58" si="10">SUM(F57*G57/1000)</f>
        <v>2.4229841999999997</v>
      </c>
      <c r="I57" s="10">
        <f t="shared" si="9"/>
        <v>403.83069999999998</v>
      </c>
    </row>
    <row r="58" spans="1:9" hidden="1">
      <c r="A58" s="21">
        <v>9</v>
      </c>
      <c r="B58" s="63" t="s">
        <v>121</v>
      </c>
      <c r="C58" s="62" t="s">
        <v>122</v>
      </c>
      <c r="D58" s="125"/>
      <c r="E58" s="85"/>
      <c r="F58" s="65">
        <v>3</v>
      </c>
      <c r="G58" s="57">
        <v>1582.05</v>
      </c>
      <c r="H58" s="58">
        <f t="shared" si="10"/>
        <v>4.7461499999999992</v>
      </c>
      <c r="I58" s="10">
        <f>G58*1</f>
        <v>1582.05</v>
      </c>
    </row>
    <row r="59" spans="1:9">
      <c r="A59" s="21"/>
      <c r="B59" s="74" t="s">
        <v>44</v>
      </c>
      <c r="C59" s="62"/>
      <c r="D59" s="63"/>
      <c r="E59" s="64"/>
      <c r="F59" s="65"/>
      <c r="G59" s="49"/>
      <c r="H59" s="66"/>
      <c r="I59" s="84"/>
    </row>
    <row r="60" spans="1:9" hidden="1">
      <c r="A60" s="21"/>
      <c r="B60" s="63" t="s">
        <v>45</v>
      </c>
      <c r="C60" s="62" t="s">
        <v>83</v>
      </c>
      <c r="D60" s="63" t="s">
        <v>54</v>
      </c>
      <c r="E60" s="64">
        <v>450</v>
      </c>
      <c r="F60" s="57">
        <f>SUM(E60/100)</f>
        <v>4.5</v>
      </c>
      <c r="G60" s="10">
        <v>1040.8399999999999</v>
      </c>
      <c r="H60" s="67">
        <v>7.6349999999999998</v>
      </c>
      <c r="I60" s="10">
        <v>0</v>
      </c>
    </row>
    <row r="61" spans="1:9">
      <c r="A61" s="21">
        <v>21</v>
      </c>
      <c r="B61" s="149" t="s">
        <v>188</v>
      </c>
      <c r="C61" s="150" t="s">
        <v>150</v>
      </c>
      <c r="D61" s="149" t="s">
        <v>177</v>
      </c>
      <c r="E61" s="170">
        <v>48</v>
      </c>
      <c r="F61" s="171">
        <v>576</v>
      </c>
      <c r="G61" s="26">
        <v>1.4</v>
      </c>
      <c r="H61" s="67"/>
      <c r="I61" s="10">
        <f>G61*F61/12</f>
        <v>67.2</v>
      </c>
    </row>
    <row r="62" spans="1:9" ht="17.25" customHeight="1">
      <c r="A62" s="21"/>
      <c r="B62" s="74" t="s">
        <v>46</v>
      </c>
      <c r="C62" s="62"/>
      <c r="D62" s="63"/>
      <c r="E62" s="64"/>
      <c r="F62" s="65"/>
      <c r="G62" s="68"/>
      <c r="H62" s="66" t="s">
        <v>130</v>
      </c>
      <c r="I62" s="10"/>
    </row>
    <row r="63" spans="1:9" ht="16.5" hidden="1" customHeight="1">
      <c r="A63" s="21">
        <v>23</v>
      </c>
      <c r="B63" s="156" t="s">
        <v>47</v>
      </c>
      <c r="C63" s="153" t="s">
        <v>93</v>
      </c>
      <c r="D63" s="152" t="s">
        <v>177</v>
      </c>
      <c r="E63" s="14">
        <v>16</v>
      </c>
      <c r="F63" s="162">
        <f>E63</f>
        <v>16</v>
      </c>
      <c r="G63" s="26">
        <v>331.57</v>
      </c>
      <c r="H63" s="53">
        <f t="shared" ref="H63:H70" si="11">SUM(F63*G63/1000)</f>
        <v>5.3051199999999996</v>
      </c>
      <c r="I63" s="10">
        <f>G63*1</f>
        <v>331.57</v>
      </c>
    </row>
    <row r="64" spans="1:9" hidden="1">
      <c r="A64" s="21"/>
      <c r="B64" s="156" t="s">
        <v>48</v>
      </c>
      <c r="C64" s="153" t="s">
        <v>93</v>
      </c>
      <c r="D64" s="152" t="s">
        <v>185</v>
      </c>
      <c r="E64" s="14">
        <v>16</v>
      </c>
      <c r="F64" s="162">
        <f>E64</f>
        <v>16</v>
      </c>
      <c r="G64" s="26">
        <v>113.69</v>
      </c>
      <c r="H64" s="53">
        <f t="shared" si="11"/>
        <v>1.81904</v>
      </c>
      <c r="I64" s="10">
        <v>0</v>
      </c>
    </row>
    <row r="65" spans="1:9" hidden="1">
      <c r="A65" s="21">
        <v>28</v>
      </c>
      <c r="B65" s="156" t="s">
        <v>49</v>
      </c>
      <c r="C65" s="155" t="s">
        <v>94</v>
      </c>
      <c r="D65" s="152" t="s">
        <v>54</v>
      </c>
      <c r="E65" s="166">
        <v>13313</v>
      </c>
      <c r="F65" s="158">
        <f>SUM(E65/100)</f>
        <v>133.13</v>
      </c>
      <c r="G65" s="26">
        <v>316.3</v>
      </c>
      <c r="H65" s="53">
        <f t="shared" si="11"/>
        <v>42.109019000000004</v>
      </c>
      <c r="I65" s="10">
        <f>133.13*G65</f>
        <v>42109.019</v>
      </c>
    </row>
    <row r="66" spans="1:9" hidden="1">
      <c r="A66" s="21">
        <v>29</v>
      </c>
      <c r="B66" s="156" t="s">
        <v>50</v>
      </c>
      <c r="C66" s="153" t="s">
        <v>95</v>
      </c>
      <c r="D66" s="152"/>
      <c r="E66" s="166">
        <v>13313</v>
      </c>
      <c r="F66" s="26">
        <f>SUM(E66/1000)</f>
        <v>13.313000000000001</v>
      </c>
      <c r="G66" s="26">
        <v>246.31</v>
      </c>
      <c r="H66" s="53">
        <f t="shared" si="11"/>
        <v>3.2791250300000003</v>
      </c>
      <c r="I66" s="10">
        <f>13.313*G66</f>
        <v>3279.1250300000002</v>
      </c>
    </row>
    <row r="67" spans="1:9" hidden="1">
      <c r="A67" s="21">
        <v>30</v>
      </c>
      <c r="B67" s="156" t="s">
        <v>51</v>
      </c>
      <c r="C67" s="153" t="s">
        <v>75</v>
      </c>
      <c r="D67" s="152" t="s">
        <v>54</v>
      </c>
      <c r="E67" s="166">
        <v>2184</v>
      </c>
      <c r="F67" s="26">
        <f>SUM(E67/100)</f>
        <v>21.84</v>
      </c>
      <c r="G67" s="26">
        <v>3093.06</v>
      </c>
      <c r="H67" s="53">
        <f t="shared" si="11"/>
        <v>67.552430399999992</v>
      </c>
      <c r="I67" s="10">
        <f>21.84*G67</f>
        <v>67552.430399999997</v>
      </c>
    </row>
    <row r="68" spans="1:9" hidden="1">
      <c r="A68" s="21">
        <v>31</v>
      </c>
      <c r="B68" s="168" t="s">
        <v>96</v>
      </c>
      <c r="C68" s="153" t="s">
        <v>32</v>
      </c>
      <c r="D68" s="152"/>
      <c r="E68" s="166">
        <v>12.2</v>
      </c>
      <c r="F68" s="26">
        <f>SUM(E68)</f>
        <v>12.2</v>
      </c>
      <c r="G68" s="26">
        <v>49.36</v>
      </c>
      <c r="H68" s="53">
        <f t="shared" si="11"/>
        <v>0.60219200000000006</v>
      </c>
      <c r="I68" s="10">
        <f>12.2*G68</f>
        <v>602.19200000000001</v>
      </c>
    </row>
    <row r="69" spans="1:9" hidden="1">
      <c r="A69" s="21">
        <v>32</v>
      </c>
      <c r="B69" s="168" t="s">
        <v>131</v>
      </c>
      <c r="C69" s="153" t="s">
        <v>32</v>
      </c>
      <c r="D69" s="152"/>
      <c r="E69" s="166">
        <v>12.2</v>
      </c>
      <c r="F69" s="26">
        <f>SUM(E69)</f>
        <v>12.2</v>
      </c>
      <c r="G69" s="26">
        <v>56.66</v>
      </c>
      <c r="H69" s="53">
        <f t="shared" si="11"/>
        <v>0.69125199999999998</v>
      </c>
      <c r="I69" s="10">
        <f>12.2*G69</f>
        <v>691.25199999999995</v>
      </c>
    </row>
    <row r="70" spans="1:9" ht="17.25" customHeight="1">
      <c r="A70" s="21">
        <v>22</v>
      </c>
      <c r="B70" s="152" t="s">
        <v>57</v>
      </c>
      <c r="C70" s="153" t="s">
        <v>58</v>
      </c>
      <c r="D70" s="152" t="s">
        <v>173</v>
      </c>
      <c r="E70" s="14">
        <v>4</v>
      </c>
      <c r="F70" s="162">
        <f>E70</f>
        <v>4</v>
      </c>
      <c r="G70" s="26">
        <v>74.37</v>
      </c>
      <c r="H70" s="53">
        <f t="shared" si="11"/>
        <v>0.29748000000000002</v>
      </c>
      <c r="I70" s="10">
        <f>G70*F70</f>
        <v>297.48</v>
      </c>
    </row>
    <row r="71" spans="1:9" ht="15" customHeight="1">
      <c r="A71" s="21"/>
      <c r="B71" s="165" t="s">
        <v>71</v>
      </c>
      <c r="C71" s="13"/>
      <c r="D71" s="11"/>
      <c r="E71" s="15"/>
      <c r="F71" s="10"/>
      <c r="G71" s="10"/>
      <c r="H71" s="53" t="s">
        <v>130</v>
      </c>
      <c r="I71" s="10"/>
    </row>
    <row r="72" spans="1:9" hidden="1">
      <c r="A72" s="21"/>
      <c r="B72" s="11" t="s">
        <v>117</v>
      </c>
      <c r="C72" s="13" t="s">
        <v>93</v>
      </c>
      <c r="D72" s="11" t="s">
        <v>66</v>
      </c>
      <c r="E72" s="15">
        <v>1</v>
      </c>
      <c r="F72" s="10">
        <v>1</v>
      </c>
      <c r="G72" s="10">
        <v>1029.1199999999999</v>
      </c>
      <c r="H72" s="53">
        <f t="shared" ref="H72:H75" si="12">SUM(F72*G72/1000)</f>
        <v>1.0291199999999998</v>
      </c>
      <c r="I72" s="10">
        <v>0</v>
      </c>
    </row>
    <row r="73" spans="1:9" hidden="1">
      <c r="A73" s="21"/>
      <c r="B73" s="11" t="s">
        <v>118</v>
      </c>
      <c r="C73" s="13" t="s">
        <v>119</v>
      </c>
      <c r="D73" s="11"/>
      <c r="E73" s="15">
        <v>1</v>
      </c>
      <c r="F73" s="10">
        <f>E73</f>
        <v>1</v>
      </c>
      <c r="G73" s="10">
        <v>735</v>
      </c>
      <c r="H73" s="53">
        <f t="shared" si="12"/>
        <v>0.73499999999999999</v>
      </c>
      <c r="I73" s="10">
        <v>0</v>
      </c>
    </row>
    <row r="74" spans="1:9" hidden="1">
      <c r="A74" s="21"/>
      <c r="B74" s="11" t="s">
        <v>72</v>
      </c>
      <c r="C74" s="13" t="s">
        <v>73</v>
      </c>
      <c r="D74" s="11" t="s">
        <v>66</v>
      </c>
      <c r="E74" s="15">
        <v>3</v>
      </c>
      <c r="F74" s="10">
        <v>0.2</v>
      </c>
      <c r="G74" s="10">
        <v>657.87</v>
      </c>
      <c r="H74" s="53">
        <f t="shared" si="12"/>
        <v>0.13157400000000002</v>
      </c>
      <c r="I74" s="10">
        <v>0</v>
      </c>
    </row>
    <row r="75" spans="1:9" hidden="1">
      <c r="A75" s="21"/>
      <c r="B75" s="11" t="s">
        <v>120</v>
      </c>
      <c r="C75" s="13" t="s">
        <v>93</v>
      </c>
      <c r="D75" s="11" t="s">
        <v>66</v>
      </c>
      <c r="E75" s="15">
        <v>1</v>
      </c>
      <c r="F75" s="57">
        <f>SUM(E75)</f>
        <v>1</v>
      </c>
      <c r="G75" s="10">
        <v>1118.72</v>
      </c>
      <c r="H75" s="53">
        <f t="shared" si="12"/>
        <v>1.1187199999999999</v>
      </c>
      <c r="I75" s="10">
        <v>0</v>
      </c>
    </row>
    <row r="76" spans="1:9" hidden="1">
      <c r="A76" s="21"/>
      <c r="B76" s="39" t="s">
        <v>140</v>
      </c>
      <c r="C76" s="40" t="s">
        <v>93</v>
      </c>
      <c r="D76" s="11" t="s">
        <v>66</v>
      </c>
      <c r="E76" s="15">
        <v>1</v>
      </c>
      <c r="F76" s="49">
        <v>1</v>
      </c>
      <c r="G76" s="10">
        <v>1605.83</v>
      </c>
      <c r="H76" s="53">
        <f>SUM(F76*G76/1000)</f>
        <v>1.6058299999999999</v>
      </c>
      <c r="I76" s="10">
        <v>0</v>
      </c>
    </row>
    <row r="77" spans="1:9" ht="32.25" customHeight="1">
      <c r="A77" s="21">
        <v>23</v>
      </c>
      <c r="B77" s="91" t="s">
        <v>141</v>
      </c>
      <c r="C77" s="92" t="s">
        <v>93</v>
      </c>
      <c r="D77" s="152" t="s">
        <v>173</v>
      </c>
      <c r="E77" s="14">
        <v>2</v>
      </c>
      <c r="F77" s="162">
        <f>E77*12</f>
        <v>24</v>
      </c>
      <c r="G77" s="26">
        <v>425</v>
      </c>
      <c r="H77" s="53">
        <f t="shared" ref="H77" si="13">SUM(F77*G77/1000)</f>
        <v>10.199999999999999</v>
      </c>
      <c r="I77" s="10">
        <f>G77*2</f>
        <v>850</v>
      </c>
    </row>
    <row r="78" spans="1:9" hidden="1">
      <c r="A78" s="21"/>
      <c r="B78" s="71" t="s">
        <v>74</v>
      </c>
      <c r="C78" s="13"/>
      <c r="D78" s="11"/>
      <c r="E78" s="15"/>
      <c r="F78" s="10"/>
      <c r="G78" s="10" t="s">
        <v>130</v>
      </c>
      <c r="H78" s="53" t="s">
        <v>130</v>
      </c>
      <c r="I78" s="10"/>
    </row>
    <row r="79" spans="1:9" hidden="1">
      <c r="A79" s="21"/>
      <c r="B79" s="35" t="s">
        <v>99</v>
      </c>
      <c r="C79" s="13" t="s">
        <v>75</v>
      </c>
      <c r="D79" s="11"/>
      <c r="E79" s="15"/>
      <c r="F79" s="10">
        <v>0.1</v>
      </c>
      <c r="G79" s="10">
        <v>2949.85</v>
      </c>
      <c r="H79" s="53">
        <f t="shared" ref="H79" si="14">SUM(F79*G79/1000)</f>
        <v>0.294985</v>
      </c>
      <c r="I79" s="10">
        <v>0</v>
      </c>
    </row>
    <row r="80" spans="1:9" ht="20.25" customHeight="1">
      <c r="A80" s="21"/>
      <c r="B80" s="86" t="s">
        <v>142</v>
      </c>
      <c r="C80" s="40"/>
      <c r="D80" s="11"/>
      <c r="E80" s="15"/>
      <c r="F80" s="49"/>
      <c r="G80" s="10"/>
      <c r="H80" s="53"/>
      <c r="I80" s="10"/>
    </row>
    <row r="81" spans="1:9" ht="19.5" customHeight="1">
      <c r="A81" s="21">
        <v>24</v>
      </c>
      <c r="B81" s="152" t="s">
        <v>143</v>
      </c>
      <c r="C81" s="28" t="s">
        <v>144</v>
      </c>
      <c r="D81" s="152"/>
      <c r="E81" s="14">
        <v>3227.7</v>
      </c>
      <c r="F81" s="26">
        <f>SUM(E81*12)</f>
        <v>38732.399999999994</v>
      </c>
      <c r="G81" s="26">
        <v>2.6</v>
      </c>
      <c r="H81" s="53">
        <f t="shared" ref="H81" si="15">SUM(F81*G81/1000)</f>
        <v>100.70423999999998</v>
      </c>
      <c r="I81" s="10">
        <f>F81/12*G81</f>
        <v>8392.0199999999986</v>
      </c>
    </row>
    <row r="82" spans="1:9" ht="28.5">
      <c r="A82" s="21"/>
      <c r="B82" s="165" t="s">
        <v>89</v>
      </c>
      <c r="C82" s="71"/>
      <c r="D82" s="23"/>
      <c r="E82" s="24"/>
      <c r="F82" s="59"/>
      <c r="G82" s="59"/>
      <c r="H82" s="72">
        <f>SUM(H56:H79)</f>
        <v>167.03098215</v>
      </c>
      <c r="I82" s="59"/>
    </row>
    <row r="83" spans="1:9">
      <c r="A83" s="21">
        <v>25</v>
      </c>
      <c r="B83" s="11" t="s">
        <v>145</v>
      </c>
      <c r="C83" s="13"/>
      <c r="D83" s="11"/>
      <c r="E83" s="11"/>
      <c r="F83" s="10">
        <v>1</v>
      </c>
      <c r="G83" s="10">
        <v>16777.7</v>
      </c>
      <c r="H83" s="53">
        <f>G83*F83/1000</f>
        <v>16.777699999999999</v>
      </c>
      <c r="I83" s="10">
        <f>G83*1</f>
        <v>16777.7</v>
      </c>
    </row>
    <row r="84" spans="1:9" hidden="1">
      <c r="A84" s="21"/>
      <c r="B84" s="11" t="s">
        <v>146</v>
      </c>
      <c r="C84" s="13"/>
      <c r="D84" s="11"/>
      <c r="E84" s="11"/>
      <c r="F84" s="10">
        <v>62</v>
      </c>
      <c r="G84" s="10">
        <v>700</v>
      </c>
      <c r="H84" s="53">
        <f t="shared" ref="H84" si="16">G84*F84/1000</f>
        <v>43.4</v>
      </c>
      <c r="I84" s="10">
        <v>0</v>
      </c>
    </row>
    <row r="85" spans="1:9">
      <c r="A85" s="201" t="s">
        <v>126</v>
      </c>
      <c r="B85" s="202"/>
      <c r="C85" s="202"/>
      <c r="D85" s="202"/>
      <c r="E85" s="202"/>
      <c r="F85" s="202"/>
      <c r="G85" s="202"/>
      <c r="H85" s="202"/>
      <c r="I85" s="203"/>
    </row>
    <row r="86" spans="1:9" ht="17.25" customHeight="1">
      <c r="A86" s="21">
        <v>26</v>
      </c>
      <c r="B86" s="159" t="s">
        <v>97</v>
      </c>
      <c r="C86" s="153" t="s">
        <v>55</v>
      </c>
      <c r="D86" s="38"/>
      <c r="E86" s="26">
        <v>3227.7</v>
      </c>
      <c r="F86" s="26">
        <f>SUM(E86*12)</f>
        <v>38732.399999999994</v>
      </c>
      <c r="G86" s="26">
        <v>3.5</v>
      </c>
      <c r="H86" s="53">
        <f t="shared" ref="H86" si="17">G86*F86/1000</f>
        <v>135.56339999999997</v>
      </c>
      <c r="I86" s="10">
        <f>F86/12*G86</f>
        <v>11296.949999999997</v>
      </c>
    </row>
    <row r="87" spans="1:9" ht="28.5" customHeight="1">
      <c r="A87" s="21">
        <v>27</v>
      </c>
      <c r="B87" s="152" t="s">
        <v>186</v>
      </c>
      <c r="C87" s="153" t="s">
        <v>150</v>
      </c>
      <c r="D87" s="90"/>
      <c r="E87" s="166">
        <f>E86</f>
        <v>3227.7</v>
      </c>
      <c r="F87" s="26">
        <f>E87*12</f>
        <v>38732.399999999994</v>
      </c>
      <c r="G87" s="26">
        <v>3.2</v>
      </c>
      <c r="H87" s="53">
        <f>F87*G87/1000</f>
        <v>123.94367999999999</v>
      </c>
      <c r="I87" s="10">
        <f>F87/12*G87</f>
        <v>10328.64</v>
      </c>
    </row>
    <row r="88" spans="1:9" ht="28.5" hidden="1" customHeight="1">
      <c r="A88" s="21">
        <v>29</v>
      </c>
      <c r="B88" s="152" t="s">
        <v>187</v>
      </c>
      <c r="C88" s="153" t="s">
        <v>150</v>
      </c>
      <c r="D88" s="90"/>
      <c r="E88" s="169">
        <v>3227.7</v>
      </c>
      <c r="F88" s="26">
        <f>E88*1</f>
        <v>3227.7</v>
      </c>
      <c r="G88" s="26">
        <v>3.2</v>
      </c>
      <c r="H88" s="53"/>
      <c r="I88" s="10">
        <f>G88*F88</f>
        <v>10328.64</v>
      </c>
    </row>
    <row r="89" spans="1:9">
      <c r="A89" s="21"/>
      <c r="B89" s="27" t="s">
        <v>78</v>
      </c>
      <c r="C89" s="71"/>
      <c r="D89" s="70"/>
      <c r="E89" s="59"/>
      <c r="F89" s="59"/>
      <c r="G89" s="59"/>
      <c r="H89" s="72">
        <f>SUM(H87)</f>
        <v>123.94367999999999</v>
      </c>
      <c r="I89" s="59">
        <f>I87+I86+I81+I77+I70+I61+I51+I50+I49+I48+I47+I46+I45+I44+I43+I30+I29+I25+I24+I23+I22+I21+I20+I18+I17+I16+I83</f>
        <v>66960.877812333332</v>
      </c>
    </row>
    <row r="90" spans="1:9">
      <c r="A90" s="219" t="s">
        <v>60</v>
      </c>
      <c r="B90" s="219"/>
      <c r="C90" s="219"/>
      <c r="D90" s="219"/>
      <c r="E90" s="219"/>
      <c r="F90" s="219"/>
      <c r="G90" s="219"/>
      <c r="H90" s="219"/>
      <c r="I90" s="219"/>
    </row>
    <row r="91" spans="1:9" ht="16.5" customHeight="1">
      <c r="A91" s="77">
        <v>28</v>
      </c>
      <c r="B91" s="91" t="s">
        <v>181</v>
      </c>
      <c r="C91" s="92" t="s">
        <v>40</v>
      </c>
      <c r="D91" s="90" t="s">
        <v>172</v>
      </c>
      <c r="E91" s="26"/>
      <c r="F91" s="26">
        <v>7.0000000000000007E-2</v>
      </c>
      <c r="G91" s="26">
        <v>28224.75</v>
      </c>
      <c r="H91" s="84"/>
      <c r="I91" s="84">
        <v>0</v>
      </c>
    </row>
    <row r="92" spans="1:9" ht="16.5" customHeight="1">
      <c r="A92" s="21">
        <v>29</v>
      </c>
      <c r="B92" s="91" t="s">
        <v>151</v>
      </c>
      <c r="C92" s="92" t="s">
        <v>136</v>
      </c>
      <c r="D92" s="90" t="s">
        <v>282</v>
      </c>
      <c r="E92" s="26"/>
      <c r="F92" s="26">
        <v>118</v>
      </c>
      <c r="G92" s="26">
        <v>295.36</v>
      </c>
      <c r="H92" s="10"/>
      <c r="I92" s="10">
        <v>0</v>
      </c>
    </row>
    <row r="93" spans="1:9" ht="15.75" customHeight="1">
      <c r="A93" s="21">
        <v>30</v>
      </c>
      <c r="B93" s="91" t="s">
        <v>167</v>
      </c>
      <c r="C93" s="92" t="s">
        <v>152</v>
      </c>
      <c r="D93" s="90"/>
      <c r="E93" s="26"/>
      <c r="F93" s="26">
        <v>14</v>
      </c>
      <c r="G93" s="26">
        <v>236.08</v>
      </c>
      <c r="H93" s="10"/>
      <c r="I93" s="10">
        <f>G93*1</f>
        <v>236.08</v>
      </c>
    </row>
    <row r="94" spans="1:9" ht="33.75" customHeight="1">
      <c r="A94" s="21">
        <v>31</v>
      </c>
      <c r="B94" s="91" t="s">
        <v>237</v>
      </c>
      <c r="C94" s="92" t="s">
        <v>28</v>
      </c>
      <c r="D94" s="90"/>
      <c r="E94" s="26"/>
      <c r="F94" s="26">
        <f>1.325+1.325+1.325+1.325</f>
        <v>5.3</v>
      </c>
      <c r="G94" s="26">
        <v>241.69</v>
      </c>
      <c r="H94" s="10"/>
      <c r="I94" s="10">
        <f>G94*1.325</f>
        <v>320.23924999999997</v>
      </c>
    </row>
    <row r="95" spans="1:9" ht="14.25" customHeight="1">
      <c r="A95" s="21"/>
      <c r="B95" s="33" t="s">
        <v>52</v>
      </c>
      <c r="C95" s="29"/>
      <c r="D95" s="36"/>
      <c r="E95" s="29">
        <v>1</v>
      </c>
      <c r="F95" s="29"/>
      <c r="G95" s="29"/>
      <c r="H95" s="29"/>
      <c r="I95" s="24">
        <f>SUM(I91:I94)</f>
        <v>556.31925000000001</v>
      </c>
    </row>
    <row r="96" spans="1:9">
      <c r="A96" s="21"/>
      <c r="B96" s="35" t="s">
        <v>76</v>
      </c>
      <c r="C96" s="12"/>
      <c r="D96" s="12"/>
      <c r="E96" s="30"/>
      <c r="F96" s="30"/>
      <c r="G96" s="31"/>
      <c r="H96" s="31"/>
      <c r="I96" s="14">
        <v>0</v>
      </c>
    </row>
    <row r="97" spans="1:9">
      <c r="A97" s="37"/>
      <c r="B97" s="34" t="s">
        <v>147</v>
      </c>
      <c r="C97" s="25"/>
      <c r="D97" s="25"/>
      <c r="E97" s="25"/>
      <c r="F97" s="25"/>
      <c r="G97" s="25"/>
      <c r="H97" s="25"/>
      <c r="I97" s="32">
        <f>I89+I95</f>
        <v>67517.197062333333</v>
      </c>
    </row>
    <row r="98" spans="1:9" ht="15.75">
      <c r="A98" s="210" t="s">
        <v>283</v>
      </c>
      <c r="B98" s="210"/>
      <c r="C98" s="210"/>
      <c r="D98" s="210"/>
      <c r="E98" s="210"/>
      <c r="F98" s="210"/>
      <c r="G98" s="210"/>
      <c r="H98" s="210"/>
      <c r="I98" s="210"/>
    </row>
    <row r="99" spans="1:9" ht="15.75">
      <c r="A99" s="43"/>
      <c r="B99" s="211" t="s">
        <v>284</v>
      </c>
      <c r="C99" s="211"/>
      <c r="D99" s="211"/>
      <c r="E99" s="211"/>
      <c r="F99" s="211"/>
      <c r="G99" s="211"/>
      <c r="H99" s="52"/>
      <c r="I99" s="2"/>
    </row>
    <row r="100" spans="1:9">
      <c r="A100" s="148"/>
      <c r="B100" s="195" t="s">
        <v>6</v>
      </c>
      <c r="C100" s="195"/>
      <c r="D100" s="195"/>
      <c r="E100" s="195"/>
      <c r="F100" s="195"/>
      <c r="G100" s="195"/>
      <c r="H100" s="16"/>
      <c r="I100" s="4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>
      <c r="A102" s="212" t="s">
        <v>7</v>
      </c>
      <c r="B102" s="212"/>
      <c r="C102" s="212"/>
      <c r="D102" s="212"/>
      <c r="E102" s="212"/>
      <c r="F102" s="212"/>
      <c r="G102" s="212"/>
      <c r="H102" s="212"/>
      <c r="I102" s="212"/>
    </row>
    <row r="103" spans="1:9" ht="15.75">
      <c r="A103" s="212" t="s">
        <v>8</v>
      </c>
      <c r="B103" s="212"/>
      <c r="C103" s="212"/>
      <c r="D103" s="212"/>
      <c r="E103" s="212"/>
      <c r="F103" s="212"/>
      <c r="G103" s="212"/>
      <c r="H103" s="212"/>
      <c r="I103" s="212"/>
    </row>
    <row r="104" spans="1:9" ht="15.75">
      <c r="A104" s="199" t="s">
        <v>61</v>
      </c>
      <c r="B104" s="199"/>
      <c r="C104" s="199"/>
      <c r="D104" s="199"/>
      <c r="E104" s="199"/>
      <c r="F104" s="199"/>
      <c r="G104" s="199"/>
      <c r="H104" s="199"/>
      <c r="I104" s="199"/>
    </row>
    <row r="105" spans="1:9" ht="15.75">
      <c r="A105" s="8"/>
    </row>
    <row r="106" spans="1:9" ht="15.75">
      <c r="A106" s="193" t="s">
        <v>9</v>
      </c>
      <c r="B106" s="193"/>
      <c r="C106" s="193"/>
      <c r="D106" s="193"/>
      <c r="E106" s="193"/>
      <c r="F106" s="193"/>
      <c r="G106" s="193"/>
      <c r="H106" s="193"/>
      <c r="I106" s="193"/>
    </row>
    <row r="107" spans="1:9" ht="15.75">
      <c r="A107" s="3"/>
    </row>
    <row r="108" spans="1:9" ht="15.75">
      <c r="B108" s="145" t="s">
        <v>10</v>
      </c>
      <c r="C108" s="194" t="s">
        <v>190</v>
      </c>
      <c r="D108" s="194"/>
      <c r="E108" s="194"/>
      <c r="F108" s="50"/>
      <c r="I108" s="147"/>
    </row>
    <row r="109" spans="1:9">
      <c r="A109" s="148"/>
      <c r="C109" s="195" t="s">
        <v>11</v>
      </c>
      <c r="D109" s="195"/>
      <c r="E109" s="195"/>
      <c r="F109" s="16"/>
      <c r="I109" s="146" t="s">
        <v>12</v>
      </c>
    </row>
    <row r="110" spans="1:9" ht="15.75">
      <c r="A110" s="17"/>
      <c r="C110" s="9"/>
      <c r="D110" s="9"/>
      <c r="G110" s="9"/>
      <c r="H110" s="9"/>
    </row>
    <row r="111" spans="1:9" ht="15.75">
      <c r="B111" s="145" t="s">
        <v>13</v>
      </c>
      <c r="C111" s="196"/>
      <c r="D111" s="196"/>
      <c r="E111" s="196"/>
      <c r="F111" s="51"/>
      <c r="I111" s="147"/>
    </row>
    <row r="112" spans="1:9">
      <c r="A112" s="148"/>
      <c r="C112" s="197" t="s">
        <v>11</v>
      </c>
      <c r="D112" s="197"/>
      <c r="E112" s="197"/>
      <c r="F112" s="148"/>
      <c r="I112" s="146" t="s">
        <v>12</v>
      </c>
    </row>
    <row r="113" spans="1:9" ht="15.75">
      <c r="A113" s="3" t="s">
        <v>14</v>
      </c>
    </row>
    <row r="114" spans="1:9">
      <c r="A114" s="198" t="s">
        <v>15</v>
      </c>
      <c r="B114" s="198"/>
      <c r="C114" s="198"/>
      <c r="D114" s="198"/>
      <c r="E114" s="198"/>
      <c r="F114" s="198"/>
      <c r="G114" s="198"/>
      <c r="H114" s="198"/>
      <c r="I114" s="198"/>
    </row>
    <row r="115" spans="1:9" ht="42.75" customHeight="1">
      <c r="A115" s="192" t="s">
        <v>16</v>
      </c>
      <c r="B115" s="192"/>
      <c r="C115" s="192"/>
      <c r="D115" s="192"/>
      <c r="E115" s="192"/>
      <c r="F115" s="192"/>
      <c r="G115" s="192"/>
      <c r="H115" s="192"/>
      <c r="I115" s="192"/>
    </row>
    <row r="116" spans="1:9" ht="33" customHeight="1">
      <c r="A116" s="192" t="s">
        <v>17</v>
      </c>
      <c r="B116" s="192"/>
      <c r="C116" s="192"/>
      <c r="D116" s="192"/>
      <c r="E116" s="192"/>
      <c r="F116" s="192"/>
      <c r="G116" s="192"/>
      <c r="H116" s="192"/>
      <c r="I116" s="192"/>
    </row>
    <row r="117" spans="1:9" ht="34.5" customHeight="1">
      <c r="A117" s="192" t="s">
        <v>21</v>
      </c>
      <c r="B117" s="192"/>
      <c r="C117" s="192"/>
      <c r="D117" s="192"/>
      <c r="E117" s="192"/>
      <c r="F117" s="192"/>
      <c r="G117" s="192"/>
      <c r="H117" s="192"/>
      <c r="I117" s="192"/>
    </row>
    <row r="118" spans="1:9" ht="15.75">
      <c r="A118" s="192" t="s">
        <v>20</v>
      </c>
      <c r="B118" s="192"/>
      <c r="C118" s="192"/>
      <c r="D118" s="192"/>
      <c r="E118" s="192"/>
      <c r="F118" s="192"/>
      <c r="G118" s="192"/>
      <c r="H118" s="192"/>
      <c r="I118" s="192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7:I27"/>
    <mergeCell ref="A42:I42"/>
    <mergeCell ref="A54:I54"/>
    <mergeCell ref="A85:I85"/>
    <mergeCell ref="A90:I90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2022-02-03T08:20:22Z</cp:lastPrinted>
  <dcterms:created xsi:type="dcterms:W3CDTF">2016-03-25T08:33:47Z</dcterms:created>
  <dcterms:modified xsi:type="dcterms:W3CDTF">2022-02-03T08:21:09Z</dcterms:modified>
</cp:coreProperties>
</file>