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'Шахт.,7'!$A$1:$U$128</definedName>
  </definedNames>
  <calcPr calcId="124519"/>
</workbook>
</file>

<file path=xl/calcChain.xml><?xml version="1.0" encoding="utf-8"?>
<calcChain xmlns="http://schemas.openxmlformats.org/spreadsheetml/2006/main">
  <c r="U109" i="1"/>
  <c r="S97"/>
  <c r="Q87"/>
  <c r="U108"/>
  <c r="S108"/>
  <c r="H108"/>
  <c r="S94"/>
  <c r="S107" l="1"/>
  <c r="U107" s="1"/>
  <c r="H107"/>
  <c r="S93" l="1"/>
  <c r="S60" l="1"/>
  <c r="U106"/>
  <c r="N106"/>
  <c r="H106"/>
  <c r="H105"/>
  <c r="L43"/>
  <c r="N14"/>
  <c r="U11"/>
  <c r="T11"/>
  <c r="I11"/>
  <c r="U105"/>
  <c r="Q105"/>
  <c r="T60"/>
  <c r="R60"/>
  <c r="U85"/>
  <c r="U84"/>
  <c r="U94"/>
  <c r="S69"/>
  <c r="T86"/>
  <c r="S86"/>
  <c r="N86"/>
  <c r="T112"/>
  <c r="S112"/>
  <c r="T76"/>
  <c r="S76"/>
  <c r="T74"/>
  <c r="S74"/>
  <c r="T58"/>
  <c r="S58"/>
  <c r="T55"/>
  <c r="S55"/>
  <c r="T48"/>
  <c r="T40"/>
  <c r="S40"/>
  <c r="T39"/>
  <c r="S39"/>
  <c r="T38"/>
  <c r="S38"/>
  <c r="S34"/>
  <c r="T34"/>
  <c r="T33"/>
  <c r="S33"/>
  <c r="T32"/>
  <c r="S32"/>
  <c r="T29"/>
  <c r="S29"/>
  <c r="T26"/>
  <c r="S26"/>
  <c r="T18"/>
  <c r="S18"/>
  <c r="T16"/>
  <c r="S16"/>
  <c r="T15"/>
  <c r="S15"/>
  <c r="T13"/>
  <c r="S13"/>
  <c r="T12"/>
  <c r="S12"/>
  <c r="S11"/>
  <c r="H104"/>
  <c r="U103"/>
  <c r="R103"/>
  <c r="H103"/>
  <c r="U104"/>
  <c r="R104"/>
  <c r="U102"/>
  <c r="R102"/>
  <c r="H102"/>
  <c r="R87"/>
  <c r="N87"/>
  <c r="U101"/>
  <c r="O101"/>
  <c r="H101"/>
  <c r="Q92"/>
  <c r="K87"/>
  <c r="U87"/>
  <c r="U100"/>
  <c r="O100"/>
  <c r="H100"/>
  <c r="U99"/>
  <c r="P99"/>
  <c r="H99"/>
  <c r="R98"/>
  <c r="U98" s="1"/>
  <c r="H98"/>
  <c r="U97"/>
  <c r="R97"/>
  <c r="H97"/>
  <c r="P93"/>
  <c r="N93"/>
  <c r="O93"/>
  <c r="O60"/>
  <c r="U96"/>
  <c r="P96"/>
  <c r="R96"/>
  <c r="H96"/>
  <c r="R88"/>
  <c r="R69"/>
  <c r="U95"/>
  <c r="O95"/>
  <c r="H95"/>
  <c r="R94"/>
  <c r="H94"/>
  <c r="O86"/>
  <c r="P86"/>
  <c r="Q86"/>
  <c r="R86"/>
  <c r="Q60"/>
  <c r="N60"/>
  <c r="R112"/>
  <c r="Q112"/>
  <c r="P112"/>
  <c r="O112"/>
  <c r="R76"/>
  <c r="Q76"/>
  <c r="P76"/>
  <c r="O76"/>
  <c r="R74"/>
  <c r="Q74"/>
  <c r="P74"/>
  <c r="O74"/>
  <c r="Q67"/>
  <c r="R58"/>
  <c r="Q58"/>
  <c r="P58"/>
  <c r="O58"/>
  <c r="P52"/>
  <c r="Q51"/>
  <c r="Q50"/>
  <c r="Q49"/>
  <c r="Q48"/>
  <c r="R47"/>
  <c r="R46"/>
  <c r="R45"/>
  <c r="R44"/>
  <c r="R43"/>
  <c r="R29"/>
  <c r="Q29"/>
  <c r="P29"/>
  <c r="O29"/>
  <c r="R26"/>
  <c r="Q26"/>
  <c r="P26"/>
  <c r="O26"/>
  <c r="R25"/>
  <c r="Q25"/>
  <c r="P25"/>
  <c r="O25"/>
  <c r="R23"/>
  <c r="Q23"/>
  <c r="P23"/>
  <c r="O23"/>
  <c r="R22"/>
  <c r="Q22"/>
  <c r="P22"/>
  <c r="O22"/>
  <c r="R18"/>
  <c r="Q18"/>
  <c r="P18"/>
  <c r="O18"/>
  <c r="R16"/>
  <c r="Q16"/>
  <c r="P16"/>
  <c r="O16"/>
  <c r="R15"/>
  <c r="Q15"/>
  <c r="P15"/>
  <c r="O15"/>
  <c r="R13"/>
  <c r="Q13"/>
  <c r="P13"/>
  <c r="O13"/>
  <c r="R12"/>
  <c r="Q12"/>
  <c r="P12"/>
  <c r="O12"/>
  <c r="R11"/>
  <c r="Q11"/>
  <c r="P11"/>
  <c r="O11"/>
  <c r="N112"/>
  <c r="N76"/>
  <c r="N74"/>
  <c r="N73"/>
  <c r="N66"/>
  <c r="N65"/>
  <c r="N64"/>
  <c r="N63"/>
  <c r="N62"/>
  <c r="N58"/>
  <c r="M58"/>
  <c r="N29"/>
  <c r="N26"/>
  <c r="N25"/>
  <c r="N24"/>
  <c r="N23"/>
  <c r="N22"/>
  <c r="N19"/>
  <c r="N18"/>
  <c r="N17"/>
  <c r="N16"/>
  <c r="N15"/>
  <c r="N13"/>
  <c r="N12"/>
  <c r="N11"/>
  <c r="U93"/>
  <c r="M93"/>
  <c r="H93"/>
  <c r="M60"/>
  <c r="M86"/>
  <c r="M112"/>
  <c r="M76"/>
  <c r="M74"/>
  <c r="L52"/>
  <c r="M52"/>
  <c r="M48"/>
  <c r="M29"/>
  <c r="M26"/>
  <c r="M25"/>
  <c r="F25"/>
  <c r="M23"/>
  <c r="M22"/>
  <c r="M18"/>
  <c r="M16"/>
  <c r="M15"/>
  <c r="M13"/>
  <c r="M12"/>
  <c r="M11"/>
  <c r="L47"/>
  <c r="L46"/>
  <c r="L45"/>
  <c r="L44"/>
  <c r="U92"/>
  <c r="L92"/>
  <c r="H92"/>
  <c r="L84"/>
  <c r="L86"/>
  <c r="L112"/>
  <c r="L76"/>
  <c r="L74"/>
  <c r="L58"/>
  <c r="L55"/>
  <c r="L40"/>
  <c r="L39"/>
  <c r="L38"/>
  <c r="L34"/>
  <c r="L33"/>
  <c r="L32"/>
  <c r="L29"/>
  <c r="L26"/>
  <c r="L18"/>
  <c r="L16"/>
  <c r="L15"/>
  <c r="L13"/>
  <c r="L12"/>
  <c r="L11"/>
  <c r="F73"/>
  <c r="U73"/>
  <c r="H73"/>
  <c r="K88"/>
  <c r="U88" l="1"/>
  <c r="U91"/>
  <c r="U90"/>
  <c r="K91"/>
  <c r="K90"/>
  <c r="H91"/>
  <c r="H90"/>
  <c r="U89"/>
  <c r="K89"/>
  <c r="H89"/>
  <c r="H88"/>
  <c r="H87"/>
  <c r="H109" s="1"/>
  <c r="K86"/>
  <c r="I86"/>
  <c r="K69"/>
  <c r="I85"/>
  <c r="K84"/>
  <c r="K112"/>
  <c r="K76"/>
  <c r="K74"/>
  <c r="K58"/>
  <c r="K55"/>
  <c r="K40"/>
  <c r="K39"/>
  <c r="K38"/>
  <c r="K34"/>
  <c r="K33"/>
  <c r="K32"/>
  <c r="U32" s="1"/>
  <c r="K29"/>
  <c r="K26"/>
  <c r="K18"/>
  <c r="K16"/>
  <c r="K15"/>
  <c r="K13"/>
  <c r="K12"/>
  <c r="K11"/>
  <c r="J69"/>
  <c r="J84"/>
  <c r="J112"/>
  <c r="J76"/>
  <c r="J74"/>
  <c r="U74" s="1"/>
  <c r="U75" s="1"/>
  <c r="J58"/>
  <c r="J55"/>
  <c r="J51"/>
  <c r="J50"/>
  <c r="J49"/>
  <c r="J48"/>
  <c r="J40"/>
  <c r="J39"/>
  <c r="J38"/>
  <c r="J34"/>
  <c r="J33"/>
  <c r="J32"/>
  <c r="J29"/>
  <c r="J26"/>
  <c r="J18"/>
  <c r="U18" s="1"/>
  <c r="J16"/>
  <c r="J15"/>
  <c r="J13"/>
  <c r="J12"/>
  <c r="J11"/>
  <c r="I52"/>
  <c r="F52"/>
  <c r="U76"/>
  <c r="U77" s="1"/>
  <c r="U71"/>
  <c r="U69"/>
  <c r="U67"/>
  <c r="U66"/>
  <c r="U65"/>
  <c r="U64"/>
  <c r="U63"/>
  <c r="U62"/>
  <c r="U61"/>
  <c r="U60"/>
  <c r="U57"/>
  <c r="U58"/>
  <c r="U55"/>
  <c r="U52"/>
  <c r="U51"/>
  <c r="U50"/>
  <c r="U49"/>
  <c r="U48"/>
  <c r="U47"/>
  <c r="U46"/>
  <c r="U45"/>
  <c r="U44"/>
  <c r="U43"/>
  <c r="U40"/>
  <c r="U39"/>
  <c r="U38"/>
  <c r="U34"/>
  <c r="U33"/>
  <c r="U29"/>
  <c r="U28"/>
  <c r="U27"/>
  <c r="U26"/>
  <c r="U25"/>
  <c r="U24"/>
  <c r="U23"/>
  <c r="U22"/>
  <c r="U19"/>
  <c r="U17"/>
  <c r="U16"/>
  <c r="U15"/>
  <c r="U14"/>
  <c r="U13"/>
  <c r="U12"/>
  <c r="I76"/>
  <c r="I74"/>
  <c r="I58"/>
  <c r="I55"/>
  <c r="I48"/>
  <c r="I40"/>
  <c r="I39"/>
  <c r="I38"/>
  <c r="I34"/>
  <c r="I33"/>
  <c r="I32"/>
  <c r="F34"/>
  <c r="I29"/>
  <c r="I26"/>
  <c r="I18"/>
  <c r="I16"/>
  <c r="I15"/>
  <c r="I13"/>
  <c r="I12"/>
  <c r="H86"/>
  <c r="U86"/>
  <c r="U72" l="1"/>
  <c r="U53"/>
  <c r="U41"/>
  <c r="U30"/>
  <c r="U20"/>
  <c r="H85"/>
  <c r="I84"/>
  <c r="H84"/>
  <c r="H69"/>
  <c r="I69"/>
  <c r="H58"/>
  <c r="U78" l="1"/>
  <c r="U112" s="1"/>
  <c r="C125"/>
  <c r="F50"/>
  <c r="C124" l="1"/>
  <c r="C128"/>
  <c r="F38"/>
  <c r="H38" s="1"/>
  <c r="F33"/>
  <c r="F29"/>
  <c r="E13"/>
  <c r="F13" s="1"/>
  <c r="H116" l="1"/>
  <c r="H115"/>
  <c r="F112"/>
  <c r="H111"/>
  <c r="E76"/>
  <c r="H80" s="1"/>
  <c r="F74"/>
  <c r="H71"/>
  <c r="F67"/>
  <c r="H67" s="1"/>
  <c r="F66"/>
  <c r="H66" s="1"/>
  <c r="F65"/>
  <c r="H65" s="1"/>
  <c r="F64"/>
  <c r="H64" s="1"/>
  <c r="F63"/>
  <c r="H63" s="1"/>
  <c r="F62"/>
  <c r="H62" s="1"/>
  <c r="H61"/>
  <c r="H60"/>
  <c r="F55"/>
  <c r="H55" s="1"/>
  <c r="H52"/>
  <c r="H51"/>
  <c r="H50"/>
  <c r="F49"/>
  <c r="H49" s="1"/>
  <c r="F48"/>
  <c r="F47"/>
  <c r="H47" s="1"/>
  <c r="F46"/>
  <c r="H46" s="1"/>
  <c r="F45"/>
  <c r="H45" s="1"/>
  <c r="F44"/>
  <c r="H44" s="1"/>
  <c r="F43"/>
  <c r="H43" s="1"/>
  <c r="H40"/>
  <c r="F39"/>
  <c r="H39" s="1"/>
  <c r="F37"/>
  <c r="H37" s="1"/>
  <c r="F36"/>
  <c r="H36" s="1"/>
  <c r="F35"/>
  <c r="H35" s="1"/>
  <c r="H34"/>
  <c r="H33"/>
  <c r="H32"/>
  <c r="H29"/>
  <c r="H28"/>
  <c r="H27"/>
  <c r="F26"/>
  <c r="H25"/>
  <c r="F24"/>
  <c r="H24" s="1"/>
  <c r="F23"/>
  <c r="H23" s="1"/>
  <c r="F22"/>
  <c r="H22" s="1"/>
  <c r="F19"/>
  <c r="H19" s="1"/>
  <c r="F18"/>
  <c r="F17"/>
  <c r="H17" s="1"/>
  <c r="F16"/>
  <c r="F15"/>
  <c r="F14"/>
  <c r="H14" s="1"/>
  <c r="H13"/>
  <c r="F12"/>
  <c r="F11"/>
  <c r="H11" s="1"/>
  <c r="H74" l="1"/>
  <c r="H26"/>
  <c r="H48"/>
  <c r="H53" s="1"/>
  <c r="H30"/>
  <c r="H15"/>
  <c r="H12"/>
  <c r="H16"/>
  <c r="H75"/>
  <c r="F76"/>
  <c r="H18"/>
  <c r="H41"/>
  <c r="H72"/>
  <c r="H76" l="1"/>
  <c r="H77" s="1"/>
  <c r="H20"/>
  <c r="I112" l="1"/>
  <c r="H78"/>
  <c r="H81" s="1"/>
  <c r="G112" s="1"/>
  <c r="H112" s="1"/>
</calcChain>
</file>

<file path=xl/sharedStrings.xml><?xml version="1.0" encoding="utf-8"?>
<sst xmlns="http://schemas.openxmlformats.org/spreadsheetml/2006/main" count="333" uniqueCount="252">
  <si>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</si>
  <si>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</si>
  <si>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</si>
  <si>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</si>
  <si>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</si>
  <si>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</si>
  <si>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</si>
  <si>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</si>
  <si>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</si>
  <si>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</si>
  <si>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</si>
  <si>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</si>
  <si>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</si>
  <si>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</si>
  <si>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</si>
  <si>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</si>
  <si>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</si>
  <si>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</si>
  <si>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</si>
  <si>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</si>
  <si>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</si>
  <si>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</si>
  <si>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</si>
  <si>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</si>
  <si>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</si>
  <si>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</si>
  <si>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</si>
  <si>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</si>
  <si>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</si>
  <si>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</si>
  <si>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</si>
  <si>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</si>
  <si>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</si>
  <si>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</si>
  <si>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</si>
  <si>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</si>
  <si>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</si>
  <si>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</si>
  <si>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</si>
  <si>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</si>
  <si>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</si>
  <si>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</si>
  <si>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</si>
  <si>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</si>
  <si>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</si>
  <si>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</si>
  <si>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</si>
  <si>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</si>
  <si>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</si>
  <si>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</si>
  <si>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</si>
  <si>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</si>
  <si>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</si>
  <si>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</si>
  <si>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</si>
  <si>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</si>
  <si>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</si>
  <si>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</si>
  <si>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</si>
  <si>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</si>
  <si>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</si>
  <si>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</si>
  <si>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</si>
  <si>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</si>
  <si>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</si>
  <si>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</si>
  <si>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</si>
  <si>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 xml:space="preserve">Сдвигание снега в дни снегопада </t>
  </si>
  <si>
    <t>1000 м2</t>
  </si>
  <si>
    <t>50 раз за сезон</t>
  </si>
  <si>
    <t>ТЭР 54-003</t>
  </si>
  <si>
    <t>155 раз за сезон</t>
  </si>
  <si>
    <t>Вывоз снега</t>
  </si>
  <si>
    <t>Погрузка снега универсальным погрузчиком</t>
  </si>
  <si>
    <t>ТЭР 54-022</t>
  </si>
  <si>
    <t>Очистка территории 1-го класса с усовершенствованным покрытием под скребок: тротуар,</t>
  </si>
  <si>
    <t xml:space="preserve">2раза в месяц    12 раз за сезон      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</si>
  <si>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</si>
  <si>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</si>
  <si>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</si>
  <si>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</si>
  <si>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</si>
  <si>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</si>
  <si>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ТЭР 42-002</t>
  </si>
  <si>
    <t>Осмотр шиферной  кровли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</si>
  <si>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</si>
  <si>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</si>
  <si>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</si>
  <si>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</si>
  <si>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</si>
  <si>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</si>
  <si>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</si>
  <si>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42-003</t>
  </si>
  <si>
    <t>Осмотр деревянных конструкций стропил</t>
  </si>
  <si>
    <t>100 м3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</si>
  <si>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</si>
  <si>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</si>
  <si>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</si>
  <si>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</si>
  <si>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</si>
  <si>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</si>
  <si>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</si>
  <si>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</si>
  <si>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</si>
  <si>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</si>
  <si>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</si>
  <si>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</si>
  <si>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</si>
  <si>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</si>
  <si>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</si>
  <si>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>ТЭР 54-041 и 42</t>
  </si>
  <si>
    <t xml:space="preserve"> Очистка края кровли от слежавшегося снега со сбрасыванием сосулек (10% от S кровли) </t>
  </si>
  <si>
    <t xml:space="preserve">6 раз за сезон </t>
  </si>
  <si>
    <t>Чердак, подвал, технический этаж</t>
  </si>
  <si>
    <t>ТЭР 51-034</t>
  </si>
  <si>
    <t>м2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</si>
  <si>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</si>
  <si>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</si>
  <si>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</si>
  <si>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</si>
  <si>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</si>
  <si>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</si>
  <si>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</si>
  <si>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</si>
  <si>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</si>
  <si>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</si>
  <si>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</si>
  <si>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</si>
  <si>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</si>
  <si>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</si>
  <si>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</si>
  <si>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</si>
  <si>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</si>
  <si>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</si>
  <si>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</si>
  <si>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</si>
  <si>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</si>
  <si>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</si>
  <si>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</si>
  <si>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</si>
  <si>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</si>
  <si>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</si>
  <si>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</si>
  <si>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</si>
  <si>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</si>
  <si>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</si>
  <si>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</si>
  <si>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</si>
  <si>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</si>
  <si>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</si>
  <si>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</si>
  <si>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</si>
  <si>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>Обслуживание внутридомовое газовое оборудование</t>
  </si>
  <si>
    <t>плита</t>
  </si>
  <si>
    <t>водонагреватель</t>
  </si>
  <si>
    <t>Вода для промывки системы отопления</t>
  </si>
  <si>
    <t>Спуск воды после промывки системы отопления в канализацию</t>
  </si>
  <si>
    <t xml:space="preserve">1 раз в месяц   12 раз в год </t>
  </si>
  <si>
    <t xml:space="preserve">1 раз в год     </t>
  </si>
  <si>
    <t>1 раз в месяц</t>
  </si>
  <si>
    <t xml:space="preserve">1 раз в месяц    </t>
  </si>
  <si>
    <t>20 раз за сезон</t>
  </si>
  <si>
    <t>Очистка от мусора</t>
  </si>
  <si>
    <t>Дератизация</t>
  </si>
  <si>
    <t>ТЭР 33-030</t>
  </si>
  <si>
    <t>Ремонт групповых щитков на лестничной клетке без ремонта автоматов</t>
  </si>
  <si>
    <t>Генеральный директор ООО "Жилсервис"_______Ю.Л.Куканов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</si>
  <si>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</si>
  <si>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</si>
  <si>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</si>
  <si>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</si>
  <si>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</si>
  <si>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</si>
  <si>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</si>
  <si>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</si>
  <si>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</si>
  <si>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</si>
  <si>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</si>
  <si>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Подметание снега с тротуара-крылец,конт. площадок</t>
  </si>
  <si>
    <t>Баланс выполненных работ на 01.01.2015 г. ( -долг за предприятием, +долг за населением)</t>
  </si>
  <si>
    <t>Ремонт силового предохранительного шкафа (без стоимости материалов)</t>
  </si>
  <si>
    <t>ТЭР 33-032</t>
  </si>
  <si>
    <t>Снятие показаний эл.счетчика коммунального назначения</t>
  </si>
  <si>
    <t>ТЭР 33-037</t>
  </si>
  <si>
    <t>3 раза в год</t>
  </si>
  <si>
    <t>С учетом показателя инфляции (К=1,064)</t>
  </si>
  <si>
    <t>калькуляция</t>
  </si>
  <si>
    <t>Работа автовышки</t>
  </si>
  <si>
    <t>маш/час</t>
  </si>
  <si>
    <t>счет</t>
  </si>
  <si>
    <t>Ремонт кровли (материалы): доска обрезная 40*125*4=3 шт.,брус 70*50*4=2 шт.,шифер 8-ми волновой=5 листов</t>
  </si>
  <si>
    <t>тыс. руб.</t>
  </si>
  <si>
    <t>10 м2</t>
  </si>
  <si>
    <t>Ремонт отдельных мест покрытия из асбоцементных листов обыкновенного профиля</t>
  </si>
  <si>
    <t>ТЭР 17-006</t>
  </si>
  <si>
    <t>Смена обрешетки с прозорами из досок толщиной до 50 мм</t>
  </si>
  <si>
    <t>ТЭР 17-034</t>
  </si>
  <si>
    <t>Смена плавкой вставки</t>
  </si>
  <si>
    <t>ТЭР 33-041</t>
  </si>
  <si>
    <t>4 этажа, 5 подъездов</t>
  </si>
  <si>
    <t>Стоимость (руб.)</t>
  </si>
  <si>
    <t>договор</t>
  </si>
  <si>
    <t>ТО внутридомового газ.оборудования</t>
  </si>
  <si>
    <t>10 м</t>
  </si>
  <si>
    <t>Смена стекол в деревянных переплетах при площади стекла до 1,0 м2</t>
  </si>
  <si>
    <t>ТЭР 15-009</t>
  </si>
  <si>
    <t>Смена арматуры - вентилей и клапанов обратных муфтовых диаметром до 20 мм</t>
  </si>
  <si>
    <t>1 шт</t>
  </si>
  <si>
    <t>ТЭР 32-027</t>
  </si>
  <si>
    <t>Выполне ние    июнь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</si>
  <si>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Лермонтова, 17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 2015 год</t>
    </r>
  </si>
  <si>
    <t>Подключение и отключение сварочного аппарата</t>
  </si>
  <si>
    <t>ТЭР 33-060</t>
  </si>
  <si>
    <t>Внеплановый осмотр электросетей, арматуры и электрооборудования на лестничных клетках</t>
  </si>
  <si>
    <t>место</t>
  </si>
  <si>
    <t>ТЭР 32-098</t>
  </si>
  <si>
    <t>Устройство хомута</t>
  </si>
  <si>
    <t xml:space="preserve">Смена сгонов у трубопроводов диаметром до 20 мм </t>
  </si>
  <si>
    <t>1 сгон</t>
  </si>
  <si>
    <t>ТЭР 31-009</t>
  </si>
  <si>
    <t>2-2-1-1-6</t>
  </si>
  <si>
    <t>1 пробка</t>
  </si>
  <si>
    <t xml:space="preserve">Замена радиаторной пробки( с учетом материала)  </t>
  </si>
  <si>
    <t>Установка заглушек диаметром трубопроводов до 100 мм</t>
  </si>
  <si>
    <t>заглушка</t>
  </si>
  <si>
    <t>ТЭР 31-012</t>
  </si>
  <si>
    <t>Ремонт отдельных мест покрытия из асбоцементных листов обыкновенного профиля (без материала)</t>
  </si>
  <si>
    <t>прим. ТЭР 15-029</t>
  </si>
  <si>
    <t>Ремонт рам слуховых окон</t>
  </si>
  <si>
    <t>2-2-1-47</t>
  </si>
  <si>
    <t>Разборка кирпичной кладки вручную (раствор кладки -цементный)</t>
  </si>
  <si>
    <t>1 мЗ</t>
  </si>
  <si>
    <t>смета</t>
  </si>
  <si>
    <t>Смена колпаков на дымовых и вентиляционных трубах в один канал</t>
  </si>
  <si>
    <t>ТЭР 17-062</t>
  </si>
  <si>
    <t>Ремонт кладки оголовка</t>
  </si>
  <si>
    <t>Начислено за содержание и текущий ремонт за 2015  г.</t>
  </si>
  <si>
    <t xml:space="preserve">Выполнено работ по содержанию за   2015 г. </t>
  </si>
  <si>
    <t>Выполнено работ по текущему ремонту за 2015 г.</t>
  </si>
  <si>
    <t>Фактически оплачено за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</si>
  <si>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</si>
  <si>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</si>
  <si>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Прочистка засоров ГВС, XВC</t>
  </si>
  <si>
    <t>3м</t>
  </si>
  <si>
    <t>прим.ТЭР 32-101</t>
  </si>
  <si>
    <t>Смена светильников с лампами накаливания</t>
  </si>
  <si>
    <t>ТЭР 33-023</t>
  </si>
  <si>
    <t xml:space="preserve">прим.ТЭР 31-010 </t>
  </si>
  <si>
    <t>Смена тройника (25*15*25)</t>
  </si>
  <si>
    <t>1 м</t>
  </si>
  <si>
    <t>прим.ТЭР 32-088</t>
  </si>
  <si>
    <t>Устройство мет.поручня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</si>
</sst>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18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21"/>
        <bgColor indexed="30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3" borderId="0" xfId="0" applyFont="1" applyFill="1"/>
    <xf numFmtId="0" fontId="0" fillId="3" borderId="0" xfId="0" applyFill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6" fillId="0" borderId="3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3" fontId="1" fillId="9" borderId="7" xfId="0" applyNumberFormat="1" applyFont="1" applyFill="1" applyBorder="1" applyAlignment="1">
      <alignment horizontal="center" vertical="center"/>
    </xf>
    <xf numFmtId="3" fontId="1" fillId="9" borderId="3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vertical="center"/>
    </xf>
    <xf numFmtId="4" fontId="1" fillId="9" borderId="7" xfId="0" applyNumberFormat="1" applyFont="1" applyFill="1" applyBorder="1" applyAlignment="1">
      <alignment vertical="center"/>
    </xf>
    <xf numFmtId="0" fontId="1" fillId="9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9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165" fontId="3" fillId="1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0" fontId="1" fillId="2" borderId="3" xfId="0" applyFont="1" applyFill="1" applyBorder="1"/>
    <xf numFmtId="4" fontId="1" fillId="9" borderId="3" xfId="0" applyNumberFormat="1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165" fontId="3" fillId="11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/>
    </xf>
    <xf numFmtId="0" fontId="1" fillId="5" borderId="3" xfId="0" applyFont="1" applyFill="1" applyBorder="1"/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4" fontId="1" fillId="8" borderId="3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5" borderId="3" xfId="0" applyNumberFormat="1" applyFont="1" applyFill="1" applyBorder="1" applyAlignment="1">
      <alignment horizontal="center" vertical="center"/>
    </xf>
    <xf numFmtId="165" fontId="3" fillId="11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7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/>
    <xf numFmtId="165" fontId="13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/>
    </xf>
    <xf numFmtId="165" fontId="3" fillId="4" borderId="7" xfId="0" applyNumberFormat="1" applyFont="1" applyFill="1" applyBorder="1" applyAlignment="1">
      <alignment horizontal="center" vertical="center"/>
    </xf>
    <xf numFmtId="165" fontId="13" fillId="4" borderId="7" xfId="0" applyNumberFormat="1" applyFont="1" applyFill="1" applyBorder="1" applyAlignment="1">
      <alignment horizontal="center" vertical="center"/>
    </xf>
    <xf numFmtId="4" fontId="13" fillId="9" borderId="3" xfId="0" applyNumberFormat="1" applyFont="1" applyFill="1" applyBorder="1"/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9" xfId="0" applyFont="1" applyBorder="1"/>
    <xf numFmtId="4" fontId="1" fillId="0" borderId="9" xfId="0" applyNumberFormat="1" applyFont="1" applyBorder="1" applyAlignment="1">
      <alignment horizontal="center" vertical="top" wrapText="1"/>
    </xf>
    <xf numFmtId="4" fontId="1" fillId="0" borderId="9" xfId="0" applyNumberFormat="1" applyFont="1" applyBorder="1"/>
    <xf numFmtId="4" fontId="1" fillId="0" borderId="9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3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0" fontId="1" fillId="7" borderId="1" xfId="0" applyFont="1" applyFill="1" applyBorder="1"/>
    <xf numFmtId="4" fontId="1" fillId="7" borderId="1" xfId="0" applyNumberFormat="1" applyFont="1" applyFill="1" applyBorder="1"/>
    <xf numFmtId="4" fontId="1" fillId="7" borderId="1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left" vertical="top" wrapText="1"/>
      <protection hidden="1"/>
    </xf>
    <xf numFmtId="2" fontId="1" fillId="0" borderId="3" xfId="0" applyNumberFormat="1" applyFont="1" applyFill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left" vertical="top" wrapText="1"/>
    </xf>
    <xf numFmtId="4" fontId="1" fillId="0" borderId="3" xfId="0" applyNumberFormat="1" applyFont="1" applyBorder="1"/>
    <xf numFmtId="4" fontId="1" fillId="0" borderId="3" xfId="0" applyNumberFormat="1" applyFont="1" applyFill="1" applyBorder="1" applyAlignment="1" applyProtection="1">
      <alignment horizontal="left" vertical="top" wrapText="1"/>
      <protection hidden="1"/>
    </xf>
    <xf numFmtId="4" fontId="1" fillId="0" borderId="3" xfId="0" applyNumberFormat="1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  <protection hidden="1"/>
    </xf>
    <xf numFmtId="2" fontId="1" fillId="0" borderId="0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Border="1"/>
    <xf numFmtId="4" fontId="1" fillId="0" borderId="0" xfId="0" applyNumberFormat="1" applyFont="1" applyFill="1" applyBorder="1" applyAlignment="1" applyProtection="1">
      <alignment horizontal="left" vertical="top" wrapText="1"/>
      <protection hidden="1"/>
    </xf>
    <xf numFmtId="4" fontId="1" fillId="0" borderId="0" xfId="0" applyNumberFormat="1" applyFont="1" applyBorder="1" applyAlignment="1">
      <alignment horizontal="center"/>
    </xf>
    <xf numFmtId="4" fontId="14" fillId="0" borderId="0" xfId="0" applyNumberFormat="1" applyFont="1"/>
    <xf numFmtId="0" fontId="14" fillId="0" borderId="0" xfId="0" applyFont="1"/>
    <xf numFmtId="0" fontId="1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15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0" fontId="1" fillId="13" borderId="3" xfId="0" applyNumberFormat="1" applyFont="1" applyFill="1" applyBorder="1" applyAlignment="1" applyProtection="1">
      <alignment horizontal="center" vertical="center" wrapText="1"/>
    </xf>
    <xf numFmtId="165" fontId="3" fillId="1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/>
    <xf numFmtId="0" fontId="0" fillId="4" borderId="0" xfId="0" applyFill="1"/>
    <xf numFmtId="0" fontId="6" fillId="0" borderId="14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3" fillId="11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9" borderId="3" xfId="0" applyNumberFormat="1" applyFont="1" applyFill="1" applyBorder="1" applyAlignment="1">
      <alignment horizontal="center" vertical="center"/>
    </xf>
    <xf numFmtId="4" fontId="3" fillId="9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7" fillId="1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4" borderId="3" xfId="0" applyFont="1" applyFill="1" applyBorder="1" applyAlignment="1"/>
    <xf numFmtId="2" fontId="6" fillId="0" borderId="7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" fillId="13" borderId="14" xfId="0" applyNumberFormat="1" applyFont="1" applyFill="1" applyBorder="1" applyAlignment="1" applyProtection="1">
      <alignment horizontal="center" vertical="center" wrapText="1"/>
    </xf>
    <xf numFmtId="0" fontId="1" fillId="13" borderId="1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134"/>
  <sheetViews>
    <sheetView tabSelected="1" view="pageBreakPreview" zoomScaleNormal="75" zoomScaleSheetLayoutView="100" workbookViewId="0">
      <pane ySplit="7" topLeftCell="A106" activePane="bottomLeft" state="frozen"/>
      <selection activeCell="B1" sqref="B1"/>
      <selection pane="bottomLeft" activeCell="V122" sqref="V122"/>
    </sheetView>
  </sheetViews>
  <sheetFormatPr defaultRowHeight="12.75"/>
  <cols>
    <col min="1" max="1" width="13.28515625" customWidth="1"/>
    <col min="2" max="2" width="41.85546875" customWidth="1"/>
    <col min="3" max="3" width="9.28515625" customWidth="1"/>
    <col min="4" max="4" width="22.5703125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10" width="10.140625" customWidth="1"/>
    <col min="11" max="11" width="10" customWidth="1"/>
    <col min="12" max="12" width="10.28515625" customWidth="1"/>
    <col min="13" max="13" width="9.42578125" customWidth="1"/>
    <col min="14" max="14" width="10.5703125" customWidth="1"/>
    <col min="15" max="16" width="9.7109375" customWidth="1"/>
    <col min="17" max="17" width="9.85546875" customWidth="1"/>
    <col min="18" max="18" width="9.5703125" customWidth="1"/>
    <col min="19" max="19" width="9.7109375" customWidth="1"/>
    <col min="20" max="20" width="9.5703125" customWidth="1"/>
    <col min="21" max="21" width="11.42578125" customWidth="1"/>
  </cols>
  <sheetData>
    <row r="1" spans="1:21" ht="14.25" customHeight="1"/>
    <row r="3" spans="1:21" ht="18">
      <c r="A3" s="179"/>
      <c r="B3" s="195" t="s">
        <v>0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31"/>
      <c r="N3" s="131"/>
      <c r="O3" s="131"/>
      <c r="P3" s="131"/>
      <c r="Q3" s="131"/>
      <c r="R3" s="131"/>
      <c r="S3" s="131"/>
      <c r="T3" s="131"/>
      <c r="U3" s="131"/>
    </row>
    <row r="4" spans="1:21" ht="33" customHeight="1">
      <c r="A4" s="131"/>
      <c r="B4" s="196" t="s">
        <v>1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31"/>
      <c r="N4" s="131"/>
      <c r="O4" s="131"/>
      <c r="P4" s="131"/>
      <c r="Q4" s="131"/>
      <c r="R4" s="131"/>
      <c r="S4" s="131"/>
      <c r="T4" s="131"/>
      <c r="U4" s="131"/>
    </row>
    <row r="5" spans="1:21" ht="18">
      <c r="A5" s="131"/>
      <c r="B5" s="196" t="s">
        <v>210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31"/>
      <c r="N5" s="131"/>
      <c r="O5" s="131"/>
      <c r="P5" s="131"/>
      <c r="Q5" s="131"/>
      <c r="R5" s="131"/>
      <c r="S5" s="131"/>
      <c r="T5" s="131"/>
      <c r="U5" s="131"/>
    </row>
    <row r="6" spans="1:21" ht="14.25">
      <c r="A6" s="131"/>
      <c r="B6" s="197" t="s">
        <v>199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31"/>
      <c r="N6" s="131"/>
      <c r="O6" s="131"/>
      <c r="P6" s="131"/>
      <c r="Q6" s="131"/>
      <c r="R6" s="131"/>
      <c r="S6" s="131"/>
      <c r="T6" s="131"/>
      <c r="U6" s="131"/>
    </row>
    <row r="7" spans="1:21" ht="46.5" customHeight="1">
      <c r="A7" s="162" t="s">
        <v>2</v>
      </c>
      <c r="B7" s="162" t="s">
        <v>3</v>
      </c>
      <c r="C7" s="162" t="s">
        <v>4</v>
      </c>
      <c r="D7" s="162" t="s">
        <v>5</v>
      </c>
      <c r="E7" s="162" t="s">
        <v>6</v>
      </c>
      <c r="F7" s="162" t="s">
        <v>7</v>
      </c>
      <c r="G7" s="162" t="s">
        <v>8</v>
      </c>
      <c r="H7" s="163" t="s">
        <v>9</v>
      </c>
      <c r="I7" s="23" t="s">
        <v>167</v>
      </c>
      <c r="J7" s="23" t="s">
        <v>168</v>
      </c>
      <c r="K7" s="23" t="s">
        <v>169</v>
      </c>
      <c r="L7" s="23" t="s">
        <v>170</v>
      </c>
      <c r="M7" s="23" t="s">
        <v>171</v>
      </c>
      <c r="N7" s="23" t="s">
        <v>209</v>
      </c>
      <c r="O7" s="23" t="s">
        <v>172</v>
      </c>
      <c r="P7" s="23" t="s">
        <v>173</v>
      </c>
      <c r="Q7" s="23" t="s">
        <v>174</v>
      </c>
      <c r="R7" s="23" t="s">
        <v>175</v>
      </c>
      <c r="S7" s="23" t="s">
        <v>176</v>
      </c>
      <c r="T7" s="23" t="s">
        <v>177</v>
      </c>
      <c r="U7" s="23" t="s">
        <v>200</v>
      </c>
    </row>
    <row r="8" spans="1:21">
      <c r="A8" s="24">
        <v>1</v>
      </c>
      <c r="B8" s="5">
        <v>2</v>
      </c>
      <c r="C8" s="24">
        <v>3</v>
      </c>
      <c r="D8" s="5">
        <v>4</v>
      </c>
      <c r="E8" s="5">
        <v>5</v>
      </c>
      <c r="F8" s="24">
        <v>6</v>
      </c>
      <c r="G8" s="24">
        <v>7</v>
      </c>
      <c r="H8" s="25">
        <v>8</v>
      </c>
      <c r="I8" s="26">
        <v>10</v>
      </c>
      <c r="J8" s="26">
        <v>11</v>
      </c>
      <c r="K8" s="26">
        <v>12</v>
      </c>
      <c r="L8" s="26">
        <v>13</v>
      </c>
      <c r="M8" s="27">
        <v>14</v>
      </c>
      <c r="N8" s="28">
        <v>15</v>
      </c>
      <c r="O8" s="28">
        <v>16</v>
      </c>
      <c r="P8" s="28">
        <v>17</v>
      </c>
      <c r="Q8" s="28">
        <v>18</v>
      </c>
      <c r="R8" s="28">
        <v>19</v>
      </c>
      <c r="S8" s="28">
        <v>20</v>
      </c>
      <c r="T8" s="28">
        <v>21</v>
      </c>
      <c r="U8" s="28">
        <v>22</v>
      </c>
    </row>
    <row r="9" spans="1:21" ht="38.25">
      <c r="A9" s="24"/>
      <c r="B9" s="10" t="s">
        <v>10</v>
      </c>
      <c r="C9" s="24"/>
      <c r="D9" s="11"/>
      <c r="E9" s="11"/>
      <c r="F9" s="24"/>
      <c r="G9" s="24"/>
      <c r="H9" s="29"/>
      <c r="I9" s="30"/>
      <c r="J9" s="30"/>
      <c r="K9" s="30"/>
      <c r="L9" s="30"/>
      <c r="M9" s="31"/>
      <c r="N9" s="32"/>
      <c r="O9" s="32"/>
      <c r="P9" s="32"/>
      <c r="Q9" s="32"/>
      <c r="R9" s="32"/>
      <c r="S9" s="32"/>
      <c r="T9" s="32"/>
      <c r="U9" s="32"/>
    </row>
    <row r="10" spans="1:21">
      <c r="A10" s="24"/>
      <c r="B10" s="10" t="s">
        <v>11</v>
      </c>
      <c r="C10" s="24"/>
      <c r="D10" s="11"/>
      <c r="E10" s="11"/>
      <c r="F10" s="24"/>
      <c r="G10" s="24"/>
      <c r="H10" s="29"/>
      <c r="I10" s="30"/>
      <c r="J10" s="30"/>
      <c r="K10" s="30"/>
      <c r="L10" s="30"/>
      <c r="M10" s="31"/>
      <c r="N10" s="32"/>
      <c r="O10" s="32"/>
      <c r="P10" s="32"/>
      <c r="Q10" s="32"/>
      <c r="R10" s="32"/>
      <c r="S10" s="32"/>
      <c r="T10" s="32"/>
      <c r="U10" s="32"/>
    </row>
    <row r="11" spans="1:21" ht="25.5">
      <c r="A11" s="24" t="s">
        <v>12</v>
      </c>
      <c r="B11" s="11" t="s">
        <v>13</v>
      </c>
      <c r="C11" s="24" t="s">
        <v>14</v>
      </c>
      <c r="D11" s="11" t="s">
        <v>15</v>
      </c>
      <c r="E11" s="33">
        <v>92.5</v>
      </c>
      <c r="F11" s="34">
        <f>SUM(E11*156/100)</f>
        <v>144.30000000000001</v>
      </c>
      <c r="G11" s="34">
        <v>175.38</v>
      </c>
      <c r="H11" s="35">
        <f t="shared" ref="H11:H19" si="0">SUM(F11*G11/1000)</f>
        <v>25.307334000000001</v>
      </c>
      <c r="I11" s="36">
        <f>F11/12*G11</f>
        <v>2108.9445000000001</v>
      </c>
      <c r="J11" s="36">
        <f>F11/12*G11</f>
        <v>2108.9445000000001</v>
      </c>
      <c r="K11" s="36">
        <f>F11/12*G11</f>
        <v>2108.9445000000001</v>
      </c>
      <c r="L11" s="36">
        <f>F11/12*G11</f>
        <v>2108.9445000000001</v>
      </c>
      <c r="M11" s="36">
        <f>F11/12*G11</f>
        <v>2108.9445000000001</v>
      </c>
      <c r="N11" s="36">
        <f>F11/12*G11</f>
        <v>2108.9445000000001</v>
      </c>
      <c r="O11" s="36">
        <f>F11/12*G11</f>
        <v>2108.9445000000001</v>
      </c>
      <c r="P11" s="36">
        <f>F11/12*G11</f>
        <v>2108.9445000000001</v>
      </c>
      <c r="Q11" s="36">
        <f>F11/12*G11</f>
        <v>2108.9445000000001</v>
      </c>
      <c r="R11" s="36">
        <f>F11/12*G11</f>
        <v>2108.9445000000001</v>
      </c>
      <c r="S11" s="36">
        <f>F11/12*G11</f>
        <v>2108.9445000000001</v>
      </c>
      <c r="T11" s="36">
        <f>F11/12*G11</f>
        <v>2108.9445000000001</v>
      </c>
      <c r="U11" s="36">
        <f>SUM(I11:T11)</f>
        <v>25307.334000000006</v>
      </c>
    </row>
    <row r="12" spans="1:21" ht="25.5">
      <c r="A12" s="24" t="s">
        <v>12</v>
      </c>
      <c r="B12" s="11" t="s">
        <v>16</v>
      </c>
      <c r="C12" s="24" t="s">
        <v>14</v>
      </c>
      <c r="D12" s="11" t="s">
        <v>17</v>
      </c>
      <c r="E12" s="33">
        <v>288.8</v>
      </c>
      <c r="F12" s="34">
        <f>SUM(E12*104/100)</f>
        <v>300.35200000000003</v>
      </c>
      <c r="G12" s="34">
        <v>175.38</v>
      </c>
      <c r="H12" s="35">
        <f t="shared" si="0"/>
        <v>52.67573376</v>
      </c>
      <c r="I12" s="36">
        <f>F12/12*G12</f>
        <v>4389.6444800000008</v>
      </c>
      <c r="J12" s="36">
        <f>F12/12*G12</f>
        <v>4389.6444800000008</v>
      </c>
      <c r="K12" s="36">
        <f>F12/12*G12</f>
        <v>4389.6444800000008</v>
      </c>
      <c r="L12" s="36">
        <f>F12/12*G12</f>
        <v>4389.6444800000008</v>
      </c>
      <c r="M12" s="36">
        <f>F12/12*G12</f>
        <v>4389.6444800000008</v>
      </c>
      <c r="N12" s="36">
        <f>F12/12*G12</f>
        <v>4389.6444800000008</v>
      </c>
      <c r="O12" s="36">
        <f>F12/12*G12</f>
        <v>4389.6444800000008</v>
      </c>
      <c r="P12" s="36">
        <f>F12/12*G12</f>
        <v>4389.6444800000008</v>
      </c>
      <c r="Q12" s="36">
        <f>F12/12*G12</f>
        <v>4389.6444800000008</v>
      </c>
      <c r="R12" s="36">
        <f>F12/12*G12</f>
        <v>4389.6444800000008</v>
      </c>
      <c r="S12" s="36">
        <f>F12/12*G12</f>
        <v>4389.6444800000008</v>
      </c>
      <c r="T12" s="36">
        <f>F12/12*G12</f>
        <v>4389.6444800000008</v>
      </c>
      <c r="U12" s="36">
        <f t="shared" ref="U12:U19" si="1">SUM(I12:T12)</f>
        <v>52675.733760000025</v>
      </c>
    </row>
    <row r="13" spans="1:21" ht="25.5">
      <c r="A13" s="24" t="s">
        <v>18</v>
      </c>
      <c r="B13" s="11" t="s">
        <v>19</v>
      </c>
      <c r="C13" s="24" t="s">
        <v>14</v>
      </c>
      <c r="D13" s="11" t="s">
        <v>157</v>
      </c>
      <c r="E13" s="33">
        <f>SUM(E11+E12)</f>
        <v>381.3</v>
      </c>
      <c r="F13" s="34">
        <f>SUM(E13*12/100)</f>
        <v>45.756</v>
      </c>
      <c r="G13" s="34">
        <v>504.5</v>
      </c>
      <c r="H13" s="35">
        <f t="shared" si="0"/>
        <v>23.083902000000002</v>
      </c>
      <c r="I13" s="36">
        <f>F13/12*G13</f>
        <v>1923.6585</v>
      </c>
      <c r="J13" s="36">
        <f>F13/12*G13</f>
        <v>1923.6585</v>
      </c>
      <c r="K13" s="36">
        <f>F13/12*G13</f>
        <v>1923.6585</v>
      </c>
      <c r="L13" s="36">
        <f>F13/12*G13</f>
        <v>1923.6585</v>
      </c>
      <c r="M13" s="36">
        <f>F13/12*G13</f>
        <v>1923.6585</v>
      </c>
      <c r="N13" s="36">
        <f>F13/12*G13</f>
        <v>1923.6585</v>
      </c>
      <c r="O13" s="36">
        <f>F13/12*G13</f>
        <v>1923.6585</v>
      </c>
      <c r="P13" s="36">
        <f>F13/12*G13</f>
        <v>1923.6585</v>
      </c>
      <c r="Q13" s="36">
        <f>F13/12*G13</f>
        <v>1923.6585</v>
      </c>
      <c r="R13" s="36">
        <f>F13/12*G13</f>
        <v>1923.6585</v>
      </c>
      <c r="S13" s="36">
        <f>F13/12*G13</f>
        <v>1923.6585</v>
      </c>
      <c r="T13" s="36">
        <f>F13/12*G13</f>
        <v>1923.6585</v>
      </c>
      <c r="U13" s="36">
        <f t="shared" si="1"/>
        <v>23083.902000000002</v>
      </c>
    </row>
    <row r="14" spans="1:21">
      <c r="A14" s="24" t="s">
        <v>20</v>
      </c>
      <c r="B14" s="11" t="s">
        <v>21</v>
      </c>
      <c r="C14" s="24" t="s">
        <v>22</v>
      </c>
      <c r="D14" s="11" t="s">
        <v>158</v>
      </c>
      <c r="E14" s="33">
        <v>19.2</v>
      </c>
      <c r="F14" s="34">
        <f>SUM(E14/10)</f>
        <v>1.92</v>
      </c>
      <c r="G14" s="34">
        <v>170.16</v>
      </c>
      <c r="H14" s="35">
        <f t="shared" si="0"/>
        <v>0.32670719999999998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f>F14*G14</f>
        <v>326.7072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f t="shared" si="1"/>
        <v>326.7072</v>
      </c>
    </row>
    <row r="15" spans="1:21">
      <c r="A15" s="24" t="s">
        <v>23</v>
      </c>
      <c r="B15" s="11" t="s">
        <v>24</v>
      </c>
      <c r="C15" s="24" t="s">
        <v>14</v>
      </c>
      <c r="D15" s="11" t="s">
        <v>159</v>
      </c>
      <c r="E15" s="33">
        <v>27.3</v>
      </c>
      <c r="F15" s="34">
        <f>SUM(E15*12/100)</f>
        <v>3.2760000000000002</v>
      </c>
      <c r="G15" s="34">
        <v>217.88</v>
      </c>
      <c r="H15" s="35">
        <f t="shared" si="0"/>
        <v>0.71377488</v>
      </c>
      <c r="I15" s="36">
        <f>F15/12*G15</f>
        <v>59.48124</v>
      </c>
      <c r="J15" s="36">
        <f>F15/12*G15</f>
        <v>59.48124</v>
      </c>
      <c r="K15" s="36">
        <f>F15/12*G15</f>
        <v>59.48124</v>
      </c>
      <c r="L15" s="36">
        <f>F15/12*G15</f>
        <v>59.48124</v>
      </c>
      <c r="M15" s="36">
        <f>F15/12*G15</f>
        <v>59.48124</v>
      </c>
      <c r="N15" s="36">
        <f>F15/12*G15</f>
        <v>59.48124</v>
      </c>
      <c r="O15" s="36">
        <f>F15/12*G15</f>
        <v>59.48124</v>
      </c>
      <c r="P15" s="36">
        <f>F15/12*G15</f>
        <v>59.48124</v>
      </c>
      <c r="Q15" s="36">
        <f>F15/12*G15</f>
        <v>59.48124</v>
      </c>
      <c r="R15" s="36">
        <f>F15/12*G15</f>
        <v>59.48124</v>
      </c>
      <c r="S15" s="36">
        <f>F15/12*G15</f>
        <v>59.48124</v>
      </c>
      <c r="T15" s="36">
        <f>F15/12*G15</f>
        <v>59.48124</v>
      </c>
      <c r="U15" s="36">
        <f t="shared" si="1"/>
        <v>713.77487999999994</v>
      </c>
    </row>
    <row r="16" spans="1:21">
      <c r="A16" s="24" t="s">
        <v>25</v>
      </c>
      <c r="B16" s="11" t="s">
        <v>26</v>
      </c>
      <c r="C16" s="24" t="s">
        <v>14</v>
      </c>
      <c r="D16" s="11" t="s">
        <v>159</v>
      </c>
      <c r="E16" s="33">
        <v>9.08</v>
      </c>
      <c r="F16" s="34">
        <f>SUM(E16*12/100)</f>
        <v>1.0896000000000001</v>
      </c>
      <c r="G16" s="34">
        <v>216.12</v>
      </c>
      <c r="H16" s="35">
        <f t="shared" si="0"/>
        <v>0.23548435200000004</v>
      </c>
      <c r="I16" s="36">
        <f>F16/12*G16</f>
        <v>19.623696000000002</v>
      </c>
      <c r="J16" s="36">
        <f>F16/12*G16</f>
        <v>19.623696000000002</v>
      </c>
      <c r="K16" s="36">
        <f>F16/12*G16</f>
        <v>19.623696000000002</v>
      </c>
      <c r="L16" s="36">
        <f>F16/12*G16</f>
        <v>19.623696000000002</v>
      </c>
      <c r="M16" s="36">
        <f>F16/12*G16</f>
        <v>19.623696000000002</v>
      </c>
      <c r="N16" s="36">
        <f>F16/12*G16</f>
        <v>19.623696000000002</v>
      </c>
      <c r="O16" s="36">
        <f>F16/12*G16</f>
        <v>19.623696000000002</v>
      </c>
      <c r="P16" s="36">
        <f>F16/12*G16</f>
        <v>19.623696000000002</v>
      </c>
      <c r="Q16" s="36">
        <f>F16/12*G16</f>
        <v>19.623696000000002</v>
      </c>
      <c r="R16" s="36">
        <f>F16/12*G16</f>
        <v>19.623696000000002</v>
      </c>
      <c r="S16" s="36">
        <f>F16/12*G16</f>
        <v>19.623696000000002</v>
      </c>
      <c r="T16" s="36">
        <f>F16/12*G16</f>
        <v>19.623696000000002</v>
      </c>
      <c r="U16" s="36">
        <f t="shared" si="1"/>
        <v>235.48435199999997</v>
      </c>
    </row>
    <row r="17" spans="1:21">
      <c r="A17" s="24" t="s">
        <v>28</v>
      </c>
      <c r="B17" s="11" t="s">
        <v>29</v>
      </c>
      <c r="C17" s="24" t="s">
        <v>27</v>
      </c>
      <c r="D17" s="11" t="s">
        <v>158</v>
      </c>
      <c r="E17" s="38">
        <v>12.6</v>
      </c>
      <c r="F17" s="34">
        <f>SUM(E17/100)</f>
        <v>0.126</v>
      </c>
      <c r="G17" s="34">
        <v>44.29</v>
      </c>
      <c r="H17" s="35">
        <f t="shared" si="0"/>
        <v>5.5805400000000002E-3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f>F17*G17</f>
        <v>5.5805400000000001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f t="shared" si="1"/>
        <v>5.5805400000000001</v>
      </c>
    </row>
    <row r="18" spans="1:21">
      <c r="A18" s="24" t="s">
        <v>30</v>
      </c>
      <c r="B18" s="11" t="s">
        <v>31</v>
      </c>
      <c r="C18" s="24" t="s">
        <v>27</v>
      </c>
      <c r="D18" s="11" t="s">
        <v>160</v>
      </c>
      <c r="E18" s="33">
        <v>20</v>
      </c>
      <c r="F18" s="34">
        <f>E18*12/100</f>
        <v>2.4</v>
      </c>
      <c r="G18" s="34">
        <v>389.72</v>
      </c>
      <c r="H18" s="35">
        <f t="shared" si="0"/>
        <v>0.93532799999999994</v>
      </c>
      <c r="I18" s="36">
        <f>F18/12*G18</f>
        <v>77.944000000000003</v>
      </c>
      <c r="J18" s="36">
        <f>F18/12*G18</f>
        <v>77.944000000000003</v>
      </c>
      <c r="K18" s="36">
        <f>F18/12*G18</f>
        <v>77.944000000000003</v>
      </c>
      <c r="L18" s="36">
        <f>F18/12*G18</f>
        <v>77.944000000000003</v>
      </c>
      <c r="M18" s="36">
        <f>F18/12*G18</f>
        <v>77.944000000000003</v>
      </c>
      <c r="N18" s="36">
        <f>F18/12*G18</f>
        <v>77.944000000000003</v>
      </c>
      <c r="O18" s="36">
        <f>F18/12*G18</f>
        <v>77.944000000000003</v>
      </c>
      <c r="P18" s="36">
        <f>F18/12*G18</f>
        <v>77.944000000000003</v>
      </c>
      <c r="Q18" s="36">
        <f>F18/12*G18</f>
        <v>77.944000000000003</v>
      </c>
      <c r="R18" s="36">
        <f>F18/12*G18</f>
        <v>77.944000000000003</v>
      </c>
      <c r="S18" s="36">
        <f>F18/12*G18</f>
        <v>77.944000000000003</v>
      </c>
      <c r="T18" s="36">
        <f>F18/12*G18</f>
        <v>77.944000000000003</v>
      </c>
      <c r="U18" s="36">
        <f t="shared" si="1"/>
        <v>935.32799999999986</v>
      </c>
    </row>
    <row r="19" spans="1:21">
      <c r="A19" s="24" t="s">
        <v>32</v>
      </c>
      <c r="B19" s="11" t="s">
        <v>33</v>
      </c>
      <c r="C19" s="24" t="s">
        <v>27</v>
      </c>
      <c r="D19" s="11" t="s">
        <v>158</v>
      </c>
      <c r="E19" s="33">
        <v>20</v>
      </c>
      <c r="F19" s="34">
        <f>SUM(E19/100)</f>
        <v>0.2</v>
      </c>
      <c r="G19" s="34">
        <v>216.12</v>
      </c>
      <c r="H19" s="35">
        <f t="shared" si="0"/>
        <v>4.3224000000000005E-2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f>F19*G19</f>
        <v>43.224000000000004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f t="shared" si="1"/>
        <v>43.224000000000004</v>
      </c>
    </row>
    <row r="20" spans="1:21" s="6" customFormat="1">
      <c r="A20" s="39"/>
      <c r="B20" s="12" t="s">
        <v>34</v>
      </c>
      <c r="C20" s="40"/>
      <c r="D20" s="12"/>
      <c r="E20" s="41"/>
      <c r="F20" s="42"/>
      <c r="G20" s="42"/>
      <c r="H20" s="43">
        <f>SUM(H11:H19)</f>
        <v>103.327068732</v>
      </c>
      <c r="I20" s="44"/>
      <c r="J20" s="44"/>
      <c r="K20" s="44"/>
      <c r="L20" s="44"/>
      <c r="M20" s="45"/>
      <c r="N20" s="45"/>
      <c r="O20" s="45"/>
      <c r="P20" s="45"/>
      <c r="Q20" s="45"/>
      <c r="R20" s="45"/>
      <c r="S20" s="45"/>
      <c r="T20" s="45"/>
      <c r="U20" s="94">
        <f>SUM(U11:U19)</f>
        <v>103327.06873200003</v>
      </c>
    </row>
    <row r="21" spans="1:21">
      <c r="A21" s="24"/>
      <c r="B21" s="13" t="s">
        <v>35</v>
      </c>
      <c r="C21" s="24"/>
      <c r="D21" s="11"/>
      <c r="E21" s="33"/>
      <c r="F21" s="34"/>
      <c r="G21" s="34"/>
      <c r="H21" s="35"/>
      <c r="I21" s="46"/>
      <c r="J21" s="46"/>
      <c r="K21" s="46"/>
      <c r="L21" s="46"/>
      <c r="M21" s="32"/>
      <c r="N21" s="32"/>
      <c r="O21" s="32"/>
      <c r="P21" s="32"/>
      <c r="Q21" s="32"/>
      <c r="R21" s="32"/>
      <c r="S21" s="32"/>
      <c r="T21" s="32"/>
      <c r="U21" s="36"/>
    </row>
    <row r="22" spans="1:21" ht="25.5" customHeight="1">
      <c r="A22" s="24" t="s">
        <v>36</v>
      </c>
      <c r="B22" s="11" t="s">
        <v>37</v>
      </c>
      <c r="C22" s="24" t="s">
        <v>38</v>
      </c>
      <c r="D22" s="11" t="s">
        <v>39</v>
      </c>
      <c r="E22" s="34">
        <v>561.6</v>
      </c>
      <c r="F22" s="34">
        <f>SUM(E22*52/1000)</f>
        <v>29.203200000000002</v>
      </c>
      <c r="G22" s="34">
        <v>155.88999999999999</v>
      </c>
      <c r="H22" s="35">
        <f t="shared" ref="H22:H29" si="2">SUM(F22*G22/1000)</f>
        <v>4.5524868479999991</v>
      </c>
      <c r="I22" s="36">
        <v>0</v>
      </c>
      <c r="J22" s="36">
        <v>0</v>
      </c>
      <c r="K22" s="36">
        <v>0</v>
      </c>
      <c r="L22" s="36">
        <v>0</v>
      </c>
      <c r="M22" s="36">
        <f>F22/6*G22</f>
        <v>758.74780799999996</v>
      </c>
      <c r="N22" s="36">
        <f>F22/6*G22</f>
        <v>758.74780799999996</v>
      </c>
      <c r="O22" s="36">
        <f>F22/6*G22</f>
        <v>758.74780799999996</v>
      </c>
      <c r="P22" s="36">
        <f>F22/6*G22</f>
        <v>758.74780799999996</v>
      </c>
      <c r="Q22" s="36">
        <f>F22/6*G22</f>
        <v>758.74780799999996</v>
      </c>
      <c r="R22" s="36">
        <f>F22/6*G22</f>
        <v>758.74780799999996</v>
      </c>
      <c r="S22" s="36">
        <v>0</v>
      </c>
      <c r="T22" s="36">
        <v>0</v>
      </c>
      <c r="U22" s="36">
        <f t="shared" ref="U22:U29" si="3">SUM(I22:T22)</f>
        <v>4552.4868479999996</v>
      </c>
    </row>
    <row r="23" spans="1:21" ht="38.25" customHeight="1">
      <c r="A23" s="24" t="s">
        <v>40</v>
      </c>
      <c r="B23" s="11" t="s">
        <v>41</v>
      </c>
      <c r="C23" s="24" t="s">
        <v>42</v>
      </c>
      <c r="D23" s="11" t="s">
        <v>43</v>
      </c>
      <c r="E23" s="34">
        <v>205.7</v>
      </c>
      <c r="F23" s="34">
        <f>SUM(E23*78/1000)</f>
        <v>16.044599999999999</v>
      </c>
      <c r="G23" s="34">
        <v>258.63</v>
      </c>
      <c r="H23" s="35">
        <f t="shared" si="2"/>
        <v>4.1496148979999994</v>
      </c>
      <c r="I23" s="36">
        <v>0</v>
      </c>
      <c r="J23" s="36">
        <v>0</v>
      </c>
      <c r="K23" s="36">
        <v>0</v>
      </c>
      <c r="L23" s="36">
        <v>0</v>
      </c>
      <c r="M23" s="36">
        <f>F23/6*G23</f>
        <v>691.60248299999989</v>
      </c>
      <c r="N23" s="36">
        <f>F23/6*G23</f>
        <v>691.60248299999989</v>
      </c>
      <c r="O23" s="36">
        <f>F23/6*G23</f>
        <v>691.60248299999989</v>
      </c>
      <c r="P23" s="36">
        <f>F23/6*G23</f>
        <v>691.60248299999989</v>
      </c>
      <c r="Q23" s="36">
        <f>F23/6*G23</f>
        <v>691.60248299999989</v>
      </c>
      <c r="R23" s="36">
        <f>F23/6*G23</f>
        <v>691.60248299999989</v>
      </c>
      <c r="S23" s="36">
        <v>0</v>
      </c>
      <c r="T23" s="36">
        <v>0</v>
      </c>
      <c r="U23" s="36">
        <f t="shared" si="3"/>
        <v>4149.6148979999989</v>
      </c>
    </row>
    <row r="24" spans="1:21">
      <c r="A24" s="24" t="s">
        <v>44</v>
      </c>
      <c r="B24" s="11" t="s">
        <v>45</v>
      </c>
      <c r="C24" s="24" t="s">
        <v>42</v>
      </c>
      <c r="D24" s="11" t="s">
        <v>46</v>
      </c>
      <c r="E24" s="34">
        <v>561.6</v>
      </c>
      <c r="F24" s="34">
        <f>SUM(E24/1000)</f>
        <v>0.56159999999999999</v>
      </c>
      <c r="G24" s="34">
        <v>3020.33</v>
      </c>
      <c r="H24" s="35">
        <f t="shared" si="2"/>
        <v>1.6962173279999999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f>F24*G24</f>
        <v>1696.217328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f t="shared" si="3"/>
        <v>1696.217328</v>
      </c>
    </row>
    <row r="25" spans="1:21">
      <c r="A25" s="24" t="s">
        <v>47</v>
      </c>
      <c r="B25" s="11" t="s">
        <v>48</v>
      </c>
      <c r="C25" s="24" t="s">
        <v>49</v>
      </c>
      <c r="D25" s="11" t="s">
        <v>50</v>
      </c>
      <c r="E25" s="47">
        <v>0.33333333333333331</v>
      </c>
      <c r="F25" s="34">
        <f>155/3</f>
        <v>51.666666666666664</v>
      </c>
      <c r="G25" s="34">
        <v>53.38</v>
      </c>
      <c r="H25" s="35">
        <f>SUM(G25*155/3/1000)</f>
        <v>2.7579666666666669</v>
      </c>
      <c r="I25" s="36">
        <v>0</v>
      </c>
      <c r="J25" s="36">
        <v>0</v>
      </c>
      <c r="K25" s="36">
        <v>0</v>
      </c>
      <c r="L25" s="36">
        <v>0</v>
      </c>
      <c r="M25" s="36">
        <f>F25/6*G25</f>
        <v>459.6611111111111</v>
      </c>
      <c r="N25" s="36">
        <f>F25/6*G25</f>
        <v>459.6611111111111</v>
      </c>
      <c r="O25" s="36">
        <f>F25/6*G25</f>
        <v>459.6611111111111</v>
      </c>
      <c r="P25" s="36">
        <f>F25/6*G25</f>
        <v>459.6611111111111</v>
      </c>
      <c r="Q25" s="36">
        <f>F25/6*G25</f>
        <v>459.6611111111111</v>
      </c>
      <c r="R25" s="36">
        <f>F25/6*G25</f>
        <v>459.6611111111111</v>
      </c>
      <c r="S25" s="36">
        <v>0</v>
      </c>
      <c r="T25" s="36">
        <v>0</v>
      </c>
      <c r="U25" s="36">
        <f t="shared" si="3"/>
        <v>2757.9666666666667</v>
      </c>
    </row>
    <row r="26" spans="1:21" ht="12.75" customHeight="1">
      <c r="A26" s="24" t="s">
        <v>51</v>
      </c>
      <c r="B26" s="11" t="s">
        <v>52</v>
      </c>
      <c r="C26" s="24" t="s">
        <v>53</v>
      </c>
      <c r="D26" s="11" t="s">
        <v>54</v>
      </c>
      <c r="E26" s="48">
        <v>0.1</v>
      </c>
      <c r="F26" s="34">
        <f>SUM(E26*365)</f>
        <v>36.5</v>
      </c>
      <c r="G26" s="34">
        <v>147.03</v>
      </c>
      <c r="H26" s="35">
        <f t="shared" si="2"/>
        <v>5.3665950000000002</v>
      </c>
      <c r="I26" s="36">
        <f>F26/12*G26</f>
        <v>447.21625</v>
      </c>
      <c r="J26" s="36">
        <f>F26/12*G26</f>
        <v>447.21625</v>
      </c>
      <c r="K26" s="36">
        <f>F26/12*G26</f>
        <v>447.21625</v>
      </c>
      <c r="L26" s="36">
        <f>F26/12*G26</f>
        <v>447.21625</v>
      </c>
      <c r="M26" s="36">
        <f>F26/12*G26</f>
        <v>447.21625</v>
      </c>
      <c r="N26" s="36">
        <f>F26/12*G26</f>
        <v>447.21625</v>
      </c>
      <c r="O26" s="36">
        <f>F26/12*G26</f>
        <v>447.21625</v>
      </c>
      <c r="P26" s="36">
        <f>F26/12*G26</f>
        <v>447.21625</v>
      </c>
      <c r="Q26" s="36">
        <f>F26/12*G26</f>
        <v>447.21625</v>
      </c>
      <c r="R26" s="36">
        <f>F26/12*G26</f>
        <v>447.21625</v>
      </c>
      <c r="S26" s="36">
        <f>F26/12*G26</f>
        <v>447.21625</v>
      </c>
      <c r="T26" s="36">
        <f>F26/12*G26</f>
        <v>447.21625</v>
      </c>
      <c r="U26" s="36">
        <f t="shared" si="3"/>
        <v>5366.5950000000012</v>
      </c>
    </row>
    <row r="27" spans="1:21" ht="12.75" customHeight="1">
      <c r="A27" s="24" t="s">
        <v>56</v>
      </c>
      <c r="B27" s="11" t="s">
        <v>57</v>
      </c>
      <c r="C27" s="24" t="s">
        <v>53</v>
      </c>
      <c r="D27" s="11" t="s">
        <v>55</v>
      </c>
      <c r="E27" s="33"/>
      <c r="F27" s="34">
        <v>2</v>
      </c>
      <c r="G27" s="34">
        <v>191.32</v>
      </c>
      <c r="H27" s="35">
        <f t="shared" si="2"/>
        <v>0.38263999999999998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f t="shared" si="3"/>
        <v>0</v>
      </c>
    </row>
    <row r="28" spans="1:21" ht="13.5" customHeight="1">
      <c r="A28" s="24" t="s">
        <v>58</v>
      </c>
      <c r="B28" s="11" t="s">
        <v>59</v>
      </c>
      <c r="C28" s="24" t="s">
        <v>60</v>
      </c>
      <c r="D28" s="11" t="s">
        <v>55</v>
      </c>
      <c r="E28" s="33"/>
      <c r="F28" s="34">
        <v>1</v>
      </c>
      <c r="G28" s="34">
        <v>1136.33</v>
      </c>
      <c r="H28" s="35">
        <f t="shared" si="2"/>
        <v>1.1363299999999998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f t="shared" si="3"/>
        <v>0</v>
      </c>
    </row>
    <row r="29" spans="1:21">
      <c r="A29" s="24"/>
      <c r="B29" s="49" t="s">
        <v>61</v>
      </c>
      <c r="C29" s="24" t="s">
        <v>62</v>
      </c>
      <c r="D29" s="49" t="s">
        <v>63</v>
      </c>
      <c r="E29" s="33">
        <v>3053.4</v>
      </c>
      <c r="F29" s="34">
        <f>SUM(E29*12)</f>
        <v>36640.800000000003</v>
      </c>
      <c r="G29" s="34">
        <v>4.55</v>
      </c>
      <c r="H29" s="35">
        <f t="shared" si="2"/>
        <v>166.71564000000001</v>
      </c>
      <c r="I29" s="36">
        <f>F29/12*G29</f>
        <v>13892.97</v>
      </c>
      <c r="J29" s="36">
        <f>F29/12*G29</f>
        <v>13892.97</v>
      </c>
      <c r="K29" s="36">
        <f>F29/12*G29</f>
        <v>13892.97</v>
      </c>
      <c r="L29" s="36">
        <f>F29/12*G29</f>
        <v>13892.97</v>
      </c>
      <c r="M29" s="36">
        <f>F29/12*G29</f>
        <v>13892.97</v>
      </c>
      <c r="N29" s="36">
        <f>F29/12*G29</f>
        <v>13892.97</v>
      </c>
      <c r="O29" s="36">
        <f>F29/12*G29</f>
        <v>13892.97</v>
      </c>
      <c r="P29" s="36">
        <f>F29/12*G29</f>
        <v>13892.97</v>
      </c>
      <c r="Q29" s="36">
        <f>F29/12*G29</f>
        <v>13892.97</v>
      </c>
      <c r="R29" s="36">
        <f>F29/12*G29</f>
        <v>13892.97</v>
      </c>
      <c r="S29" s="36">
        <f>F29/12*G29</f>
        <v>13892.97</v>
      </c>
      <c r="T29" s="36">
        <f>F29/12*G29</f>
        <v>13892.97</v>
      </c>
      <c r="U29" s="36">
        <f t="shared" si="3"/>
        <v>166715.63999999998</v>
      </c>
    </row>
    <row r="30" spans="1:21" s="6" customFormat="1">
      <c r="A30" s="39"/>
      <c r="B30" s="12" t="s">
        <v>34</v>
      </c>
      <c r="C30" s="40"/>
      <c r="D30" s="12"/>
      <c r="E30" s="41"/>
      <c r="F30" s="42"/>
      <c r="G30" s="42"/>
      <c r="H30" s="50">
        <f>SUM(H22:H29)</f>
        <v>186.75749074066667</v>
      </c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5"/>
      <c r="T30" s="45"/>
      <c r="U30" s="94">
        <f>SUM(U22:U29)</f>
        <v>185238.52074066666</v>
      </c>
    </row>
    <row r="31" spans="1:21">
      <c r="A31" s="24"/>
      <c r="B31" s="13" t="s">
        <v>64</v>
      </c>
      <c r="C31" s="24"/>
      <c r="D31" s="11"/>
      <c r="E31" s="33"/>
      <c r="F31" s="34"/>
      <c r="G31" s="34"/>
      <c r="H31" s="35" t="s">
        <v>63</v>
      </c>
      <c r="I31" s="46"/>
      <c r="J31" s="46"/>
      <c r="K31" s="46"/>
      <c r="L31" s="46"/>
      <c r="M31" s="32"/>
      <c r="N31" s="32"/>
      <c r="O31" s="32"/>
      <c r="P31" s="32"/>
      <c r="Q31" s="32"/>
      <c r="R31" s="32"/>
      <c r="S31" s="32"/>
      <c r="T31" s="32"/>
      <c r="U31" s="36"/>
    </row>
    <row r="32" spans="1:21" ht="25.5">
      <c r="A32" s="24" t="s">
        <v>58</v>
      </c>
      <c r="B32" s="14" t="s">
        <v>65</v>
      </c>
      <c r="C32" s="24" t="s">
        <v>60</v>
      </c>
      <c r="D32" s="11"/>
      <c r="E32" s="33"/>
      <c r="F32" s="34">
        <v>3</v>
      </c>
      <c r="G32" s="34">
        <v>1527.22</v>
      </c>
      <c r="H32" s="35">
        <f t="shared" ref="H32:H40" si="4">SUM(F32*G32/1000)</f>
        <v>4.5816600000000003</v>
      </c>
      <c r="I32" s="36">
        <f>F32/6*G32</f>
        <v>763.61</v>
      </c>
      <c r="J32" s="36">
        <f>F32/6*G32</f>
        <v>763.61</v>
      </c>
      <c r="K32" s="36">
        <f>F32/6*G32</f>
        <v>763.61</v>
      </c>
      <c r="L32" s="36">
        <f>F32/6*G32</f>
        <v>763.61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f>F32/6*G32</f>
        <v>763.61</v>
      </c>
      <c r="T32" s="36">
        <f>F32/6*G32</f>
        <v>763.61</v>
      </c>
      <c r="U32" s="36">
        <f>SUM(I32:T32)</f>
        <v>4581.66</v>
      </c>
    </row>
    <row r="33" spans="1:21" s="1" customFormat="1">
      <c r="A33" s="51" t="s">
        <v>66</v>
      </c>
      <c r="B33" s="14" t="s">
        <v>67</v>
      </c>
      <c r="C33" s="51" t="s">
        <v>68</v>
      </c>
      <c r="D33" s="14" t="s">
        <v>161</v>
      </c>
      <c r="E33" s="52">
        <v>205.7</v>
      </c>
      <c r="F33" s="52">
        <f>SUM(E33*20/1000)</f>
        <v>4.1139999999999999</v>
      </c>
      <c r="G33" s="52">
        <v>2102.71</v>
      </c>
      <c r="H33" s="35">
        <f t="shared" si="4"/>
        <v>8.6505489400000002</v>
      </c>
      <c r="I33" s="53">
        <f>F33/6*G33</f>
        <v>1441.7581566666665</v>
      </c>
      <c r="J33" s="53">
        <f>F33/6*G33</f>
        <v>1441.7581566666665</v>
      </c>
      <c r="K33" s="53">
        <f>F33/6*G33</f>
        <v>1441.7581566666665</v>
      </c>
      <c r="L33" s="53">
        <f>F33/6*G33</f>
        <v>1441.7581566666665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f>F33/6*G33</f>
        <v>1441.7581566666665</v>
      </c>
      <c r="T33" s="53">
        <f>F33/6*G33</f>
        <v>1441.7581566666665</v>
      </c>
      <c r="U33" s="36">
        <f>SUM(I33:T33)</f>
        <v>8650.5489399999988</v>
      </c>
    </row>
    <row r="34" spans="1:21" ht="25.5">
      <c r="A34" s="24" t="s">
        <v>70</v>
      </c>
      <c r="B34" s="11" t="s">
        <v>178</v>
      </c>
      <c r="C34" s="24" t="s">
        <v>68</v>
      </c>
      <c r="D34" s="11" t="s">
        <v>71</v>
      </c>
      <c r="E34" s="33">
        <v>89.1</v>
      </c>
      <c r="F34" s="52">
        <f>SUM(E34*155/1000)</f>
        <v>13.810499999999999</v>
      </c>
      <c r="G34" s="34">
        <v>350.75</v>
      </c>
      <c r="H34" s="35">
        <f t="shared" si="4"/>
        <v>4.8440328749999999</v>
      </c>
      <c r="I34" s="36">
        <f>F34/6*G34</f>
        <v>807.3388124999999</v>
      </c>
      <c r="J34" s="36">
        <f>F34/6*G34</f>
        <v>807.3388124999999</v>
      </c>
      <c r="K34" s="36">
        <f>F34/6*G34</f>
        <v>807.3388124999999</v>
      </c>
      <c r="L34" s="36">
        <f>F34/6*G34</f>
        <v>807.3388124999999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f>F34/6*G34</f>
        <v>807.3388124999999</v>
      </c>
      <c r="T34" s="36">
        <f>F34/6*G34</f>
        <v>807.3388124999999</v>
      </c>
      <c r="U34" s="36">
        <f>SUM(I34:T34)</f>
        <v>4844.0328749999999</v>
      </c>
    </row>
    <row r="35" spans="1:21" hidden="1">
      <c r="A35" s="24"/>
      <c r="B35" s="11" t="s">
        <v>72</v>
      </c>
      <c r="C35" s="24" t="s">
        <v>60</v>
      </c>
      <c r="D35" s="11"/>
      <c r="E35" s="33"/>
      <c r="F35" s="52">
        <f>SUM(E35*155/1000)</f>
        <v>0</v>
      </c>
      <c r="G35" s="34">
        <v>707.87</v>
      </c>
      <c r="H35" s="35">
        <f t="shared" si="4"/>
        <v>0</v>
      </c>
      <c r="I35" s="46"/>
      <c r="J35" s="46"/>
      <c r="K35" s="4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idden="1">
      <c r="A36" s="24"/>
      <c r="B36" s="11" t="s">
        <v>73</v>
      </c>
      <c r="C36" s="24" t="s">
        <v>60</v>
      </c>
      <c r="D36" s="11"/>
      <c r="E36" s="33"/>
      <c r="F36" s="52">
        <f>SUM(E36*155/1000)</f>
        <v>0</v>
      </c>
      <c r="G36" s="34">
        <v>460</v>
      </c>
      <c r="H36" s="35">
        <f t="shared" si="4"/>
        <v>0</v>
      </c>
      <c r="I36" s="46"/>
      <c r="J36" s="46"/>
      <c r="K36" s="4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38.25" hidden="1">
      <c r="A37" s="24" t="s">
        <v>74</v>
      </c>
      <c r="B37" s="11" t="s">
        <v>75</v>
      </c>
      <c r="C37" s="24" t="s">
        <v>42</v>
      </c>
      <c r="D37" s="11" t="s">
        <v>76</v>
      </c>
      <c r="E37" s="33">
        <v>0</v>
      </c>
      <c r="F37" s="52">
        <f>SUM(E37*155/1000)</f>
        <v>0</v>
      </c>
      <c r="G37" s="34">
        <v>5155.17</v>
      </c>
      <c r="H37" s="35">
        <f t="shared" si="4"/>
        <v>0</v>
      </c>
      <c r="I37" s="46"/>
      <c r="J37" s="46"/>
      <c r="K37" s="4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ht="51" customHeight="1">
      <c r="A38" s="24" t="s">
        <v>74</v>
      </c>
      <c r="B38" s="11" t="s">
        <v>77</v>
      </c>
      <c r="C38" s="24" t="s">
        <v>42</v>
      </c>
      <c r="D38" s="11" t="s">
        <v>69</v>
      </c>
      <c r="E38" s="34">
        <v>48</v>
      </c>
      <c r="F38" s="52">
        <f>SUM(E38*50/1000)</f>
        <v>2.4</v>
      </c>
      <c r="G38" s="34">
        <v>5803.28</v>
      </c>
      <c r="H38" s="35">
        <f>SUM(F38*G38/1000)</f>
        <v>13.927871999999999</v>
      </c>
      <c r="I38" s="36">
        <f>F38/6*G38</f>
        <v>2321.3119999999999</v>
      </c>
      <c r="J38" s="36">
        <f>F38/6*G38</f>
        <v>2321.3119999999999</v>
      </c>
      <c r="K38" s="36">
        <f>F38/6*G38</f>
        <v>2321.3119999999999</v>
      </c>
      <c r="L38" s="36">
        <f>F38/6*G38</f>
        <v>2321.3119999999999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f>F38/6*G38</f>
        <v>2321.3119999999999</v>
      </c>
      <c r="T38" s="36">
        <f>F38/6*G38</f>
        <v>2321.3119999999999</v>
      </c>
      <c r="U38" s="36">
        <f>SUM(I38:T38)</f>
        <v>13927.871999999999</v>
      </c>
    </row>
    <row r="39" spans="1:21" ht="12.75" customHeight="1">
      <c r="A39" s="24" t="s">
        <v>78</v>
      </c>
      <c r="B39" s="11" t="s">
        <v>79</v>
      </c>
      <c r="C39" s="24" t="s">
        <v>42</v>
      </c>
      <c r="D39" s="11" t="s">
        <v>80</v>
      </c>
      <c r="E39" s="34">
        <v>89</v>
      </c>
      <c r="F39" s="52">
        <f>SUM(E39*45/1000)</f>
        <v>4.0049999999999999</v>
      </c>
      <c r="G39" s="34">
        <v>428.7</v>
      </c>
      <c r="H39" s="35">
        <f t="shared" si="4"/>
        <v>1.7169435</v>
      </c>
      <c r="I39" s="36">
        <f>F39/6*G39</f>
        <v>286.15724999999998</v>
      </c>
      <c r="J39" s="36">
        <f>F39/6*G39</f>
        <v>286.15724999999998</v>
      </c>
      <c r="K39" s="36">
        <f>F39/6*G39</f>
        <v>286.15724999999998</v>
      </c>
      <c r="L39" s="36">
        <f>F39/6*G39</f>
        <v>286.15724999999998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f>F39/6*G39</f>
        <v>286.15724999999998</v>
      </c>
      <c r="T39" s="36">
        <f>F39/6*G39</f>
        <v>286.15724999999998</v>
      </c>
      <c r="U39" s="36">
        <f>SUM(I39:T39)</f>
        <v>1716.9434999999999</v>
      </c>
    </row>
    <row r="40" spans="1:21" s="2" customFormat="1">
      <c r="A40" s="51"/>
      <c r="B40" s="14" t="s">
        <v>81</v>
      </c>
      <c r="C40" s="51" t="s">
        <v>53</v>
      </c>
      <c r="D40" s="14"/>
      <c r="E40" s="48"/>
      <c r="F40" s="52">
        <v>0.9</v>
      </c>
      <c r="G40" s="52">
        <v>798</v>
      </c>
      <c r="H40" s="35">
        <f t="shared" si="4"/>
        <v>0.71820000000000006</v>
      </c>
      <c r="I40" s="53">
        <f>F40/6*G40</f>
        <v>119.69999999999999</v>
      </c>
      <c r="J40" s="53">
        <f>F40/6*G40</f>
        <v>119.69999999999999</v>
      </c>
      <c r="K40" s="53">
        <f>F40/6*G40</f>
        <v>119.69999999999999</v>
      </c>
      <c r="L40" s="53">
        <f>F40/6*G40</f>
        <v>119.69999999999999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f>F40/6*G40</f>
        <v>119.69999999999999</v>
      </c>
      <c r="T40" s="53">
        <f>F40/6*G40</f>
        <v>119.69999999999999</v>
      </c>
      <c r="U40" s="36">
        <f>SUM(I40:T40)</f>
        <v>718.2</v>
      </c>
    </row>
    <row r="41" spans="1:21" s="6" customFormat="1">
      <c r="A41" s="39"/>
      <c r="B41" s="12" t="s">
        <v>34</v>
      </c>
      <c r="C41" s="40"/>
      <c r="D41" s="12"/>
      <c r="E41" s="41"/>
      <c r="F41" s="42" t="s">
        <v>63</v>
      </c>
      <c r="G41" s="42"/>
      <c r="H41" s="50">
        <f>SUM(H32:H40)</f>
        <v>34.439257314999999</v>
      </c>
      <c r="I41" s="94"/>
      <c r="J41" s="44"/>
      <c r="K41" s="44"/>
      <c r="L41" s="44"/>
      <c r="M41" s="45"/>
      <c r="N41" s="45"/>
      <c r="O41" s="45"/>
      <c r="P41" s="45"/>
      <c r="Q41" s="45"/>
      <c r="R41" s="45"/>
      <c r="S41" s="45"/>
      <c r="T41" s="45"/>
      <c r="U41" s="94">
        <f>SUM(U32:U40)</f>
        <v>34439.257314999995</v>
      </c>
    </row>
    <row r="42" spans="1:21">
      <c r="A42" s="24"/>
      <c r="B42" s="15" t="s">
        <v>82</v>
      </c>
      <c r="C42" s="24"/>
      <c r="D42" s="11"/>
      <c r="E42" s="33"/>
      <c r="F42" s="34"/>
      <c r="G42" s="34"/>
      <c r="H42" s="35"/>
      <c r="I42" s="46"/>
      <c r="J42" s="46"/>
      <c r="K42" s="46"/>
      <c r="L42" s="46"/>
      <c r="M42" s="32"/>
      <c r="N42" s="32"/>
      <c r="O42" s="32"/>
      <c r="P42" s="32"/>
      <c r="Q42" s="32"/>
      <c r="R42" s="32"/>
      <c r="S42" s="32"/>
      <c r="T42" s="32"/>
      <c r="U42" s="36"/>
    </row>
    <row r="43" spans="1:21">
      <c r="A43" s="24" t="s">
        <v>83</v>
      </c>
      <c r="B43" s="11" t="s">
        <v>84</v>
      </c>
      <c r="C43" s="24" t="s">
        <v>42</v>
      </c>
      <c r="D43" s="11" t="s">
        <v>85</v>
      </c>
      <c r="E43" s="33">
        <v>1632.75</v>
      </c>
      <c r="F43" s="34">
        <f>SUM(E43*2/1000)</f>
        <v>3.2654999999999998</v>
      </c>
      <c r="G43" s="54">
        <v>809.74</v>
      </c>
      <c r="H43" s="35">
        <f t="shared" ref="H43:H52" si="5">SUM(F43*G43/1000)</f>
        <v>2.6442059699999998</v>
      </c>
      <c r="I43" s="36">
        <v>0</v>
      </c>
      <c r="J43" s="36">
        <v>0</v>
      </c>
      <c r="K43" s="36">
        <v>0</v>
      </c>
      <c r="L43" s="36">
        <f>F43/2*G43</f>
        <v>1322.102985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f>F43/2*G43</f>
        <v>1322.102985</v>
      </c>
      <c r="S43" s="36">
        <v>0</v>
      </c>
      <c r="T43" s="36">
        <v>0</v>
      </c>
      <c r="U43" s="36">
        <f t="shared" ref="U43:U52" si="6">SUM(I43:T43)</f>
        <v>2644.20597</v>
      </c>
    </row>
    <row r="44" spans="1:21">
      <c r="A44" s="24" t="s">
        <v>86</v>
      </c>
      <c r="B44" s="11" t="s">
        <v>87</v>
      </c>
      <c r="C44" s="24" t="s">
        <v>42</v>
      </c>
      <c r="D44" s="11" t="s">
        <v>85</v>
      </c>
      <c r="E44" s="33">
        <v>53.75</v>
      </c>
      <c r="F44" s="34">
        <f>SUM(E44*2/1000)</f>
        <v>0.1075</v>
      </c>
      <c r="G44" s="54">
        <v>579.48</v>
      </c>
      <c r="H44" s="35">
        <f t="shared" si="5"/>
        <v>6.2294099999999998E-2</v>
      </c>
      <c r="I44" s="36">
        <v>0</v>
      </c>
      <c r="J44" s="36">
        <v>0</v>
      </c>
      <c r="K44" s="36">
        <v>0</v>
      </c>
      <c r="L44" s="36">
        <f>F44/2*G44</f>
        <v>31.14705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f>F44/2*G44</f>
        <v>31.14705</v>
      </c>
      <c r="S44" s="36">
        <v>0</v>
      </c>
      <c r="T44" s="36">
        <v>0</v>
      </c>
      <c r="U44" s="36">
        <f t="shared" si="6"/>
        <v>62.2941</v>
      </c>
    </row>
    <row r="45" spans="1:21" ht="25.5">
      <c r="A45" s="24" t="s">
        <v>88</v>
      </c>
      <c r="B45" s="11" t="s">
        <v>89</v>
      </c>
      <c r="C45" s="24" t="s">
        <v>42</v>
      </c>
      <c r="D45" s="11" t="s">
        <v>85</v>
      </c>
      <c r="E45" s="33">
        <v>2285.6</v>
      </c>
      <c r="F45" s="34">
        <f>SUM(E45*2/1000)</f>
        <v>4.5712000000000002</v>
      </c>
      <c r="G45" s="54">
        <v>579.48</v>
      </c>
      <c r="H45" s="35">
        <f t="shared" si="5"/>
        <v>2.6489189760000005</v>
      </c>
      <c r="I45" s="36">
        <v>0</v>
      </c>
      <c r="J45" s="36">
        <v>0</v>
      </c>
      <c r="K45" s="36">
        <v>0</v>
      </c>
      <c r="L45" s="36">
        <f>F45/2*G45</f>
        <v>1324.4594880000002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f>F45/2*G45</f>
        <v>1324.4594880000002</v>
      </c>
      <c r="S45" s="36">
        <v>0</v>
      </c>
      <c r="T45" s="36">
        <v>0</v>
      </c>
      <c r="U45" s="36">
        <f t="shared" si="6"/>
        <v>2648.9189760000004</v>
      </c>
    </row>
    <row r="46" spans="1:21">
      <c r="A46" s="24" t="s">
        <v>90</v>
      </c>
      <c r="B46" s="11" t="s">
        <v>91</v>
      </c>
      <c r="C46" s="24" t="s">
        <v>42</v>
      </c>
      <c r="D46" s="11" t="s">
        <v>85</v>
      </c>
      <c r="E46" s="33">
        <v>1860</v>
      </c>
      <c r="F46" s="34">
        <f>SUM(E46*2/1000)</f>
        <v>3.72</v>
      </c>
      <c r="G46" s="54">
        <v>606.77</v>
      </c>
      <c r="H46" s="35">
        <f t="shared" si="5"/>
        <v>2.2571844000000003</v>
      </c>
      <c r="I46" s="36">
        <v>0</v>
      </c>
      <c r="J46" s="36">
        <v>0</v>
      </c>
      <c r="K46" s="36">
        <v>0</v>
      </c>
      <c r="L46" s="36">
        <f>F46/2*G46</f>
        <v>1128.5922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f>F46/2*G46</f>
        <v>1128.5922</v>
      </c>
      <c r="S46" s="36">
        <v>0</v>
      </c>
      <c r="T46" s="36">
        <v>0</v>
      </c>
      <c r="U46" s="36">
        <f t="shared" si="6"/>
        <v>2257.1844000000001</v>
      </c>
    </row>
    <row r="47" spans="1:21">
      <c r="A47" s="24" t="s">
        <v>92</v>
      </c>
      <c r="B47" s="11" t="s">
        <v>93</v>
      </c>
      <c r="C47" s="24" t="s">
        <v>94</v>
      </c>
      <c r="D47" s="11" t="s">
        <v>85</v>
      </c>
      <c r="E47" s="33">
        <v>120.49</v>
      </c>
      <c r="F47" s="34">
        <f>SUM(E47*2/100)</f>
        <v>2.4097999999999997</v>
      </c>
      <c r="G47" s="54">
        <v>72.81</v>
      </c>
      <c r="H47" s="35">
        <f t="shared" si="5"/>
        <v>0.17545753799999997</v>
      </c>
      <c r="I47" s="36">
        <v>0</v>
      </c>
      <c r="J47" s="36">
        <v>0</v>
      </c>
      <c r="K47" s="36">
        <v>0</v>
      </c>
      <c r="L47" s="36">
        <f>F47/2*G47</f>
        <v>87.728768999999986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f>F47/2*G47</f>
        <v>87.728768999999986</v>
      </c>
      <c r="S47" s="36">
        <v>0</v>
      </c>
      <c r="T47" s="36">
        <v>0</v>
      </c>
      <c r="U47" s="36">
        <f t="shared" si="6"/>
        <v>175.45753799999997</v>
      </c>
    </row>
    <row r="48" spans="1:21" ht="25.5">
      <c r="A48" s="24" t="s">
        <v>95</v>
      </c>
      <c r="B48" s="11" t="s">
        <v>96</v>
      </c>
      <c r="C48" s="24" t="s">
        <v>42</v>
      </c>
      <c r="D48" s="11" t="s">
        <v>97</v>
      </c>
      <c r="E48" s="33">
        <v>1728</v>
      </c>
      <c r="F48" s="34">
        <f>SUM(E48*5/1000)</f>
        <v>8.64</v>
      </c>
      <c r="G48" s="54">
        <v>1213.55</v>
      </c>
      <c r="H48" s="35">
        <f t="shared" si="5"/>
        <v>10.485072000000001</v>
      </c>
      <c r="I48" s="36">
        <f>F48/5*G48</f>
        <v>2097.0144</v>
      </c>
      <c r="J48" s="36">
        <f>F48/5*G48</f>
        <v>2097.0144</v>
      </c>
      <c r="K48" s="36">
        <v>0</v>
      </c>
      <c r="L48" s="36">
        <v>0</v>
      </c>
      <c r="M48" s="36">
        <f>F48/5*G48</f>
        <v>2097.0144</v>
      </c>
      <c r="N48" s="36">
        <v>0</v>
      </c>
      <c r="O48" s="36">
        <v>0</v>
      </c>
      <c r="P48" s="36">
        <v>0</v>
      </c>
      <c r="Q48" s="36">
        <f>F48/5*G48</f>
        <v>2097.0144</v>
      </c>
      <c r="R48" s="36">
        <v>0</v>
      </c>
      <c r="S48" s="36">
        <v>0</v>
      </c>
      <c r="T48" s="36">
        <f>F48/5*G48</f>
        <v>2097.0144</v>
      </c>
      <c r="U48" s="36">
        <f t="shared" si="6"/>
        <v>10485.072</v>
      </c>
    </row>
    <row r="49" spans="1:21" ht="39.6" customHeight="1">
      <c r="A49" s="24" t="s">
        <v>98</v>
      </c>
      <c r="B49" s="11" t="s">
        <v>99</v>
      </c>
      <c r="C49" s="24" t="s">
        <v>42</v>
      </c>
      <c r="D49" s="11" t="s">
        <v>85</v>
      </c>
      <c r="E49" s="33">
        <v>1728</v>
      </c>
      <c r="F49" s="34">
        <f>SUM(E49*2/1000)</f>
        <v>3.456</v>
      </c>
      <c r="G49" s="54">
        <v>1213.55</v>
      </c>
      <c r="H49" s="35">
        <f t="shared" si="5"/>
        <v>4.1940287999999999</v>
      </c>
      <c r="I49" s="36">
        <v>0</v>
      </c>
      <c r="J49" s="36">
        <f>F49/2*G49</f>
        <v>2097.0144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f>F49/2*G49</f>
        <v>2097.0144</v>
      </c>
      <c r="R49" s="36">
        <v>0</v>
      </c>
      <c r="S49" s="36">
        <v>0</v>
      </c>
      <c r="T49" s="36">
        <v>0</v>
      </c>
      <c r="U49" s="36">
        <f t="shared" si="6"/>
        <v>4194.0288</v>
      </c>
    </row>
    <row r="50" spans="1:21" ht="28.9" customHeight="1">
      <c r="A50" s="24" t="s">
        <v>100</v>
      </c>
      <c r="B50" s="11" t="s">
        <v>101</v>
      </c>
      <c r="C50" s="24" t="s">
        <v>102</v>
      </c>
      <c r="D50" s="11" t="s">
        <v>85</v>
      </c>
      <c r="E50" s="33">
        <v>20</v>
      </c>
      <c r="F50" s="34">
        <f>SUM(E50*2/100)</f>
        <v>0.4</v>
      </c>
      <c r="G50" s="54">
        <v>2730.49</v>
      </c>
      <c r="H50" s="35">
        <f t="shared" si="5"/>
        <v>1.0921959999999999</v>
      </c>
      <c r="I50" s="36">
        <v>0</v>
      </c>
      <c r="J50" s="36">
        <f>F50/2*G50</f>
        <v>546.09799999999996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f>F50/2*G50</f>
        <v>546.09799999999996</v>
      </c>
      <c r="R50" s="36">
        <v>0</v>
      </c>
      <c r="S50" s="36">
        <v>0</v>
      </c>
      <c r="T50" s="36">
        <v>0</v>
      </c>
      <c r="U50" s="36">
        <f t="shared" si="6"/>
        <v>1092.1959999999999</v>
      </c>
    </row>
    <row r="51" spans="1:21">
      <c r="A51" s="24" t="s">
        <v>103</v>
      </c>
      <c r="B51" s="11" t="s">
        <v>104</v>
      </c>
      <c r="C51" s="24" t="s">
        <v>105</v>
      </c>
      <c r="D51" s="11" t="s">
        <v>85</v>
      </c>
      <c r="E51" s="33">
        <v>1</v>
      </c>
      <c r="F51" s="34">
        <v>0.02</v>
      </c>
      <c r="G51" s="54">
        <v>5652.13</v>
      </c>
      <c r="H51" s="35">
        <f t="shared" si="5"/>
        <v>0.11304260000000001</v>
      </c>
      <c r="I51" s="36">
        <v>0</v>
      </c>
      <c r="J51" s="36">
        <f>F51/2*G51</f>
        <v>56.521300000000004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f>F51/2*G51</f>
        <v>56.521300000000004</v>
      </c>
      <c r="R51" s="36">
        <v>0</v>
      </c>
      <c r="S51" s="36">
        <v>0</v>
      </c>
      <c r="T51" s="36">
        <v>0</v>
      </c>
      <c r="U51" s="36">
        <f t="shared" si="6"/>
        <v>113.04260000000001</v>
      </c>
    </row>
    <row r="52" spans="1:21" ht="13.5" customHeight="1">
      <c r="A52" s="24" t="s">
        <v>107</v>
      </c>
      <c r="B52" s="11" t="s">
        <v>108</v>
      </c>
      <c r="C52" s="24" t="s">
        <v>106</v>
      </c>
      <c r="D52" s="11" t="s">
        <v>184</v>
      </c>
      <c r="E52" s="33">
        <v>128</v>
      </c>
      <c r="F52" s="34">
        <f>SUM(E52)*3</f>
        <v>384</v>
      </c>
      <c r="G52" s="55">
        <v>65.67</v>
      </c>
      <c r="H52" s="35">
        <f t="shared" si="5"/>
        <v>25.217279999999999</v>
      </c>
      <c r="I52" s="36">
        <f>E52*G52</f>
        <v>8405.76</v>
      </c>
      <c r="J52" s="36">
        <v>0</v>
      </c>
      <c r="K52" s="36">
        <v>0</v>
      </c>
      <c r="L52" s="36">
        <f>E52*G52</f>
        <v>8405.76</v>
      </c>
      <c r="M52" s="36">
        <f>0</f>
        <v>0</v>
      </c>
      <c r="N52" s="36">
        <v>0</v>
      </c>
      <c r="O52" s="36">
        <v>0</v>
      </c>
      <c r="P52" s="36">
        <f>E52*G52</f>
        <v>8405.76</v>
      </c>
      <c r="Q52" s="36">
        <v>0</v>
      </c>
      <c r="R52" s="36">
        <v>0</v>
      </c>
      <c r="S52" s="36">
        <v>0</v>
      </c>
      <c r="T52" s="36">
        <v>0</v>
      </c>
      <c r="U52" s="36">
        <f t="shared" si="6"/>
        <v>25217.279999999999</v>
      </c>
    </row>
    <row r="53" spans="1:21" s="7" customFormat="1">
      <c r="A53" s="56"/>
      <c r="B53" s="12" t="s">
        <v>34</v>
      </c>
      <c r="C53" s="57"/>
      <c r="D53" s="12"/>
      <c r="E53" s="58"/>
      <c r="F53" s="59"/>
      <c r="G53" s="59"/>
      <c r="H53" s="50">
        <f>SUM(H43:H52)</f>
        <v>48.889680384000002</v>
      </c>
      <c r="I53" s="80"/>
      <c r="J53" s="60"/>
      <c r="K53" s="60"/>
      <c r="L53" s="60"/>
      <c r="M53" s="61"/>
      <c r="N53" s="61"/>
      <c r="O53" s="61"/>
      <c r="P53" s="61"/>
      <c r="Q53" s="61"/>
      <c r="R53" s="61"/>
      <c r="S53" s="61"/>
      <c r="T53" s="61"/>
      <c r="U53" s="80">
        <f>SUM(U43:U52)</f>
        <v>48889.680383999999</v>
      </c>
    </row>
    <row r="54" spans="1:21">
      <c r="A54" s="24"/>
      <c r="B54" s="13" t="s">
        <v>109</v>
      </c>
      <c r="C54" s="24"/>
      <c r="D54" s="11"/>
      <c r="E54" s="33"/>
      <c r="F54" s="34"/>
      <c r="G54" s="34"/>
      <c r="H54" s="35"/>
      <c r="I54" s="46"/>
      <c r="J54" s="46"/>
      <c r="K54" s="46"/>
      <c r="L54" s="46"/>
      <c r="M54" s="32"/>
      <c r="N54" s="32"/>
      <c r="O54" s="32"/>
      <c r="P54" s="32"/>
      <c r="Q54" s="32"/>
      <c r="R54" s="32"/>
      <c r="S54" s="32"/>
      <c r="T54" s="32"/>
      <c r="U54" s="36"/>
    </row>
    <row r="55" spans="1:21" ht="25.5" customHeight="1">
      <c r="A55" s="5" t="s">
        <v>110</v>
      </c>
      <c r="B55" s="11" t="s">
        <v>111</v>
      </c>
      <c r="C55" s="24" t="s">
        <v>14</v>
      </c>
      <c r="D55" s="11" t="s">
        <v>112</v>
      </c>
      <c r="E55" s="33">
        <v>163.30000000000001</v>
      </c>
      <c r="F55" s="34">
        <f>SUM(E55*6/100)</f>
        <v>9.798</v>
      </c>
      <c r="G55" s="54">
        <v>1547.28</v>
      </c>
      <c r="H55" s="35">
        <f>SUM(F55*G55/1000)</f>
        <v>15.160249439999999</v>
      </c>
      <c r="I55" s="36">
        <f>F55/6*G55</f>
        <v>2526.7082399999999</v>
      </c>
      <c r="J55" s="36">
        <f>F55/6*G55</f>
        <v>2526.7082399999999</v>
      </c>
      <c r="K55" s="36">
        <f>F55/6*G55</f>
        <v>2526.7082399999999</v>
      </c>
      <c r="L55" s="36">
        <f>F55/6*G55</f>
        <v>2526.7082399999999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f>F55/6*G55</f>
        <v>2526.7082399999999</v>
      </c>
      <c r="T55" s="36">
        <f>F55/6*G55</f>
        <v>2526.7082399999999</v>
      </c>
      <c r="U55" s="36">
        <f>SUM(I55:T55)</f>
        <v>15160.24944</v>
      </c>
    </row>
    <row r="56" spans="1:21">
      <c r="A56" s="24"/>
      <c r="B56" s="13" t="s">
        <v>113</v>
      </c>
      <c r="C56" s="24"/>
      <c r="D56" s="11"/>
      <c r="E56" s="33"/>
      <c r="F56" s="34"/>
      <c r="G56" s="34"/>
      <c r="H56" s="35" t="s">
        <v>63</v>
      </c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36"/>
    </row>
    <row r="57" spans="1:21" ht="12.75" customHeight="1">
      <c r="A57" s="62" t="s">
        <v>114</v>
      </c>
      <c r="B57" s="16" t="s">
        <v>162</v>
      </c>
      <c r="C57" s="62" t="s">
        <v>14</v>
      </c>
      <c r="D57" s="16" t="s">
        <v>46</v>
      </c>
      <c r="E57" s="63">
        <v>1155.2</v>
      </c>
      <c r="F57" s="64">
        <v>11.6</v>
      </c>
      <c r="G57" s="54">
        <v>793.61</v>
      </c>
      <c r="H57" s="65">
        <v>9.1679999999999993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f>SUM(I57:T57)</f>
        <v>0</v>
      </c>
    </row>
    <row r="58" spans="1:21" ht="12.75" customHeight="1">
      <c r="A58" s="62"/>
      <c r="B58" s="16" t="s">
        <v>163</v>
      </c>
      <c r="C58" s="62" t="s">
        <v>115</v>
      </c>
      <c r="D58" s="16" t="s">
        <v>159</v>
      </c>
      <c r="E58" s="63">
        <v>255.2</v>
      </c>
      <c r="F58" s="66">
        <v>3062.4</v>
      </c>
      <c r="G58" s="67">
        <v>2.42</v>
      </c>
      <c r="H58" s="68">
        <f>G58*F58/1000</f>
        <v>7.4110079999999998</v>
      </c>
      <c r="I58" s="36">
        <f>F58/12*G58</f>
        <v>617.58400000000006</v>
      </c>
      <c r="J58" s="36">
        <f>F58/12*G58</f>
        <v>617.58400000000006</v>
      </c>
      <c r="K58" s="36">
        <f>F58/12*G58</f>
        <v>617.58400000000006</v>
      </c>
      <c r="L58" s="36">
        <f>F58/12*G58</f>
        <v>617.58400000000006</v>
      </c>
      <c r="M58" s="36">
        <f>F58/12*G58</f>
        <v>617.58400000000006</v>
      </c>
      <c r="N58" s="36">
        <f>F58/12*G58</f>
        <v>617.58400000000006</v>
      </c>
      <c r="O58" s="36">
        <f>F58/12*G58</f>
        <v>617.58400000000006</v>
      </c>
      <c r="P58" s="36">
        <f>F58/12*G58</f>
        <v>617.58400000000006</v>
      </c>
      <c r="Q58" s="36">
        <f>F58/12*G58</f>
        <v>617.58400000000006</v>
      </c>
      <c r="R58" s="36">
        <f>F58/12*G58</f>
        <v>617.58400000000006</v>
      </c>
      <c r="S58" s="36">
        <f>F58/12*G58</f>
        <v>617.58400000000006</v>
      </c>
      <c r="T58" s="36">
        <f>F58/12*G58</f>
        <v>617.58400000000006</v>
      </c>
      <c r="U58" s="36">
        <f>SUM(I58:T58)</f>
        <v>7411.0079999999989</v>
      </c>
    </row>
    <row r="59" spans="1:21">
      <c r="A59" s="62"/>
      <c r="B59" s="17" t="s">
        <v>116</v>
      </c>
      <c r="C59" s="62"/>
      <c r="D59" s="16"/>
      <c r="E59" s="63"/>
      <c r="F59" s="66"/>
      <c r="G59" s="66"/>
      <c r="H59" s="68" t="s">
        <v>63</v>
      </c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36"/>
    </row>
    <row r="60" spans="1:21" ht="12.75" customHeight="1">
      <c r="A60" s="69" t="s">
        <v>117</v>
      </c>
      <c r="B60" s="18" t="s">
        <v>118</v>
      </c>
      <c r="C60" s="69" t="s">
        <v>106</v>
      </c>
      <c r="D60" s="20" t="s">
        <v>55</v>
      </c>
      <c r="E60" s="70">
        <v>5</v>
      </c>
      <c r="F60" s="34">
        <v>5</v>
      </c>
      <c r="G60" s="54">
        <v>222.4</v>
      </c>
      <c r="H60" s="71">
        <f t="shared" ref="H60:H71" si="7">SUM(F60*G60/1000)</f>
        <v>1.1120000000000001</v>
      </c>
      <c r="I60" s="36">
        <v>0</v>
      </c>
      <c r="J60" s="36">
        <v>0</v>
      </c>
      <c r="K60" s="36">
        <v>0</v>
      </c>
      <c r="L60" s="36">
        <v>0</v>
      </c>
      <c r="M60" s="36">
        <f>G60</f>
        <v>222.4</v>
      </c>
      <c r="N60" s="36">
        <f>G60</f>
        <v>222.4</v>
      </c>
      <c r="O60" s="36">
        <f>G60*11</f>
        <v>2446.4</v>
      </c>
      <c r="P60" s="36">
        <v>5</v>
      </c>
      <c r="Q60" s="36">
        <f>G60*2</f>
        <v>444.8</v>
      </c>
      <c r="R60" s="36">
        <f>G60*7</f>
        <v>1556.8</v>
      </c>
      <c r="S60" s="36">
        <f>G60*3</f>
        <v>667.2</v>
      </c>
      <c r="T60" s="36">
        <f>G60*2</f>
        <v>444.8</v>
      </c>
      <c r="U60" s="36">
        <f t="shared" ref="U60:U67" si="8">SUM(I60:T60)</f>
        <v>6009.8</v>
      </c>
    </row>
    <row r="61" spans="1:21" ht="12.75" customHeight="1">
      <c r="A61" s="69" t="s">
        <v>119</v>
      </c>
      <c r="B61" s="18" t="s">
        <v>120</v>
      </c>
      <c r="C61" s="69" t="s">
        <v>106</v>
      </c>
      <c r="D61" s="20" t="s">
        <v>55</v>
      </c>
      <c r="E61" s="70">
        <v>4</v>
      </c>
      <c r="F61" s="34">
        <v>4</v>
      </c>
      <c r="G61" s="54">
        <v>76.25</v>
      </c>
      <c r="H61" s="71">
        <f t="shared" si="7"/>
        <v>0.30499999999999999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f t="shared" si="8"/>
        <v>0</v>
      </c>
    </row>
    <row r="62" spans="1:21" s="2" customFormat="1">
      <c r="A62" s="72" t="s">
        <v>121</v>
      </c>
      <c r="B62" s="18" t="s">
        <v>122</v>
      </c>
      <c r="C62" s="72" t="s">
        <v>123</v>
      </c>
      <c r="D62" s="20" t="s">
        <v>46</v>
      </c>
      <c r="E62" s="33">
        <v>15552</v>
      </c>
      <c r="F62" s="55">
        <f>SUM(E62/100)</f>
        <v>155.52000000000001</v>
      </c>
      <c r="G62" s="54">
        <v>212.15</v>
      </c>
      <c r="H62" s="71">
        <f t="shared" si="7"/>
        <v>32.993568000000003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f>F62*G62</f>
        <v>32993.568000000007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36">
        <f t="shared" si="8"/>
        <v>32993.568000000007</v>
      </c>
    </row>
    <row r="63" spans="1:21" ht="15.75" customHeight="1">
      <c r="A63" s="69" t="s">
        <v>124</v>
      </c>
      <c r="B63" s="18" t="s">
        <v>125</v>
      </c>
      <c r="C63" s="69" t="s">
        <v>126</v>
      </c>
      <c r="D63" s="20"/>
      <c r="E63" s="33">
        <v>15552</v>
      </c>
      <c r="F63" s="54">
        <f>SUM(E63/1000)</f>
        <v>15.552</v>
      </c>
      <c r="G63" s="54">
        <v>165.21</v>
      </c>
      <c r="H63" s="71">
        <f t="shared" si="7"/>
        <v>2.5693459200000004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f>F63*G63</f>
        <v>2569.3459200000002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f t="shared" si="8"/>
        <v>2569.3459200000002</v>
      </c>
    </row>
    <row r="64" spans="1:21">
      <c r="A64" s="69" t="s">
        <v>127</v>
      </c>
      <c r="B64" s="18" t="s">
        <v>128</v>
      </c>
      <c r="C64" s="69" t="s">
        <v>129</v>
      </c>
      <c r="D64" s="20" t="s">
        <v>46</v>
      </c>
      <c r="E64" s="33">
        <v>2432</v>
      </c>
      <c r="F64" s="54">
        <f>SUM(E64/100)</f>
        <v>24.32</v>
      </c>
      <c r="G64" s="54">
        <v>2074.63</v>
      </c>
      <c r="H64" s="71">
        <f t="shared" si="7"/>
        <v>50.455001600000003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f>F64*G64</f>
        <v>50455.001600000003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f t="shared" si="8"/>
        <v>50455.001600000003</v>
      </c>
    </row>
    <row r="65" spans="1:26">
      <c r="A65" s="69"/>
      <c r="B65" s="19" t="s">
        <v>155</v>
      </c>
      <c r="C65" s="69" t="s">
        <v>53</v>
      </c>
      <c r="D65" s="20"/>
      <c r="E65" s="33">
        <v>8.6</v>
      </c>
      <c r="F65" s="54">
        <f>SUM(E65)</f>
        <v>8.6</v>
      </c>
      <c r="G65" s="54">
        <v>42.67</v>
      </c>
      <c r="H65" s="71">
        <f t="shared" si="7"/>
        <v>0.36696200000000001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f>F65*G65</f>
        <v>366.96199999999999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f t="shared" si="8"/>
        <v>366.96199999999999</v>
      </c>
    </row>
    <row r="66" spans="1:26" ht="25.5">
      <c r="A66" s="69"/>
      <c r="B66" s="19" t="s">
        <v>156</v>
      </c>
      <c r="C66" s="69" t="s">
        <v>53</v>
      </c>
      <c r="D66" s="20"/>
      <c r="E66" s="33">
        <v>8.6</v>
      </c>
      <c r="F66" s="54">
        <f>SUM(E66)</f>
        <v>8.6</v>
      </c>
      <c r="G66" s="54">
        <v>39.81</v>
      </c>
      <c r="H66" s="71">
        <f t="shared" si="7"/>
        <v>0.342366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f>F66*G66</f>
        <v>342.36599999999999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f t="shared" si="8"/>
        <v>342.36599999999999</v>
      </c>
    </row>
    <row r="67" spans="1:26">
      <c r="A67" s="69" t="s">
        <v>130</v>
      </c>
      <c r="B67" s="20" t="s">
        <v>131</v>
      </c>
      <c r="C67" s="69" t="s">
        <v>132</v>
      </c>
      <c r="D67" s="20" t="s">
        <v>46</v>
      </c>
      <c r="E67" s="70">
        <v>4</v>
      </c>
      <c r="F67" s="34">
        <f>SUM(E67)</f>
        <v>4</v>
      </c>
      <c r="G67" s="54">
        <v>49.88</v>
      </c>
      <c r="H67" s="71">
        <f t="shared" si="7"/>
        <v>0.19952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f>F67*G67</f>
        <v>199.52</v>
      </c>
      <c r="R67" s="36">
        <v>0</v>
      </c>
      <c r="S67" s="36">
        <v>0</v>
      </c>
      <c r="T67" s="36">
        <v>0</v>
      </c>
      <c r="U67" s="36">
        <f t="shared" si="8"/>
        <v>199.52</v>
      </c>
    </row>
    <row r="68" spans="1:26">
      <c r="A68" s="69"/>
      <c r="B68" s="21" t="s">
        <v>133</v>
      </c>
      <c r="C68" s="69"/>
      <c r="D68" s="20"/>
      <c r="E68" s="70"/>
      <c r="F68" s="54"/>
      <c r="G68" s="54"/>
      <c r="H68" s="71" t="s">
        <v>63</v>
      </c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36"/>
    </row>
    <row r="69" spans="1:26">
      <c r="A69" s="69" t="s">
        <v>134</v>
      </c>
      <c r="B69" s="20" t="s">
        <v>135</v>
      </c>
      <c r="C69" s="69" t="s">
        <v>136</v>
      </c>
      <c r="D69" s="20"/>
      <c r="E69" s="70">
        <v>4</v>
      </c>
      <c r="F69" s="54">
        <v>0.4</v>
      </c>
      <c r="G69" s="54">
        <v>501.62</v>
      </c>
      <c r="H69" s="71">
        <f>SUM(F69*G69/1000)</f>
        <v>0.20064800000000002</v>
      </c>
      <c r="I69" s="36">
        <f>1.4*G69</f>
        <v>702.26799999999992</v>
      </c>
      <c r="J69" s="36">
        <f>G69*0.4</f>
        <v>200.64800000000002</v>
      </c>
      <c r="K69" s="36">
        <f>G69</f>
        <v>501.62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f>G69*2.2</f>
        <v>1103.5640000000001</v>
      </c>
      <c r="S69" s="36">
        <f>G69*1.5</f>
        <v>752.43000000000006</v>
      </c>
      <c r="T69" s="36">
        <v>0</v>
      </c>
      <c r="U69" s="36">
        <f>SUM(I69:T69)</f>
        <v>3260.5300000000007</v>
      </c>
    </row>
    <row r="70" spans="1:26">
      <c r="A70" s="69"/>
      <c r="B70" s="73" t="s">
        <v>137</v>
      </c>
      <c r="C70" s="69"/>
      <c r="D70" s="20"/>
      <c r="E70" s="70"/>
      <c r="F70" s="54"/>
      <c r="G70" s="54" t="s">
        <v>63</v>
      </c>
      <c r="H70" s="71" t="s">
        <v>63</v>
      </c>
      <c r="I70" s="4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6" s="2" customFormat="1">
      <c r="A71" s="72" t="s">
        <v>138</v>
      </c>
      <c r="B71" s="74" t="s">
        <v>139</v>
      </c>
      <c r="C71" s="72" t="s">
        <v>129</v>
      </c>
      <c r="D71" s="18"/>
      <c r="E71" s="75"/>
      <c r="F71" s="55">
        <v>0.1</v>
      </c>
      <c r="G71" s="55">
        <v>2759.44</v>
      </c>
      <c r="H71" s="71">
        <f t="shared" si="7"/>
        <v>0.27594400000000002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36">
        <f>SUM(I71:T71)</f>
        <v>0</v>
      </c>
    </row>
    <row r="72" spans="1:26" s="7" customFormat="1">
      <c r="A72" s="76"/>
      <c r="B72" s="12" t="s">
        <v>34</v>
      </c>
      <c r="C72" s="77"/>
      <c r="D72" s="78"/>
      <c r="E72" s="79"/>
      <c r="F72" s="80"/>
      <c r="G72" s="80"/>
      <c r="H72" s="81">
        <f>SUM(H55:H71)</f>
        <v>120.55961296000001</v>
      </c>
      <c r="I72" s="80"/>
      <c r="J72" s="60"/>
      <c r="K72" s="60"/>
      <c r="L72" s="60"/>
      <c r="M72" s="61"/>
      <c r="N72" s="61"/>
      <c r="O72" s="61"/>
      <c r="P72" s="61"/>
      <c r="Q72" s="61"/>
      <c r="R72" s="61"/>
      <c r="S72" s="61"/>
      <c r="T72" s="61"/>
      <c r="U72" s="80">
        <f>SUM(U55:U71)</f>
        <v>118768.35096000001</v>
      </c>
    </row>
    <row r="73" spans="1:26">
      <c r="A73" s="176" t="s">
        <v>201</v>
      </c>
      <c r="B73" s="11" t="s">
        <v>202</v>
      </c>
      <c r="C73" s="83" t="s">
        <v>203</v>
      </c>
      <c r="D73" s="84"/>
      <c r="E73" s="177"/>
      <c r="F73" s="85">
        <f>232/10</f>
        <v>23.2</v>
      </c>
      <c r="G73" s="86">
        <v>9</v>
      </c>
      <c r="H73" s="178">
        <f>G73*F73/1000</f>
        <v>0.20879999999999999</v>
      </c>
      <c r="I73" s="36">
        <v>0</v>
      </c>
      <c r="J73" s="36">
        <v>0</v>
      </c>
      <c r="K73" s="36">
        <v>0</v>
      </c>
      <c r="L73" s="36">
        <v>0</v>
      </c>
      <c r="M73" s="37">
        <v>0</v>
      </c>
      <c r="N73" s="36">
        <f>F73*G73</f>
        <v>208.79999999999998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f>SUM(I73:T73)</f>
        <v>208.79999999999998</v>
      </c>
    </row>
    <row r="74" spans="1:26" ht="15.75" customHeight="1">
      <c r="A74" s="87"/>
      <c r="B74" s="82" t="s">
        <v>140</v>
      </c>
      <c r="C74" s="69" t="s">
        <v>141</v>
      </c>
      <c r="D74" s="88"/>
      <c r="E74" s="54">
        <v>3053.4</v>
      </c>
      <c r="F74" s="54">
        <f>SUM(E74*12)</f>
        <v>36640.800000000003</v>
      </c>
      <c r="G74" s="89">
        <v>2.1</v>
      </c>
      <c r="H74" s="71">
        <f>SUM(F74*G74/1000)</f>
        <v>76.94568000000001</v>
      </c>
      <c r="I74" s="36">
        <f>F74/12*G74</f>
        <v>6412.14</v>
      </c>
      <c r="J74" s="36">
        <f>F74/12*G74</f>
        <v>6412.14</v>
      </c>
      <c r="K74" s="36">
        <f>F74/12*G74</f>
        <v>6412.14</v>
      </c>
      <c r="L74" s="36">
        <f>F74/12*G74</f>
        <v>6412.14</v>
      </c>
      <c r="M74" s="36">
        <f>F74/12*G74</f>
        <v>6412.14</v>
      </c>
      <c r="N74" s="36">
        <f>F74/12*G74</f>
        <v>6412.14</v>
      </c>
      <c r="O74" s="36">
        <f>F74/12*G74</f>
        <v>6412.14</v>
      </c>
      <c r="P74" s="36">
        <f>F74/12*G74</f>
        <v>6412.14</v>
      </c>
      <c r="Q74" s="36">
        <f>F74/12*G74</f>
        <v>6412.14</v>
      </c>
      <c r="R74" s="36">
        <f>F74/12*G74</f>
        <v>6412.14</v>
      </c>
      <c r="S74" s="36">
        <f>F74/12*G74</f>
        <v>6412.14</v>
      </c>
      <c r="T74" s="36">
        <f>F74/12*G74</f>
        <v>6412.14</v>
      </c>
      <c r="U74" s="36">
        <f>SUM(I74:T74)</f>
        <v>76945.680000000008</v>
      </c>
    </row>
    <row r="75" spans="1:26" s="6" customFormat="1">
      <c r="A75" s="90"/>
      <c r="B75" s="12" t="s">
        <v>34</v>
      </c>
      <c r="C75" s="91"/>
      <c r="D75" s="92"/>
      <c r="E75" s="93"/>
      <c r="F75" s="94"/>
      <c r="G75" s="95"/>
      <c r="H75" s="96">
        <f>SUM(H73:H74)</f>
        <v>77.154480000000007</v>
      </c>
      <c r="I75" s="94"/>
      <c r="J75" s="44"/>
      <c r="K75" s="44"/>
      <c r="L75" s="44"/>
      <c r="M75" s="45"/>
      <c r="N75" s="45"/>
      <c r="O75" s="45"/>
      <c r="P75" s="45"/>
      <c r="Q75" s="45"/>
      <c r="R75" s="45"/>
      <c r="S75" s="45"/>
      <c r="T75" s="45"/>
      <c r="U75" s="94">
        <f>SUM(U73:U74)</f>
        <v>77154.48000000001</v>
      </c>
    </row>
    <row r="76" spans="1:26" ht="25.5">
      <c r="A76" s="97"/>
      <c r="B76" s="20" t="s">
        <v>142</v>
      </c>
      <c r="C76" s="69"/>
      <c r="D76" s="98"/>
      <c r="E76" s="33">
        <f>E74</f>
        <v>3053.4</v>
      </c>
      <c r="F76" s="54">
        <f>E76*12</f>
        <v>36640.800000000003</v>
      </c>
      <c r="G76" s="54">
        <v>1.63</v>
      </c>
      <c r="H76" s="71">
        <f>F76*G76/1000</f>
        <v>59.724504000000003</v>
      </c>
      <c r="I76" s="36">
        <f>F76/12*G76</f>
        <v>4977.0419999999995</v>
      </c>
      <c r="J76" s="36">
        <f>F76/12*G76</f>
        <v>4977.0419999999995</v>
      </c>
      <c r="K76" s="36">
        <f>F76/12*G76</f>
        <v>4977.0419999999995</v>
      </c>
      <c r="L76" s="36">
        <f>F76/12*G76</f>
        <v>4977.0419999999995</v>
      </c>
      <c r="M76" s="36">
        <f>F76/12*G76</f>
        <v>4977.0419999999995</v>
      </c>
      <c r="N76" s="36">
        <f>F76/12*G76</f>
        <v>4977.0419999999995</v>
      </c>
      <c r="O76" s="36">
        <f>F76/12*G76</f>
        <v>4977.0419999999995</v>
      </c>
      <c r="P76" s="36">
        <f>F76/12*G76</f>
        <v>4977.0419999999995</v>
      </c>
      <c r="Q76" s="36">
        <f>F76/12*G76</f>
        <v>4977.0419999999995</v>
      </c>
      <c r="R76" s="36">
        <f>F76/12*G76</f>
        <v>4977.0419999999995</v>
      </c>
      <c r="S76" s="36">
        <f>F76/12*G76</f>
        <v>4977.0419999999995</v>
      </c>
      <c r="T76" s="36">
        <f>F76/12*G76</f>
        <v>4977.0419999999995</v>
      </c>
      <c r="U76" s="36">
        <f>SUM(I76:T76)</f>
        <v>59724.504000000008</v>
      </c>
    </row>
    <row r="77" spans="1:26" s="6" customFormat="1">
      <c r="A77" s="90"/>
      <c r="B77" s="99" t="s">
        <v>143</v>
      </c>
      <c r="C77" s="100"/>
      <c r="D77" s="99"/>
      <c r="E77" s="94"/>
      <c r="F77" s="94"/>
      <c r="G77" s="94"/>
      <c r="H77" s="81">
        <f>SUM(H76)</f>
        <v>59.724504000000003</v>
      </c>
      <c r="I77" s="94"/>
      <c r="J77" s="44"/>
      <c r="K77" s="44"/>
      <c r="L77" s="44"/>
      <c r="M77" s="45"/>
      <c r="N77" s="45"/>
      <c r="O77" s="45"/>
      <c r="P77" s="45"/>
      <c r="Q77" s="45"/>
      <c r="R77" s="45"/>
      <c r="S77" s="45"/>
      <c r="T77" s="45"/>
      <c r="U77" s="172">
        <f>SUM(U76)</f>
        <v>59724.504000000008</v>
      </c>
      <c r="W77" s="192"/>
      <c r="X77" s="193"/>
      <c r="Y77" s="193"/>
      <c r="Z77" s="194"/>
    </row>
    <row r="78" spans="1:26" s="6" customFormat="1">
      <c r="A78" s="90"/>
      <c r="B78" s="99" t="s">
        <v>144</v>
      </c>
      <c r="C78" s="101"/>
      <c r="D78" s="102"/>
      <c r="E78" s="103"/>
      <c r="F78" s="103"/>
      <c r="G78" s="103"/>
      <c r="H78" s="81">
        <f>SUM(H77+H75+H72+H53+H41+H30+H20)</f>
        <v>630.85209413166683</v>
      </c>
      <c r="I78" s="104"/>
      <c r="J78" s="104"/>
      <c r="K78" s="104"/>
      <c r="L78" s="104"/>
      <c r="M78" s="45"/>
      <c r="N78" s="45"/>
      <c r="O78" s="45"/>
      <c r="P78" s="45"/>
      <c r="Q78" s="45"/>
      <c r="R78" s="45"/>
      <c r="S78" s="45"/>
      <c r="T78" s="45"/>
      <c r="U78" s="172">
        <f>SUM(U77+U75+U72+U53+U41+U30+U20)*1.064</f>
        <v>667704.54130809347</v>
      </c>
    </row>
    <row r="79" spans="1:26" s="168" customFormat="1" ht="52.5" customHeight="1">
      <c r="A79" s="97"/>
      <c r="B79" s="73"/>
      <c r="C79" s="69"/>
      <c r="D79" s="98"/>
      <c r="E79" s="54"/>
      <c r="F79" s="54"/>
      <c r="G79" s="54"/>
      <c r="H79" s="166"/>
      <c r="I79" s="114"/>
      <c r="J79" s="114"/>
      <c r="K79" s="114"/>
      <c r="L79" s="114"/>
      <c r="M79" s="167"/>
      <c r="N79" s="167"/>
      <c r="O79" s="167"/>
      <c r="P79" s="167"/>
      <c r="Q79" s="167"/>
      <c r="R79" s="182"/>
      <c r="S79" s="182"/>
      <c r="T79" s="182"/>
      <c r="U79" s="181" t="s">
        <v>185</v>
      </c>
    </row>
    <row r="80" spans="1:26">
      <c r="A80" s="97"/>
      <c r="B80" s="98" t="s">
        <v>145</v>
      </c>
      <c r="C80" s="69"/>
      <c r="D80" s="98"/>
      <c r="E80" s="54"/>
      <c r="F80" s="54"/>
      <c r="G80" s="54" t="s">
        <v>146</v>
      </c>
      <c r="H80" s="105">
        <f>E76</f>
        <v>3053.4</v>
      </c>
      <c r="I80" s="46"/>
      <c r="J80" s="46"/>
      <c r="K80" s="46"/>
      <c r="L80" s="46"/>
      <c r="M80" s="32"/>
      <c r="N80" s="32"/>
      <c r="O80" s="32"/>
      <c r="P80" s="32"/>
      <c r="Q80" s="32"/>
      <c r="R80" s="32"/>
      <c r="S80" s="32"/>
      <c r="T80" s="32"/>
      <c r="U80" s="36"/>
    </row>
    <row r="81" spans="1:21" s="6" customFormat="1">
      <c r="A81" s="90"/>
      <c r="B81" s="102" t="s">
        <v>147</v>
      </c>
      <c r="C81" s="101"/>
      <c r="D81" s="102"/>
      <c r="E81" s="103"/>
      <c r="F81" s="103"/>
      <c r="G81" s="103"/>
      <c r="H81" s="106">
        <f>SUM(H78/H80/12*1000)</f>
        <v>17.217203066845343</v>
      </c>
      <c r="I81" s="104"/>
      <c r="J81" s="104"/>
      <c r="K81" s="104"/>
      <c r="L81" s="104"/>
      <c r="M81" s="45"/>
      <c r="N81" s="107"/>
      <c r="O81" s="45"/>
      <c r="P81" s="45"/>
      <c r="Q81" s="45"/>
      <c r="R81" s="45"/>
      <c r="S81" s="45"/>
      <c r="T81" s="45"/>
      <c r="U81" s="173"/>
    </row>
    <row r="82" spans="1:21">
      <c r="A82" s="97"/>
      <c r="B82" s="98"/>
      <c r="C82" s="69"/>
      <c r="D82" s="98"/>
      <c r="E82" s="54"/>
      <c r="F82" s="54"/>
      <c r="G82" s="54"/>
      <c r="H82" s="108"/>
      <c r="I82" s="46"/>
      <c r="J82" s="46"/>
      <c r="K82" s="46"/>
      <c r="L82" s="46"/>
      <c r="M82" s="32"/>
      <c r="N82" s="32"/>
      <c r="O82" s="32"/>
      <c r="P82" s="32"/>
      <c r="Q82" s="32"/>
      <c r="R82" s="32"/>
      <c r="S82" s="32"/>
      <c r="T82" s="32"/>
      <c r="U82" s="174"/>
    </row>
    <row r="83" spans="1:21">
      <c r="A83" s="97"/>
      <c r="B83" s="73" t="s">
        <v>148</v>
      </c>
      <c r="C83" s="69"/>
      <c r="D83" s="98"/>
      <c r="E83" s="54"/>
      <c r="F83" s="54"/>
      <c r="G83" s="54"/>
      <c r="H83" s="109"/>
      <c r="I83" s="46"/>
      <c r="J83" s="46"/>
      <c r="K83" s="46"/>
      <c r="L83" s="46"/>
      <c r="M83" s="32"/>
      <c r="N83" s="32"/>
      <c r="O83" s="32"/>
      <c r="P83" s="32"/>
      <c r="Q83" s="32"/>
      <c r="R83" s="32"/>
      <c r="S83" s="32"/>
      <c r="T83" s="32"/>
      <c r="U83" s="36"/>
    </row>
    <row r="84" spans="1:21" ht="25.5">
      <c r="A84" s="69" t="s">
        <v>164</v>
      </c>
      <c r="B84" s="22" t="s">
        <v>165</v>
      </c>
      <c r="C84" s="69" t="s">
        <v>49</v>
      </c>
      <c r="D84" s="98"/>
      <c r="E84" s="54"/>
      <c r="F84" s="54">
        <v>5</v>
      </c>
      <c r="G84" s="54">
        <v>72.290000000000006</v>
      </c>
      <c r="H84" s="109">
        <f>F84*G84/1000</f>
        <v>0.36145000000000005</v>
      </c>
      <c r="I84" s="36">
        <f>1*G84</f>
        <v>72.290000000000006</v>
      </c>
      <c r="J84" s="36">
        <f>G84</f>
        <v>72.290000000000006</v>
      </c>
      <c r="K84" s="36">
        <f>G84*2</f>
        <v>144.58000000000001</v>
      </c>
      <c r="L84" s="36">
        <f>G84</f>
        <v>72.290000000000006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f>SUM(I84:T84)</f>
        <v>361.45000000000005</v>
      </c>
    </row>
    <row r="85" spans="1:21" ht="25.5">
      <c r="A85" s="164" t="s">
        <v>181</v>
      </c>
      <c r="B85" s="22" t="s">
        <v>180</v>
      </c>
      <c r="C85" s="165" t="s">
        <v>106</v>
      </c>
      <c r="D85" s="98"/>
      <c r="E85" s="54"/>
      <c r="F85" s="54">
        <v>1</v>
      </c>
      <c r="G85" s="54">
        <v>1992.08</v>
      </c>
      <c r="H85" s="109">
        <f>F85*G85/1000</f>
        <v>1.9920799999999999</v>
      </c>
      <c r="I85" s="36">
        <f>G85*1</f>
        <v>1992.08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f>SUM(I85:T85)</f>
        <v>1992.08</v>
      </c>
    </row>
    <row r="86" spans="1:21" ht="25.5">
      <c r="A86" s="165" t="s">
        <v>183</v>
      </c>
      <c r="B86" s="22" t="s">
        <v>182</v>
      </c>
      <c r="C86" s="165" t="s">
        <v>106</v>
      </c>
      <c r="D86" s="98"/>
      <c r="E86" s="54"/>
      <c r="F86" s="54">
        <v>715</v>
      </c>
      <c r="G86" s="54">
        <v>46.33</v>
      </c>
      <c r="H86" s="71">
        <f t="shared" ref="H86:H103" si="9">G86*F86/1000</f>
        <v>33.125949999999996</v>
      </c>
      <c r="I86" s="36">
        <f>G86*65</f>
        <v>3011.45</v>
      </c>
      <c r="J86" s="36">
        <v>0</v>
      </c>
      <c r="K86" s="36">
        <f>G86*65</f>
        <v>3011.45</v>
      </c>
      <c r="L86" s="36">
        <f>G86*65</f>
        <v>3011.45</v>
      </c>
      <c r="M86" s="36">
        <f>G86*65</f>
        <v>3011.45</v>
      </c>
      <c r="N86" s="36">
        <f>G86*65</f>
        <v>3011.45</v>
      </c>
      <c r="O86" s="36">
        <f>G86*65</f>
        <v>3011.45</v>
      </c>
      <c r="P86" s="36">
        <f>G86*65</f>
        <v>3011.45</v>
      </c>
      <c r="Q86" s="36">
        <f>G86*65</f>
        <v>3011.45</v>
      </c>
      <c r="R86" s="36">
        <f>G86*65</f>
        <v>3011.45</v>
      </c>
      <c r="S86" s="36">
        <f>G86*65</f>
        <v>3011.45</v>
      </c>
      <c r="T86" s="36">
        <f>G86*65</f>
        <v>3011.45</v>
      </c>
      <c r="U86" s="36">
        <f t="shared" ref="U86:U89" si="10">SUM(I86:T86)</f>
        <v>33125.950000000004</v>
      </c>
    </row>
    <row r="87" spans="1:21">
      <c r="A87" s="165" t="s">
        <v>186</v>
      </c>
      <c r="B87" s="22" t="s">
        <v>187</v>
      </c>
      <c r="C87" s="165" t="s">
        <v>188</v>
      </c>
      <c r="D87" s="98"/>
      <c r="E87" s="54"/>
      <c r="F87" s="54">
        <v>32</v>
      </c>
      <c r="G87" s="54">
        <v>1372</v>
      </c>
      <c r="H87" s="71">
        <f t="shared" si="9"/>
        <v>43.904000000000003</v>
      </c>
      <c r="I87" s="36">
        <v>0</v>
      </c>
      <c r="J87" s="36">
        <v>0</v>
      </c>
      <c r="K87" s="36">
        <f>G87*12</f>
        <v>16464</v>
      </c>
      <c r="L87" s="36">
        <v>0</v>
      </c>
      <c r="M87" s="36">
        <v>0</v>
      </c>
      <c r="N87" s="36">
        <f>G87*8</f>
        <v>10976</v>
      </c>
      <c r="O87" s="36">
        <v>0</v>
      </c>
      <c r="P87" s="36">
        <v>0</v>
      </c>
      <c r="Q87" s="36">
        <f>G87</f>
        <v>1372</v>
      </c>
      <c r="R87" s="36">
        <f>G87*11</f>
        <v>15092</v>
      </c>
      <c r="S87" s="36">
        <v>0</v>
      </c>
      <c r="T87" s="36">
        <v>0</v>
      </c>
      <c r="U87" s="36">
        <f>SUM(I87:T87)</f>
        <v>43904</v>
      </c>
    </row>
    <row r="88" spans="1:21">
      <c r="A88" s="165" t="s">
        <v>198</v>
      </c>
      <c r="B88" s="22" t="s">
        <v>197</v>
      </c>
      <c r="C88" s="165" t="s">
        <v>106</v>
      </c>
      <c r="D88" s="98"/>
      <c r="E88" s="54"/>
      <c r="F88" s="54">
        <v>4</v>
      </c>
      <c r="G88" s="54">
        <v>286.7</v>
      </c>
      <c r="H88" s="71">
        <f t="shared" si="9"/>
        <v>1.1468</v>
      </c>
      <c r="I88" s="36">
        <v>0</v>
      </c>
      <c r="J88" s="36">
        <v>0</v>
      </c>
      <c r="K88" s="36">
        <f>G88*3</f>
        <v>860.09999999999991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f>G88</f>
        <v>286.7</v>
      </c>
      <c r="S88" s="36">
        <v>0</v>
      </c>
      <c r="T88" s="36">
        <v>0</v>
      </c>
      <c r="U88" s="36">
        <f t="shared" si="10"/>
        <v>1146.8</v>
      </c>
    </row>
    <row r="89" spans="1:21" ht="38.25">
      <c r="A89" s="165" t="s">
        <v>189</v>
      </c>
      <c r="B89" s="22" t="s">
        <v>190</v>
      </c>
      <c r="C89" s="165" t="s">
        <v>191</v>
      </c>
      <c r="D89" s="98"/>
      <c r="E89" s="54"/>
      <c r="F89" s="54">
        <v>1</v>
      </c>
      <c r="G89" s="54">
        <v>2055</v>
      </c>
      <c r="H89" s="71">
        <f t="shared" si="9"/>
        <v>2.0550000000000002</v>
      </c>
      <c r="I89" s="36">
        <v>0</v>
      </c>
      <c r="J89" s="36">
        <v>0</v>
      </c>
      <c r="K89" s="36">
        <f>G89</f>
        <v>2055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f t="shared" si="10"/>
        <v>2055</v>
      </c>
    </row>
    <row r="90" spans="1:21" ht="38.25">
      <c r="A90" s="170" t="s">
        <v>194</v>
      </c>
      <c r="B90" s="171" t="s">
        <v>226</v>
      </c>
      <c r="C90" s="170" t="s">
        <v>192</v>
      </c>
      <c r="D90" s="98"/>
      <c r="E90" s="54"/>
      <c r="F90" s="54">
        <v>1</v>
      </c>
      <c r="G90" s="54">
        <v>3400.21</v>
      </c>
      <c r="H90" s="71">
        <f t="shared" si="9"/>
        <v>3.40021</v>
      </c>
      <c r="I90" s="36">
        <v>0</v>
      </c>
      <c r="J90" s="36">
        <v>0</v>
      </c>
      <c r="K90" s="36">
        <f>G90</f>
        <v>3400.21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f t="shared" ref="U90:U101" si="11">SUM(I90:T90)</f>
        <v>3400.21</v>
      </c>
    </row>
    <row r="91" spans="1:21" ht="25.5">
      <c r="A91" s="165" t="s">
        <v>196</v>
      </c>
      <c r="B91" s="22" t="s">
        <v>195</v>
      </c>
      <c r="C91" s="165" t="s">
        <v>192</v>
      </c>
      <c r="D91" s="98"/>
      <c r="E91" s="54"/>
      <c r="F91" s="54">
        <v>1</v>
      </c>
      <c r="G91" s="54">
        <v>1359.75</v>
      </c>
      <c r="H91" s="71">
        <f t="shared" si="9"/>
        <v>1.35975</v>
      </c>
      <c r="I91" s="36">
        <v>0</v>
      </c>
      <c r="J91" s="36">
        <v>0</v>
      </c>
      <c r="K91" s="36">
        <f>G91</f>
        <v>1359.75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f t="shared" si="11"/>
        <v>1359.75</v>
      </c>
    </row>
    <row r="92" spans="1:21" ht="25.5">
      <c r="A92" s="180" t="s">
        <v>205</v>
      </c>
      <c r="B92" s="22" t="s">
        <v>204</v>
      </c>
      <c r="C92" s="164" t="s">
        <v>192</v>
      </c>
      <c r="D92" s="98"/>
      <c r="E92" s="54"/>
      <c r="F92" s="54">
        <v>9.9400000000000002E-2</v>
      </c>
      <c r="G92" s="54">
        <v>8150.19</v>
      </c>
      <c r="H92" s="71">
        <f t="shared" si="9"/>
        <v>0.81012888599999999</v>
      </c>
      <c r="I92" s="36">
        <v>0</v>
      </c>
      <c r="J92" s="36">
        <v>0</v>
      </c>
      <c r="K92" s="36">
        <v>0</v>
      </c>
      <c r="L92" s="36">
        <f>G92*0.0572</f>
        <v>466.19086799999997</v>
      </c>
      <c r="M92" s="36">
        <v>0</v>
      </c>
      <c r="N92" s="36">
        <v>0</v>
      </c>
      <c r="O92" s="36">
        <v>0</v>
      </c>
      <c r="P92" s="36">
        <v>0</v>
      </c>
      <c r="Q92" s="36">
        <f>G92*0.0422</f>
        <v>343.938018</v>
      </c>
      <c r="R92" s="36">
        <v>0</v>
      </c>
      <c r="S92" s="36">
        <v>0</v>
      </c>
      <c r="T92" s="36">
        <v>0</v>
      </c>
      <c r="U92" s="36">
        <f t="shared" si="11"/>
        <v>810.12888599999997</v>
      </c>
    </row>
    <row r="93" spans="1:21" ht="25.5">
      <c r="A93" s="164" t="s">
        <v>208</v>
      </c>
      <c r="B93" s="22" t="s">
        <v>206</v>
      </c>
      <c r="C93" s="165" t="s">
        <v>207</v>
      </c>
      <c r="D93" s="98"/>
      <c r="E93" s="54"/>
      <c r="F93" s="54">
        <v>7</v>
      </c>
      <c r="G93" s="54">
        <v>561.67999999999995</v>
      </c>
      <c r="H93" s="71">
        <f t="shared" si="9"/>
        <v>3.9317599999999997</v>
      </c>
      <c r="I93" s="36">
        <v>0</v>
      </c>
      <c r="J93" s="36">
        <v>0</v>
      </c>
      <c r="K93" s="36">
        <v>0</v>
      </c>
      <c r="L93" s="36">
        <v>0</v>
      </c>
      <c r="M93" s="36">
        <f>G93*2</f>
        <v>1123.3599999999999</v>
      </c>
      <c r="N93" s="36">
        <f>G93</f>
        <v>561.67999999999995</v>
      </c>
      <c r="O93" s="36">
        <f>G93*1</f>
        <v>561.67999999999995</v>
      </c>
      <c r="P93" s="36">
        <f>G93*2</f>
        <v>1123.3599999999999</v>
      </c>
      <c r="Q93" s="36">
        <v>0</v>
      </c>
      <c r="R93" s="36">
        <v>0</v>
      </c>
      <c r="S93" s="36">
        <f>G93</f>
        <v>561.67999999999995</v>
      </c>
      <c r="T93" s="36">
        <v>0</v>
      </c>
      <c r="U93" s="36">
        <f t="shared" si="11"/>
        <v>3931.7599999999998</v>
      </c>
    </row>
    <row r="94" spans="1:21" ht="25.5">
      <c r="A94" s="165" t="s">
        <v>212</v>
      </c>
      <c r="B94" s="22" t="s">
        <v>211</v>
      </c>
      <c r="C94" s="165" t="s">
        <v>106</v>
      </c>
      <c r="D94" s="98"/>
      <c r="E94" s="54"/>
      <c r="F94" s="54">
        <v>4</v>
      </c>
      <c r="G94" s="54">
        <v>164.67</v>
      </c>
      <c r="H94" s="71">
        <f t="shared" si="9"/>
        <v>0.65867999999999993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f>G94</f>
        <v>164.67</v>
      </c>
      <c r="S94" s="36">
        <f>G94*3</f>
        <v>494.01</v>
      </c>
      <c r="T94" s="36">
        <v>0</v>
      </c>
      <c r="U94" s="36">
        <f>SUM(I94:T94)</f>
        <v>658.68</v>
      </c>
    </row>
    <row r="95" spans="1:21" ht="33" customHeight="1">
      <c r="A95" s="170" t="s">
        <v>100</v>
      </c>
      <c r="B95" s="171" t="s">
        <v>213</v>
      </c>
      <c r="C95" s="170" t="s">
        <v>102</v>
      </c>
      <c r="D95" s="98"/>
      <c r="E95" s="54"/>
      <c r="F95" s="54">
        <v>0.03</v>
      </c>
      <c r="G95" s="54">
        <v>3105.72</v>
      </c>
      <c r="H95" s="71">
        <f t="shared" si="9"/>
        <v>9.3171599999999979E-2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f>G95*0.03</f>
        <v>93.171599999999984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f t="shared" si="11"/>
        <v>93.171599999999984</v>
      </c>
    </row>
    <row r="96" spans="1:21" ht="24" customHeight="1">
      <c r="A96" s="165" t="s">
        <v>215</v>
      </c>
      <c r="B96" s="22" t="s">
        <v>216</v>
      </c>
      <c r="C96" s="165" t="s">
        <v>214</v>
      </c>
      <c r="D96" s="98"/>
      <c r="E96" s="54"/>
      <c r="F96" s="54">
        <v>4</v>
      </c>
      <c r="G96" s="54">
        <v>169.85</v>
      </c>
      <c r="H96" s="71">
        <f t="shared" si="9"/>
        <v>0.6794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f>G96</f>
        <v>169.85</v>
      </c>
      <c r="Q96" s="36">
        <v>0</v>
      </c>
      <c r="R96" s="36">
        <f>G96*3</f>
        <v>509.54999999999995</v>
      </c>
      <c r="S96" s="36">
        <v>0</v>
      </c>
      <c r="T96" s="36">
        <v>0</v>
      </c>
      <c r="U96" s="36">
        <f t="shared" si="11"/>
        <v>679.4</v>
      </c>
    </row>
    <row r="97" spans="1:21" ht="24" customHeight="1">
      <c r="A97" s="165" t="s">
        <v>219</v>
      </c>
      <c r="B97" s="22" t="s">
        <v>217</v>
      </c>
      <c r="C97" s="165" t="s">
        <v>218</v>
      </c>
      <c r="D97" s="98"/>
      <c r="E97" s="54"/>
      <c r="F97" s="54">
        <v>7</v>
      </c>
      <c r="G97" s="54">
        <v>179.12</v>
      </c>
      <c r="H97" s="71">
        <f t="shared" si="9"/>
        <v>1.2538400000000001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f>G97</f>
        <v>179.12</v>
      </c>
      <c r="S97" s="36">
        <f>G97*6</f>
        <v>1074.72</v>
      </c>
      <c r="T97" s="36">
        <v>0</v>
      </c>
      <c r="U97" s="36">
        <f t="shared" si="11"/>
        <v>1253.8400000000001</v>
      </c>
    </row>
    <row r="98" spans="1:21" ht="24" customHeight="1">
      <c r="A98" s="165" t="s">
        <v>220</v>
      </c>
      <c r="B98" s="22" t="s">
        <v>222</v>
      </c>
      <c r="C98" s="164" t="s">
        <v>221</v>
      </c>
      <c r="D98" s="98"/>
      <c r="E98" s="54"/>
      <c r="F98" s="54">
        <v>1</v>
      </c>
      <c r="G98" s="54">
        <v>167.43</v>
      </c>
      <c r="H98" s="71">
        <f t="shared" si="9"/>
        <v>0.16743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f>G98</f>
        <v>167.43</v>
      </c>
      <c r="S98" s="36">
        <v>0</v>
      </c>
      <c r="T98" s="36">
        <v>0</v>
      </c>
      <c r="U98" s="36">
        <f t="shared" si="11"/>
        <v>167.43</v>
      </c>
    </row>
    <row r="99" spans="1:21" ht="24" customHeight="1">
      <c r="A99" s="165" t="s">
        <v>225</v>
      </c>
      <c r="B99" s="22" t="s">
        <v>223</v>
      </c>
      <c r="C99" s="165" t="s">
        <v>224</v>
      </c>
      <c r="D99" s="98"/>
      <c r="E99" s="54"/>
      <c r="F99" s="54">
        <v>1</v>
      </c>
      <c r="G99" s="54">
        <v>575.31500000000005</v>
      </c>
      <c r="H99" s="71">
        <f t="shared" si="9"/>
        <v>0.57531500000000002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f>G99</f>
        <v>575.31500000000005</v>
      </c>
      <c r="Q99" s="36">
        <v>0</v>
      </c>
      <c r="R99" s="36">
        <v>0</v>
      </c>
      <c r="S99" s="36">
        <v>0</v>
      </c>
      <c r="T99" s="36">
        <v>0</v>
      </c>
      <c r="U99" s="36">
        <f t="shared" si="11"/>
        <v>575.31500000000005</v>
      </c>
    </row>
    <row r="100" spans="1:21" ht="28.5" customHeight="1">
      <c r="A100" s="170" t="s">
        <v>194</v>
      </c>
      <c r="B100" s="171" t="s">
        <v>193</v>
      </c>
      <c r="C100" s="170" t="s">
        <v>192</v>
      </c>
      <c r="D100" s="98"/>
      <c r="E100" s="54"/>
      <c r="F100" s="54">
        <v>0.2</v>
      </c>
      <c r="G100" s="54">
        <v>5156.5600000000004</v>
      </c>
      <c r="H100" s="71">
        <f t="shared" si="9"/>
        <v>1.0313120000000002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f>G100*0.2</f>
        <v>1031.3120000000001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f t="shared" si="11"/>
        <v>1031.3120000000001</v>
      </c>
    </row>
    <row r="101" spans="1:21" ht="27.75" customHeight="1">
      <c r="A101" s="180" t="s">
        <v>227</v>
      </c>
      <c r="B101" s="22" t="s">
        <v>228</v>
      </c>
      <c r="C101" s="164" t="s">
        <v>136</v>
      </c>
      <c r="D101" s="98"/>
      <c r="E101" s="54"/>
      <c r="F101" s="54">
        <v>0.2</v>
      </c>
      <c r="G101" s="54">
        <v>3553.95</v>
      </c>
      <c r="H101" s="71">
        <f t="shared" si="9"/>
        <v>0.71078999999999992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f>G101*0.2</f>
        <v>710.79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f t="shared" si="11"/>
        <v>710.79</v>
      </c>
    </row>
    <row r="102" spans="1:21" ht="27.75" customHeight="1">
      <c r="A102" s="165" t="s">
        <v>229</v>
      </c>
      <c r="B102" s="22" t="s">
        <v>230</v>
      </c>
      <c r="C102" s="165" t="s">
        <v>231</v>
      </c>
      <c r="D102" s="98"/>
      <c r="E102" s="54"/>
      <c r="F102" s="54">
        <v>0.2</v>
      </c>
      <c r="G102" s="54">
        <v>1220.5999999999999</v>
      </c>
      <c r="H102" s="71">
        <f t="shared" si="9"/>
        <v>0.24412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f>G102*0.2</f>
        <v>244.12</v>
      </c>
      <c r="S102" s="36">
        <v>0</v>
      </c>
      <c r="T102" s="36">
        <v>0</v>
      </c>
      <c r="U102" s="36">
        <f>SUM(I102:T102)</f>
        <v>244.12</v>
      </c>
    </row>
    <row r="103" spans="1:21" ht="27.75" customHeight="1">
      <c r="A103" s="165" t="s">
        <v>232</v>
      </c>
      <c r="B103" s="22" t="s">
        <v>235</v>
      </c>
      <c r="C103" s="165" t="s">
        <v>231</v>
      </c>
      <c r="D103" s="98"/>
      <c r="E103" s="54"/>
      <c r="F103" s="54">
        <v>0.2</v>
      </c>
      <c r="G103" s="54">
        <v>11470</v>
      </c>
      <c r="H103" s="71">
        <f t="shared" si="9"/>
        <v>2.294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f>G103*0.2</f>
        <v>2294</v>
      </c>
      <c r="S103" s="36">
        <v>0</v>
      </c>
      <c r="T103" s="36">
        <v>0</v>
      </c>
      <c r="U103" s="36">
        <f>SUM(I103:T103)</f>
        <v>2294</v>
      </c>
    </row>
    <row r="104" spans="1:21" ht="27.75" customHeight="1">
      <c r="A104" s="180" t="s">
        <v>234</v>
      </c>
      <c r="B104" s="22" t="s">
        <v>233</v>
      </c>
      <c r="C104" s="164" t="s">
        <v>207</v>
      </c>
      <c r="D104" s="98"/>
      <c r="E104" s="54"/>
      <c r="F104" s="54">
        <v>1</v>
      </c>
      <c r="G104" s="54">
        <v>655.29</v>
      </c>
      <c r="H104" s="71">
        <f>F104*G104/1000</f>
        <v>0.65528999999999993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f>G104</f>
        <v>655.29</v>
      </c>
      <c r="S104" s="36">
        <v>0</v>
      </c>
      <c r="T104" s="36">
        <v>0</v>
      </c>
      <c r="U104" s="36">
        <f>SUM(I104:T104)</f>
        <v>655.29</v>
      </c>
    </row>
    <row r="105" spans="1:21" ht="27.75" customHeight="1">
      <c r="A105" s="198" t="s">
        <v>244</v>
      </c>
      <c r="B105" s="199" t="s">
        <v>242</v>
      </c>
      <c r="C105" s="198" t="s">
        <v>243</v>
      </c>
      <c r="D105" s="98"/>
      <c r="E105" s="54"/>
      <c r="F105" s="54">
        <v>1</v>
      </c>
      <c r="G105" s="54">
        <v>972.09</v>
      </c>
      <c r="H105" s="71">
        <f>F105*G105/1000</f>
        <v>0.97209000000000001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f>G105</f>
        <v>972.09</v>
      </c>
      <c r="R105" s="36">
        <v>0</v>
      </c>
      <c r="S105" s="36">
        <v>0</v>
      </c>
      <c r="T105" s="36">
        <v>0</v>
      </c>
      <c r="U105" s="36">
        <f>SUM(I105:T105)</f>
        <v>972.09</v>
      </c>
    </row>
    <row r="106" spans="1:21" ht="27.75" customHeight="1">
      <c r="A106" s="164" t="s">
        <v>246</v>
      </c>
      <c r="B106" s="22" t="s">
        <v>245</v>
      </c>
      <c r="C106" s="165" t="s">
        <v>106</v>
      </c>
      <c r="D106" s="98"/>
      <c r="E106" s="54"/>
      <c r="F106" s="54">
        <v>5</v>
      </c>
      <c r="G106" s="54">
        <v>669.88</v>
      </c>
      <c r="H106" s="71">
        <f>F106*G106/1000</f>
        <v>3.3494000000000002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f>G106*5</f>
        <v>3349.4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f>SUM(I106:T106)</f>
        <v>3349.4</v>
      </c>
    </row>
    <row r="107" spans="1:21" ht="27.75" customHeight="1">
      <c r="A107" s="165" t="s">
        <v>247</v>
      </c>
      <c r="B107" s="22" t="s">
        <v>248</v>
      </c>
      <c r="C107" s="165" t="s">
        <v>49</v>
      </c>
      <c r="D107" s="98"/>
      <c r="E107" s="54"/>
      <c r="F107" s="54">
        <v>1</v>
      </c>
      <c r="G107" s="54">
        <v>342.4</v>
      </c>
      <c r="H107" s="178">
        <f t="shared" ref="H107" si="12">G107*F107/1000</f>
        <v>0.34239999999999998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f>G107</f>
        <v>342.4</v>
      </c>
      <c r="T107" s="36">
        <v>0</v>
      </c>
      <c r="U107" s="36">
        <f t="shared" ref="U107" si="13">SUM(I107:T107)</f>
        <v>342.4</v>
      </c>
    </row>
    <row r="108" spans="1:21" ht="27.75" customHeight="1">
      <c r="A108" s="165" t="s">
        <v>250</v>
      </c>
      <c r="B108" s="22" t="s">
        <v>251</v>
      </c>
      <c r="C108" s="165" t="s">
        <v>249</v>
      </c>
      <c r="D108" s="98"/>
      <c r="E108" s="54"/>
      <c r="F108" s="54">
        <v>1</v>
      </c>
      <c r="G108" s="54">
        <v>1026.3900000000001</v>
      </c>
      <c r="H108" s="178">
        <f>F108*G108/1000</f>
        <v>1.0263900000000001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f>G108</f>
        <v>1026.3900000000001</v>
      </c>
      <c r="T108" s="36">
        <v>0</v>
      </c>
      <c r="U108" s="36">
        <f>SUM(I108:T108)</f>
        <v>1026.3900000000001</v>
      </c>
    </row>
    <row r="109" spans="1:21" s="6" customFormat="1">
      <c r="A109" s="110"/>
      <c r="B109" s="111" t="s">
        <v>149</v>
      </c>
      <c r="C109" s="110"/>
      <c r="D109" s="110"/>
      <c r="E109" s="104"/>
      <c r="F109" s="104"/>
      <c r="G109" s="104"/>
      <c r="H109" s="96">
        <f>SUM(H84:H108)</f>
        <v>106.140757486</v>
      </c>
      <c r="I109" s="104"/>
      <c r="J109" s="104"/>
      <c r="K109" s="104"/>
      <c r="L109" s="104"/>
      <c r="M109" s="45"/>
      <c r="N109" s="45"/>
      <c r="O109" s="45"/>
      <c r="P109" s="45"/>
      <c r="Q109" s="45"/>
      <c r="R109" s="45"/>
      <c r="S109" s="45"/>
      <c r="T109" s="45"/>
      <c r="U109" s="94">
        <f>SUM(U84:U108)</f>
        <v>106140.75748599997</v>
      </c>
    </row>
    <row r="110" spans="1:21">
      <c r="A110" s="112"/>
      <c r="B110" s="113"/>
      <c r="C110" s="112"/>
      <c r="D110" s="112"/>
      <c r="E110" s="114"/>
      <c r="F110" s="114"/>
      <c r="G110" s="114"/>
      <c r="H110" s="115"/>
      <c r="I110" s="46"/>
      <c r="J110" s="46"/>
      <c r="K110" s="46"/>
      <c r="L110" s="46"/>
      <c r="M110" s="32"/>
      <c r="N110" s="32"/>
      <c r="O110" s="32"/>
      <c r="P110" s="32"/>
      <c r="Q110" s="32"/>
      <c r="R110" s="32"/>
      <c r="S110" s="32"/>
      <c r="T110" s="32"/>
      <c r="U110" s="175"/>
    </row>
    <row r="111" spans="1:21" ht="12" customHeight="1">
      <c r="A111" s="97"/>
      <c r="B111" s="21" t="s">
        <v>150</v>
      </c>
      <c r="C111" s="69"/>
      <c r="D111" s="98"/>
      <c r="E111" s="54"/>
      <c r="F111" s="54"/>
      <c r="G111" s="54"/>
      <c r="H111" s="116">
        <f>H109/E112/12*1000</f>
        <v>2.8967914861575075</v>
      </c>
      <c r="I111" s="46"/>
      <c r="J111" s="46"/>
      <c r="K111" s="46"/>
      <c r="L111" s="46"/>
      <c r="M111" s="32"/>
      <c r="N111" s="117"/>
      <c r="O111" s="32"/>
      <c r="P111" s="32"/>
      <c r="Q111" s="32"/>
      <c r="R111" s="32"/>
      <c r="S111" s="32"/>
      <c r="T111" s="32"/>
      <c r="U111" s="175"/>
    </row>
    <row r="112" spans="1:21" s="6" customFormat="1">
      <c r="A112" s="118"/>
      <c r="B112" s="119" t="s">
        <v>151</v>
      </c>
      <c r="C112" s="120"/>
      <c r="D112" s="119"/>
      <c r="E112" s="121">
        <v>3053.4</v>
      </c>
      <c r="F112" s="122">
        <f>SUM(E112*12)</f>
        <v>36640.800000000003</v>
      </c>
      <c r="G112" s="123">
        <f>H81+H111</f>
        <v>20.113994553002851</v>
      </c>
      <c r="H112" s="124">
        <f>SUM(F112*G112/1000)</f>
        <v>736.99285161766693</v>
      </c>
      <c r="I112" s="103">
        <f t="shared" ref="I112:N112" si="14">SUM(I11:I111)</f>
        <v>59473.695525166666</v>
      </c>
      <c r="J112" s="103">
        <f t="shared" si="14"/>
        <v>48262.419225166668</v>
      </c>
      <c r="K112" s="103">
        <f t="shared" si="14"/>
        <v>70989.54312516666</v>
      </c>
      <c r="L112" s="103">
        <f t="shared" si="14"/>
        <v>59042.554485166664</v>
      </c>
      <c r="M112" s="103">
        <f t="shared" si="14"/>
        <v>43290.484468111114</v>
      </c>
      <c r="N112" s="103">
        <f t="shared" si="14"/>
        <v>143964.96265611108</v>
      </c>
      <c r="O112" s="103">
        <f t="shared" ref="O112:T112" si="15">SUM(O11:O111)</f>
        <v>44691.063668111114</v>
      </c>
      <c r="P112" s="103">
        <f t="shared" si="15"/>
        <v>50126.995068111115</v>
      </c>
      <c r="Q112" s="103">
        <f t="shared" si="15"/>
        <v>47976.706186111107</v>
      </c>
      <c r="R112" s="103">
        <f t="shared" si="15"/>
        <v>65994.984560111116</v>
      </c>
      <c r="S112" s="103">
        <f t="shared" si="15"/>
        <v>51123.113125166667</v>
      </c>
      <c r="T112" s="103">
        <f t="shared" si="15"/>
        <v>48746.097525166668</v>
      </c>
      <c r="U112" s="94">
        <f>U78+U109</f>
        <v>773845.29879409343</v>
      </c>
    </row>
    <row r="113" spans="1:21" hidden="1">
      <c r="A113" s="125"/>
      <c r="B113" s="126"/>
      <c r="C113" s="126"/>
      <c r="D113" s="126"/>
      <c r="E113" s="127"/>
      <c r="F113" s="128"/>
      <c r="G113" s="129"/>
      <c r="H113" s="129"/>
      <c r="I113" s="130"/>
      <c r="J113" s="130"/>
      <c r="K113" s="130"/>
      <c r="L113" s="130"/>
      <c r="M113" s="130"/>
      <c r="N113" s="131"/>
      <c r="O113" s="131"/>
      <c r="P113" s="131"/>
      <c r="Q113" s="131"/>
      <c r="R113" s="131"/>
      <c r="S113" s="131"/>
      <c r="T113" s="131"/>
      <c r="U113" s="131"/>
    </row>
    <row r="114" spans="1:21" hidden="1">
      <c r="A114" s="132"/>
      <c r="B114" s="133"/>
      <c r="C114" s="134"/>
      <c r="D114" s="135"/>
      <c r="E114" s="136"/>
      <c r="F114" s="137"/>
      <c r="G114" s="137"/>
      <c r="H114" s="138"/>
      <c r="I114" s="130"/>
      <c r="J114" s="130"/>
      <c r="K114" s="130"/>
      <c r="L114" s="130"/>
      <c r="M114" s="130"/>
      <c r="N114" s="131"/>
      <c r="O114" s="131"/>
      <c r="P114" s="131"/>
      <c r="Q114" s="131"/>
      <c r="R114" s="131"/>
      <c r="S114" s="131"/>
      <c r="T114" s="131"/>
      <c r="U114" s="131"/>
    </row>
    <row r="115" spans="1:21" hidden="1">
      <c r="A115" s="132"/>
      <c r="B115" s="139" t="s">
        <v>152</v>
      </c>
      <c r="C115" s="139" t="s">
        <v>106</v>
      </c>
      <c r="D115" s="139" t="s">
        <v>153</v>
      </c>
      <c r="E115" s="140">
        <v>64</v>
      </c>
      <c r="F115" s="140">
        <v>64</v>
      </c>
      <c r="G115" s="141">
        <v>11.41</v>
      </c>
      <c r="H115" s="141">
        <f>G115*12*F115/1000</f>
        <v>8.7628800000000009</v>
      </c>
      <c r="I115" s="130"/>
      <c r="J115" s="130"/>
      <c r="K115" s="130"/>
      <c r="L115" s="130"/>
      <c r="M115" s="130"/>
      <c r="N115" s="131"/>
      <c r="O115" s="131"/>
      <c r="P115" s="131"/>
      <c r="Q115" s="131"/>
      <c r="R115" s="131"/>
      <c r="S115" s="131"/>
      <c r="T115" s="131"/>
      <c r="U115" s="131"/>
    </row>
    <row r="116" spans="1:21" hidden="1">
      <c r="A116" s="132"/>
      <c r="B116" s="139" t="s">
        <v>152</v>
      </c>
      <c r="C116" s="139" t="s">
        <v>106</v>
      </c>
      <c r="D116" s="139" t="s">
        <v>154</v>
      </c>
      <c r="E116" s="140">
        <v>64</v>
      </c>
      <c r="F116" s="140">
        <v>64</v>
      </c>
      <c r="G116" s="141">
        <v>18.98</v>
      </c>
      <c r="H116" s="141">
        <f>G116*12*F116/1000</f>
        <v>14.576639999999999</v>
      </c>
      <c r="I116" s="130"/>
      <c r="J116" s="130"/>
      <c r="K116" s="130"/>
      <c r="L116" s="130"/>
      <c r="M116" s="130"/>
      <c r="N116" s="131"/>
      <c r="O116" s="131"/>
      <c r="P116" s="131"/>
      <c r="Q116" s="131"/>
      <c r="R116" s="131"/>
      <c r="S116" s="131"/>
      <c r="T116" s="131"/>
      <c r="U116" s="131"/>
    </row>
    <row r="117" spans="1:21" hidden="1">
      <c r="A117" s="132"/>
      <c r="B117" s="142"/>
      <c r="C117" s="143"/>
      <c r="D117" s="144"/>
      <c r="E117" s="145"/>
      <c r="F117" s="146"/>
      <c r="G117" s="147"/>
      <c r="H117" s="148"/>
      <c r="I117" s="130"/>
      <c r="J117" s="130"/>
      <c r="K117" s="130"/>
      <c r="L117" s="130"/>
      <c r="M117" s="130"/>
      <c r="N117" s="131"/>
      <c r="O117" s="131"/>
      <c r="P117" s="131"/>
      <c r="Q117" s="131"/>
      <c r="R117" s="131"/>
      <c r="S117" s="131"/>
      <c r="T117" s="131"/>
      <c r="U117" s="131"/>
    </row>
    <row r="118" spans="1:21" hidden="1">
      <c r="A118" s="132"/>
      <c r="B118" s="142"/>
      <c r="C118" s="143"/>
      <c r="D118" s="144"/>
      <c r="E118" s="145"/>
      <c r="F118" s="146"/>
      <c r="G118" s="147"/>
      <c r="H118" s="148"/>
      <c r="I118" s="130"/>
      <c r="J118" s="130"/>
      <c r="K118" s="130"/>
      <c r="L118" s="130"/>
      <c r="M118" s="130"/>
      <c r="N118" s="131"/>
      <c r="O118" s="131"/>
      <c r="P118" s="131"/>
      <c r="Q118" s="131"/>
      <c r="R118" s="131"/>
      <c r="S118" s="131"/>
      <c r="T118" s="131"/>
      <c r="U118" s="131"/>
    </row>
    <row r="119" spans="1:21" hidden="1">
      <c r="A119" s="132"/>
      <c r="B119" s="142"/>
      <c r="C119" s="143"/>
      <c r="D119" s="144"/>
      <c r="E119" s="145"/>
      <c r="F119" s="146"/>
      <c r="G119" s="147"/>
      <c r="H119" s="148"/>
      <c r="I119" s="130"/>
      <c r="J119" s="130"/>
      <c r="K119" s="130"/>
      <c r="L119" s="130"/>
      <c r="M119" s="130"/>
      <c r="N119" s="131"/>
      <c r="O119" s="131"/>
      <c r="P119" s="131"/>
      <c r="Q119" s="131"/>
      <c r="R119" s="131"/>
      <c r="S119" s="131"/>
      <c r="T119" s="131"/>
      <c r="U119" s="131"/>
    </row>
    <row r="120" spans="1:21">
      <c r="A120" s="149"/>
      <c r="B120" s="150"/>
      <c r="C120" s="151"/>
      <c r="D120" s="152"/>
      <c r="E120" s="153"/>
      <c r="F120" s="154"/>
      <c r="G120" s="155"/>
      <c r="H120" s="156"/>
      <c r="I120" s="130"/>
      <c r="J120" s="130"/>
      <c r="K120" s="130"/>
      <c r="L120" s="130"/>
      <c r="M120" s="130"/>
      <c r="N120" s="131"/>
      <c r="O120" s="131"/>
      <c r="P120" s="131"/>
      <c r="Q120" s="131"/>
      <c r="R120" s="131"/>
      <c r="S120" s="131"/>
      <c r="T120" s="131"/>
      <c r="U120" s="131"/>
    </row>
    <row r="121" spans="1:21">
      <c r="A121" s="149"/>
      <c r="B121" s="150"/>
      <c r="C121" s="151"/>
      <c r="D121" s="152"/>
      <c r="E121" s="153"/>
      <c r="F121" s="154"/>
      <c r="G121" s="155"/>
      <c r="H121" s="156"/>
      <c r="I121" s="130"/>
      <c r="J121" s="130"/>
      <c r="K121" s="130"/>
      <c r="L121" s="130"/>
      <c r="M121" s="130"/>
      <c r="N121" s="131"/>
      <c r="O121" s="131"/>
      <c r="P121" s="131"/>
      <c r="Q121" s="131"/>
      <c r="R121" s="131"/>
      <c r="S121" s="131"/>
      <c r="T121" s="131"/>
      <c r="U121" s="131"/>
    </row>
    <row r="122" spans="1:21" ht="50.25" customHeight="1">
      <c r="A122" s="131"/>
      <c r="B122" s="160" t="s">
        <v>179</v>
      </c>
      <c r="C122" s="183">
        <v>49365</v>
      </c>
      <c r="D122" s="184"/>
      <c r="E122" s="184"/>
      <c r="F122" s="185"/>
      <c r="G122" s="130"/>
      <c r="H122" s="130"/>
      <c r="I122" s="130"/>
      <c r="J122" s="130"/>
      <c r="K122" s="130"/>
      <c r="L122" s="130"/>
      <c r="M122" s="131"/>
      <c r="N122" s="130"/>
      <c r="O122" s="131"/>
      <c r="P122" s="131"/>
      <c r="Q122" s="131"/>
      <c r="R122" s="131"/>
      <c r="S122" s="131"/>
      <c r="T122" s="131"/>
      <c r="U122" s="131"/>
    </row>
    <row r="123" spans="1:21" ht="30">
      <c r="A123" s="131"/>
      <c r="B123" s="8" t="s">
        <v>236</v>
      </c>
      <c r="C123" s="183">
        <v>699816.36</v>
      </c>
      <c r="D123" s="184"/>
      <c r="E123" s="184"/>
      <c r="F123" s="185"/>
      <c r="G123" s="130"/>
      <c r="H123" s="130"/>
      <c r="I123" s="130"/>
      <c r="J123" s="157"/>
      <c r="K123" s="158"/>
      <c r="L123" s="157"/>
      <c r="M123" s="130"/>
      <c r="N123" s="131"/>
      <c r="O123" s="131"/>
      <c r="P123" s="131"/>
      <c r="Q123" s="131"/>
      <c r="R123" s="131"/>
      <c r="S123" s="131"/>
      <c r="T123" s="131"/>
      <c r="U123" s="131"/>
    </row>
    <row r="124" spans="1:21" ht="44.25" customHeight="1">
      <c r="A124" s="131"/>
      <c r="B124" s="8" t="s">
        <v>237</v>
      </c>
      <c r="C124" s="183">
        <f>SUM(U112-U109)</f>
        <v>667704.54130809347</v>
      </c>
      <c r="D124" s="184"/>
      <c r="E124" s="184"/>
      <c r="F124" s="185"/>
      <c r="G124" s="130"/>
      <c r="H124" s="130"/>
      <c r="I124" s="130"/>
      <c r="J124" s="157"/>
      <c r="K124" s="158"/>
      <c r="L124" s="157"/>
      <c r="M124" s="130"/>
      <c r="N124" s="131"/>
      <c r="O124" s="131"/>
      <c r="P124" s="131"/>
      <c r="Q124" s="131"/>
      <c r="R124" s="131"/>
      <c r="S124" s="131"/>
      <c r="T124" s="131"/>
      <c r="U124" s="131"/>
    </row>
    <row r="125" spans="1:21" ht="44.25" customHeight="1">
      <c r="A125" s="131"/>
      <c r="B125" s="8" t="s">
        <v>238</v>
      </c>
      <c r="C125" s="183">
        <f>SUM(U109)</f>
        <v>106140.75748599997</v>
      </c>
      <c r="D125" s="184"/>
      <c r="E125" s="184"/>
      <c r="F125" s="185"/>
      <c r="G125" s="131"/>
      <c r="H125" s="159" t="s">
        <v>166</v>
      </c>
      <c r="I125" s="130"/>
      <c r="J125" s="130"/>
      <c r="K125" s="157"/>
      <c r="L125" s="158"/>
      <c r="M125" s="159"/>
      <c r="N125" s="159"/>
      <c r="O125" s="131"/>
      <c r="P125" s="131"/>
      <c r="Q125" s="131"/>
      <c r="R125" s="131"/>
      <c r="S125" s="131"/>
      <c r="T125" s="131"/>
      <c r="U125" s="131"/>
    </row>
    <row r="126" spans="1:21" ht="27" customHeight="1">
      <c r="A126" s="131"/>
      <c r="B126" s="169" t="s">
        <v>239</v>
      </c>
      <c r="C126" s="183">
        <v>648959.43999999994</v>
      </c>
      <c r="D126" s="184"/>
      <c r="E126" s="184"/>
      <c r="F126" s="185"/>
      <c r="G126" s="130"/>
      <c r="H126" s="130"/>
      <c r="I126" s="130"/>
      <c r="J126" s="157"/>
      <c r="K126" s="158"/>
      <c r="L126" s="157"/>
      <c r="M126" s="130"/>
      <c r="N126" s="131"/>
      <c r="O126" s="131"/>
      <c r="P126" s="131"/>
      <c r="Q126" s="131"/>
      <c r="R126" s="131"/>
      <c r="S126" s="131"/>
      <c r="T126" s="131"/>
      <c r="U126" s="131"/>
    </row>
    <row r="127" spans="1:21" ht="78.75">
      <c r="A127" s="131"/>
      <c r="B127" s="9" t="s">
        <v>240</v>
      </c>
      <c r="C127" s="189">
        <v>202652.95</v>
      </c>
      <c r="D127" s="190"/>
      <c r="E127" s="190"/>
      <c r="F127" s="191"/>
      <c r="G127" s="130"/>
      <c r="H127" s="130"/>
      <c r="I127" s="130"/>
      <c r="J127" s="157"/>
      <c r="K127" s="158"/>
      <c r="L127" s="157"/>
      <c r="M127" s="130"/>
      <c r="N127" s="131"/>
      <c r="O127" s="131"/>
      <c r="P127" s="131"/>
      <c r="Q127" s="131"/>
      <c r="R127" s="131"/>
      <c r="S127" s="131"/>
      <c r="T127" s="131"/>
      <c r="U127" s="131"/>
    </row>
    <row r="128" spans="1:21" ht="54.75" customHeight="1">
      <c r="A128" s="131"/>
      <c r="B128" s="160" t="s">
        <v>241</v>
      </c>
      <c r="C128" s="186">
        <f>SUM(U112-C123)+C122</f>
        <v>123393.93879409344</v>
      </c>
      <c r="D128" s="187"/>
      <c r="E128" s="187"/>
      <c r="F128" s="188"/>
      <c r="G128" s="161"/>
      <c r="H128" s="161"/>
      <c r="I128" s="16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</row>
    <row r="129" spans="1:2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</row>
    <row r="130" spans="1:21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</row>
    <row r="131" spans="1:2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</row>
    <row r="132" spans="1:21">
      <c r="A132" s="131"/>
      <c r="B132" s="131"/>
      <c r="C132" s="131"/>
      <c r="D132" s="131"/>
      <c r="E132" s="131"/>
      <c r="F132" s="131"/>
      <c r="G132" s="131"/>
      <c r="H132" s="131"/>
      <c r="I132" s="131"/>
      <c r="J132" s="157"/>
      <c r="K132" s="158"/>
      <c r="L132" s="158"/>
      <c r="M132" s="130"/>
      <c r="N132" s="131"/>
      <c r="O132" s="131"/>
      <c r="P132" s="131"/>
      <c r="Q132" s="131"/>
      <c r="R132" s="131"/>
      <c r="S132" s="131"/>
      <c r="T132" s="131"/>
      <c r="U132" s="131"/>
    </row>
    <row r="133" spans="1:21">
      <c r="G133" s="3"/>
      <c r="H133" s="3"/>
    </row>
    <row r="134" spans="1:21">
      <c r="G134" s="4"/>
    </row>
  </sheetData>
  <mergeCells count="12">
    <mergeCell ref="W77:Z77"/>
    <mergeCell ref="B3:L3"/>
    <mergeCell ref="B4:L4"/>
    <mergeCell ref="B5:L5"/>
    <mergeCell ref="B6:L6"/>
    <mergeCell ref="C123:F123"/>
    <mergeCell ref="C122:F122"/>
    <mergeCell ref="C128:F128"/>
    <mergeCell ref="C124:F124"/>
    <mergeCell ref="C125:F125"/>
    <mergeCell ref="C126:F126"/>
    <mergeCell ref="C127:F127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2016-03-15T10:14:06Z</dcterms:modified>
</cp:coreProperties>
</file>