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33" r:id="rId1"/>
    <sheet name="02.20" sheetId="34" r:id="rId2"/>
    <sheet name="03.20" sheetId="35" r:id="rId3"/>
    <sheet name="04.20" sheetId="36" r:id="rId4"/>
    <sheet name="05.20" sheetId="38" r:id="rId5"/>
    <sheet name="06.20" sheetId="39" r:id="rId6"/>
    <sheet name="07.20" sheetId="27" r:id="rId7"/>
    <sheet name="08.20" sheetId="28" r:id="rId8"/>
    <sheet name="09.20" sheetId="29" r:id="rId9"/>
    <sheet name="10.20" sheetId="30" r:id="rId10"/>
    <sheet name="11.20" sheetId="31" r:id="rId11"/>
    <sheet name="12.20" sheetId="32" r:id="rId12"/>
  </sheets>
  <definedNames>
    <definedName name="_xlnm._FilterDatabase" localSheetId="0" hidden="1">'01.20'!$I$12:$I$65</definedName>
    <definedName name="_xlnm._FilterDatabase" localSheetId="1" hidden="1">'02.20'!$I$12:$I$66</definedName>
    <definedName name="_xlnm._FilterDatabase" localSheetId="2" hidden="1">'03.20'!$I$12:$I$65</definedName>
    <definedName name="_xlnm._FilterDatabase" localSheetId="6" hidden="1">'07.20'!$I$12:$I$64</definedName>
    <definedName name="_xlnm._FilterDatabase" localSheetId="7" hidden="1">'08.20'!$I$12:$I$64</definedName>
    <definedName name="_xlnm._FilterDatabase" localSheetId="8" hidden="1">'09.20'!$I$12:$I$64</definedName>
    <definedName name="_xlnm._FilterDatabase" localSheetId="9" hidden="1">'10.20'!$I$12:$I$64</definedName>
    <definedName name="_xlnm._FilterDatabase" localSheetId="10" hidden="1">'11.20'!$I$12:$I$66</definedName>
    <definedName name="_xlnm._FilterDatabase" localSheetId="11" hidden="1">'12.20'!$I$12:$I$66</definedName>
    <definedName name="_xlnm.Print_Area" localSheetId="0">'01.20'!$A$1:$I$115</definedName>
    <definedName name="_xlnm.Print_Area" localSheetId="1">'02.20'!$A$1:$I$129</definedName>
    <definedName name="_xlnm.Print_Area" localSheetId="2">'03.20'!$A$1:$I$114</definedName>
    <definedName name="_xlnm.Print_Area" localSheetId="6">'07.20'!$A$1:$I$116</definedName>
    <definedName name="_xlnm.Print_Area" localSheetId="7">'08.20'!$A$1:$I$113</definedName>
    <definedName name="_xlnm.Print_Area" localSheetId="8">'09.20'!$A$1:$I$112</definedName>
    <definedName name="_xlnm.Print_Area" localSheetId="9">'10.20'!$A$1:$I$111</definedName>
    <definedName name="_xlnm.Print_Area" localSheetId="10">'11.20'!$A$1:$I$116</definedName>
    <definedName name="_xlnm.Print_Area" localSheetId="11">'12.20'!$A$1:$I$121</definedName>
  </definedNames>
  <calcPr calcId="124519"/>
</workbook>
</file>

<file path=xl/calcChain.xml><?xml version="1.0" encoding="utf-8"?>
<calcChain xmlns="http://schemas.openxmlformats.org/spreadsheetml/2006/main">
  <c r="I87" i="32"/>
  <c r="I83"/>
  <c r="I98"/>
  <c r="I96"/>
  <c r="I95"/>
  <c r="I94"/>
  <c r="I93"/>
  <c r="I76"/>
  <c r="I38"/>
  <c r="I87" i="31" l="1"/>
  <c r="I64"/>
  <c r="I93"/>
  <c r="I92"/>
  <c r="I91"/>
  <c r="I44"/>
  <c r="I85" i="30" l="1"/>
  <c r="I87"/>
  <c r="I62"/>
  <c r="I85" i="29" l="1"/>
  <c r="I89"/>
  <c r="I88"/>
  <c r="I87"/>
  <c r="I74"/>
  <c r="I62"/>
  <c r="I90" i="28" l="1"/>
  <c r="I89"/>
  <c r="I62"/>
  <c r="I62" i="27" l="1"/>
  <c r="I85" i="28"/>
  <c r="I87"/>
  <c r="I74"/>
  <c r="I85" i="27" l="1"/>
  <c r="I72"/>
  <c r="I93"/>
  <c r="I92"/>
  <c r="I91"/>
  <c r="I88"/>
  <c r="I87"/>
  <c r="I25" i="39"/>
  <c r="I24"/>
  <c r="I23"/>
  <c r="I22"/>
  <c r="I85"/>
  <c r="I62"/>
  <c r="I19"/>
  <c r="I86" i="38" l="1"/>
  <c r="I91"/>
  <c r="I90"/>
  <c r="I85" i="36" l="1"/>
  <c r="I89"/>
  <c r="I88"/>
  <c r="H88"/>
  <c r="I86" i="35" l="1"/>
  <c r="I91"/>
  <c r="I90"/>
  <c r="I75"/>
  <c r="I88"/>
  <c r="I37"/>
  <c r="I87" i="34"/>
  <c r="I106"/>
  <c r="I103"/>
  <c r="I102"/>
  <c r="I101"/>
  <c r="I100"/>
  <c r="I98"/>
  <c r="I97"/>
  <c r="I96"/>
  <c r="I95"/>
  <c r="I94"/>
  <c r="I93"/>
  <c r="I91"/>
  <c r="I90"/>
  <c r="I38"/>
  <c r="I91" i="33" l="1"/>
  <c r="I92" s="1"/>
  <c r="I86"/>
  <c r="I90"/>
  <c r="I89"/>
  <c r="I88"/>
  <c r="F91"/>
  <c r="I63"/>
  <c r="I37"/>
  <c r="I92" i="32"/>
  <c r="H92"/>
  <c r="I58"/>
  <c r="I64"/>
  <c r="I44"/>
  <c r="H44"/>
  <c r="F43"/>
  <c r="H43" s="1"/>
  <c r="F42"/>
  <c r="I42" s="1"/>
  <c r="H41"/>
  <c r="F40"/>
  <c r="I40" s="1"/>
  <c r="F39"/>
  <c r="F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39" l="1"/>
  <c r="I39"/>
  <c r="H16"/>
  <c r="I16"/>
  <c r="H26"/>
  <c r="I26"/>
  <c r="H21"/>
  <c r="H17"/>
  <c r="H40"/>
  <c r="H42"/>
  <c r="I43"/>
  <c r="I18"/>
  <c r="H18"/>
  <c r="I20"/>
  <c r="I89" i="31" l="1"/>
  <c r="I38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H21" l="1"/>
  <c r="I18"/>
  <c r="H18"/>
  <c r="I16"/>
  <c r="I20"/>
  <c r="I26"/>
  <c r="I88" i="30" l="1"/>
  <c r="I74"/>
  <c r="F32"/>
  <c r="H32" s="1"/>
  <c r="E31"/>
  <c r="F31" s="1"/>
  <c r="F30"/>
  <c r="I30" s="1"/>
  <c r="F29"/>
  <c r="H29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H20" l="1"/>
  <c r="H16"/>
  <c r="I31"/>
  <c r="H31"/>
  <c r="I29"/>
  <c r="H30"/>
  <c r="I32"/>
  <c r="H17"/>
  <c r="H18"/>
  <c r="H21"/>
  <c r="I26"/>
  <c r="F26" i="29" l="1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F32" i="28"/>
  <c r="H32" s="1"/>
  <c r="E31"/>
  <c r="F31" s="1"/>
  <c r="F30"/>
  <c r="I30" s="1"/>
  <c r="F29"/>
  <c r="I29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60" i="27"/>
  <c r="I57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9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8"/>
  <c r="H26" s="1"/>
  <c r="E18"/>
  <c r="F18" s="1"/>
  <c r="F17"/>
  <c r="I17" s="1"/>
  <c r="F16"/>
  <c r="I16" s="1"/>
  <c r="F26" i="3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5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4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3"/>
  <c r="I88" i="39"/>
  <c r="I62" i="38"/>
  <c r="I40" i="36"/>
  <c r="H17" l="1"/>
  <c r="H21"/>
  <c r="H21" i="35"/>
  <c r="H17"/>
  <c r="H17" i="34"/>
  <c r="H21"/>
  <c r="H20" i="29"/>
  <c r="I18"/>
  <c r="H18"/>
  <c r="I16"/>
  <c r="H17"/>
  <c r="H21"/>
  <c r="I26"/>
  <c r="H29" i="28"/>
  <c r="I31"/>
  <c r="H31"/>
  <c r="H30"/>
  <c r="I32"/>
  <c r="H17"/>
  <c r="H21"/>
  <c r="I18"/>
  <c r="H18"/>
  <c r="I16"/>
  <c r="I20"/>
  <c r="I26"/>
  <c r="H17" i="27"/>
  <c r="H21"/>
  <c r="I18"/>
  <c r="H18"/>
  <c r="I16"/>
  <c r="I20"/>
  <c r="I26"/>
  <c r="H17" i="39"/>
  <c r="H21"/>
  <c r="I18"/>
  <c r="H18"/>
  <c r="I16"/>
  <c r="I20"/>
  <c r="I26"/>
  <c r="H17" i="38"/>
  <c r="I26"/>
  <c r="H18"/>
  <c r="I18"/>
  <c r="H16"/>
  <c r="I18" i="36"/>
  <c r="H18"/>
  <c r="I16"/>
  <c r="I20"/>
  <c r="I26"/>
  <c r="I18" i="35"/>
  <c r="H18"/>
  <c r="I16"/>
  <c r="I20"/>
  <c r="I26"/>
  <c r="I18" i="34"/>
  <c r="H18"/>
  <c r="I16"/>
  <c r="I20"/>
  <c r="I26"/>
  <c r="I58" i="35"/>
  <c r="I57"/>
  <c r="H88"/>
  <c r="I89" i="34"/>
  <c r="I64"/>
  <c r="I77" i="32" l="1"/>
  <c r="I62"/>
  <c r="H62"/>
  <c r="I74" i="27" l="1"/>
  <c r="H87" i="39"/>
  <c r="F84"/>
  <c r="I84" s="1"/>
  <c r="F83"/>
  <c r="I83" s="1"/>
  <c r="H80"/>
  <c r="I78"/>
  <c r="F78"/>
  <c r="H78" s="1"/>
  <c r="I77"/>
  <c r="F77"/>
  <c r="H77" s="1"/>
  <c r="F76"/>
  <c r="H76" s="1"/>
  <c r="I75"/>
  <c r="F75"/>
  <c r="H75" s="1"/>
  <c r="H74"/>
  <c r="F73"/>
  <c r="H73" s="1"/>
  <c r="E71"/>
  <c r="F71" s="1"/>
  <c r="I69"/>
  <c r="F69"/>
  <c r="H69" s="1"/>
  <c r="I68"/>
  <c r="E68"/>
  <c r="F68" s="1"/>
  <c r="H68" s="1"/>
  <c r="I67"/>
  <c r="F67"/>
  <c r="H67" s="1"/>
  <c r="I66"/>
  <c r="F66"/>
  <c r="H66" s="1"/>
  <c r="I65"/>
  <c r="F65"/>
  <c r="H65" s="1"/>
  <c r="I64"/>
  <c r="F64"/>
  <c r="H64" s="1"/>
  <c r="F63"/>
  <c r="H63" s="1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H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H31" s="1"/>
  <c r="F30"/>
  <c r="H30" s="1"/>
  <c r="F29"/>
  <c r="I29" s="1"/>
  <c r="H60" l="1"/>
  <c r="H29"/>
  <c r="H32"/>
  <c r="H84"/>
  <c r="H85" s="1"/>
  <c r="H51"/>
  <c r="H48"/>
  <c r="H46"/>
  <c r="H44"/>
  <c r="H40"/>
  <c r="H38"/>
  <c r="I71"/>
  <c r="H71"/>
  <c r="H81" s="1"/>
  <c r="I30"/>
  <c r="I31"/>
  <c r="I37"/>
  <c r="I41"/>
  <c r="I45"/>
  <c r="I47"/>
  <c r="I49"/>
  <c r="I50"/>
  <c r="H83"/>
  <c r="I90" l="1"/>
  <c r="I65" i="38" l="1"/>
  <c r="I68"/>
  <c r="I67"/>
  <c r="I66"/>
  <c r="I64"/>
  <c r="I76"/>
  <c r="I25"/>
  <c r="I24"/>
  <c r="I23"/>
  <c r="I22"/>
  <c r="I21"/>
  <c r="I19"/>
  <c r="F85"/>
  <c r="I85" s="1"/>
  <c r="F84"/>
  <c r="H84" s="1"/>
  <c r="H81"/>
  <c r="I79"/>
  <c r="F79"/>
  <c r="H79" s="1"/>
  <c r="I78"/>
  <c r="F78"/>
  <c r="H78" s="1"/>
  <c r="F77"/>
  <c r="H77" s="1"/>
  <c r="F76"/>
  <c r="H76" s="1"/>
  <c r="H75"/>
  <c r="F74"/>
  <c r="H74" s="1"/>
  <c r="I72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F30"/>
  <c r="H30" s="1"/>
  <c r="F29"/>
  <c r="I29" s="1"/>
  <c r="F25"/>
  <c r="H25" s="1"/>
  <c r="F24"/>
  <c r="H24" s="1"/>
  <c r="F23"/>
  <c r="H23" s="1"/>
  <c r="F22"/>
  <c r="H22" s="1"/>
  <c r="F21"/>
  <c r="H21" s="1"/>
  <c r="F20"/>
  <c r="I20" s="1"/>
  <c r="F19"/>
  <c r="H19" s="1"/>
  <c r="H85" l="1"/>
  <c r="H86" s="1"/>
  <c r="H31"/>
  <c r="I31"/>
  <c r="H70"/>
  <c r="I70"/>
  <c r="H50"/>
  <c r="I50"/>
  <c r="H20"/>
  <c r="H29"/>
  <c r="I30"/>
  <c r="H32"/>
  <c r="I37"/>
  <c r="H38"/>
  <c r="H40"/>
  <c r="I41"/>
  <c r="H44"/>
  <c r="I45"/>
  <c r="H46"/>
  <c r="I47"/>
  <c r="H48"/>
  <c r="I49"/>
  <c r="H51"/>
  <c r="H60"/>
  <c r="H82" s="1"/>
  <c r="I84"/>
  <c r="I93" l="1"/>
  <c r="I63" i="35"/>
  <c r="I57" i="36"/>
  <c r="I58" l="1"/>
  <c r="F75"/>
  <c r="H75" s="1"/>
  <c r="I75"/>
  <c r="F76"/>
  <c r="H76" s="1"/>
  <c r="F77"/>
  <c r="H77" s="1"/>
  <c r="I77"/>
  <c r="H87"/>
  <c r="F84"/>
  <c r="I84" s="1"/>
  <c r="F83"/>
  <c r="I83" s="1"/>
  <c r="H80"/>
  <c r="I78"/>
  <c r="F78"/>
  <c r="H78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58"/>
  <c r="F57"/>
  <c r="I54"/>
  <c r="F54"/>
  <c r="H54" s="1"/>
  <c r="I53"/>
  <c r="H53"/>
  <c r="F52"/>
  <c r="I52" s="1"/>
  <c r="E51"/>
  <c r="F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E33"/>
  <c r="F32"/>
  <c r="I32" s="1"/>
  <c r="E31"/>
  <c r="F31" s="1"/>
  <c r="F30"/>
  <c r="I30" s="1"/>
  <c r="F29"/>
  <c r="I29" s="1"/>
  <c r="H90" i="35"/>
  <c r="I43"/>
  <c r="H89"/>
  <c r="F85"/>
  <c r="I85" s="1"/>
  <c r="F84"/>
  <c r="I84" s="1"/>
  <c r="F82"/>
  <c r="H82" s="1"/>
  <c r="H80"/>
  <c r="I78"/>
  <c r="F78"/>
  <c r="H78" s="1"/>
  <c r="I77"/>
  <c r="F77"/>
  <c r="H77" s="1"/>
  <c r="F76"/>
  <c r="H76" s="1"/>
  <c r="F75"/>
  <c r="H75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58"/>
  <c r="F57"/>
  <c r="I54"/>
  <c r="F54"/>
  <c r="H54" s="1"/>
  <c r="I53"/>
  <c r="H53"/>
  <c r="F52"/>
  <c r="I52" s="1"/>
  <c r="E51"/>
  <c r="F51" s="1"/>
  <c r="F50"/>
  <c r="H50" s="1"/>
  <c r="F49"/>
  <c r="I49" s="1"/>
  <c r="F48"/>
  <c r="H48" s="1"/>
  <c r="F47"/>
  <c r="I47" s="1"/>
  <c r="F46"/>
  <c r="I46" s="1"/>
  <c r="F45"/>
  <c r="I45" s="1"/>
  <c r="H43"/>
  <c r="F42"/>
  <c r="I42" s="1"/>
  <c r="F41"/>
  <c r="I41" s="1"/>
  <c r="H40"/>
  <c r="F39"/>
  <c r="I39" s="1"/>
  <c r="F38"/>
  <c r="I38" s="1"/>
  <c r="H37"/>
  <c r="H35"/>
  <c r="H34"/>
  <c r="F33"/>
  <c r="I33" s="1"/>
  <c r="E33"/>
  <c r="F32"/>
  <c r="I32" s="1"/>
  <c r="E31"/>
  <c r="F31" s="1"/>
  <c r="F30"/>
  <c r="I30" s="1"/>
  <c r="F29"/>
  <c r="I29" s="1"/>
  <c r="H91" i="34"/>
  <c r="H90"/>
  <c r="H42" i="35" l="1"/>
  <c r="H46"/>
  <c r="H30"/>
  <c r="H38"/>
  <c r="H85"/>
  <c r="H86" s="1"/>
  <c r="H30" i="36"/>
  <c r="H38"/>
  <c r="H42"/>
  <c r="H84"/>
  <c r="H85" s="1"/>
  <c r="H50"/>
  <c r="H48"/>
  <c r="H46"/>
  <c r="H31"/>
  <c r="I31"/>
  <c r="H51"/>
  <c r="I51"/>
  <c r="H71"/>
  <c r="I71"/>
  <c r="H29"/>
  <c r="H32"/>
  <c r="H33"/>
  <c r="H39"/>
  <c r="H41"/>
  <c r="H45"/>
  <c r="H47"/>
  <c r="H49"/>
  <c r="H52"/>
  <c r="H57"/>
  <c r="H61"/>
  <c r="H83"/>
  <c r="H31" i="35"/>
  <c r="I31"/>
  <c r="H51"/>
  <c r="I51"/>
  <c r="H71"/>
  <c r="I71"/>
  <c r="H29"/>
  <c r="H32"/>
  <c r="H33"/>
  <c r="H39"/>
  <c r="H41"/>
  <c r="H45"/>
  <c r="H47"/>
  <c r="I48"/>
  <c r="H49"/>
  <c r="I50"/>
  <c r="H52"/>
  <c r="H57"/>
  <c r="H61"/>
  <c r="H84"/>
  <c r="I91" i="36" l="1"/>
  <c r="H81" i="35"/>
  <c r="H81" i="36"/>
  <c r="I93" i="35"/>
  <c r="I43" i="33" l="1"/>
  <c r="I44" i="34"/>
  <c r="H89" l="1"/>
  <c r="F86"/>
  <c r="I86" s="1"/>
  <c r="F85"/>
  <c r="I85" s="1"/>
  <c r="F83"/>
  <c r="H83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9" s="1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H43" l="1"/>
  <c r="I43"/>
  <c r="H53"/>
  <c r="H58"/>
  <c r="H50"/>
  <c r="H62"/>
  <c r="H86"/>
  <c r="H87" s="1"/>
  <c r="H72"/>
  <c r="I72"/>
  <c r="H82"/>
  <c r="H32"/>
  <c r="I32"/>
  <c r="I27"/>
  <c r="H30"/>
  <c r="I31"/>
  <c r="H33"/>
  <c r="H34"/>
  <c r="I39"/>
  <c r="H40"/>
  <c r="H42"/>
  <c r="H46"/>
  <c r="I47"/>
  <c r="H48"/>
  <c r="I49"/>
  <c r="I51"/>
  <c r="I52"/>
  <c r="H85"/>
  <c r="I108" l="1"/>
  <c r="H89" i="33" l="1"/>
  <c r="H88"/>
  <c r="F61"/>
  <c r="H61" l="1"/>
  <c r="I61"/>
  <c r="F85"/>
  <c r="I85" s="1"/>
  <c r="F84"/>
  <c r="H84" s="1"/>
  <c r="F82"/>
  <c r="H82" s="1"/>
  <c r="H80"/>
  <c r="I78"/>
  <c r="F78"/>
  <c r="H78" s="1"/>
  <c r="I77"/>
  <c r="F77"/>
  <c r="H77" s="1"/>
  <c r="F76"/>
  <c r="H76" s="1"/>
  <c r="I75"/>
  <c r="F75"/>
  <c r="H75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0"/>
  <c r="I58"/>
  <c r="H58"/>
  <c r="F57"/>
  <c r="H57" s="1"/>
  <c r="I54"/>
  <c r="F54"/>
  <c r="H54" s="1"/>
  <c r="I53"/>
  <c r="H53"/>
  <c r="F52"/>
  <c r="I52" s="1"/>
  <c r="E51"/>
  <c r="F51" s="1"/>
  <c r="I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E31"/>
  <c r="F31" s="1"/>
  <c r="F30"/>
  <c r="I30" s="1"/>
  <c r="F29"/>
  <c r="H29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42"/>
  <c r="H48"/>
  <c r="H85"/>
  <c r="H86" s="1"/>
  <c r="H21"/>
  <c r="H30"/>
  <c r="H38"/>
  <c r="H46"/>
  <c r="H52"/>
  <c r="I31"/>
  <c r="H31"/>
  <c r="I18"/>
  <c r="H18"/>
  <c r="I71"/>
  <c r="H71"/>
  <c r="H81" s="1"/>
  <c r="I16"/>
  <c r="I20"/>
  <c r="I26"/>
  <c r="I29"/>
  <c r="I32"/>
  <c r="I33"/>
  <c r="I39"/>
  <c r="I41"/>
  <c r="I45"/>
  <c r="I47"/>
  <c r="I49"/>
  <c r="H50"/>
  <c r="H51"/>
  <c r="I57"/>
  <c r="I84"/>
  <c r="I94" l="1"/>
  <c r="F91" i="32" l="1"/>
  <c r="H91" s="1"/>
  <c r="H90"/>
  <c r="H89"/>
  <c r="F86"/>
  <c r="I86" s="1"/>
  <c r="F85"/>
  <c r="H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H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1"/>
  <c r="I59"/>
  <c r="H59"/>
  <c r="F58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F33"/>
  <c r="I33" s="1"/>
  <c r="E32"/>
  <c r="F32" s="1"/>
  <c r="H32" s="1"/>
  <c r="F31"/>
  <c r="H31" s="1"/>
  <c r="F30"/>
  <c r="I30" s="1"/>
  <c r="F27"/>
  <c r="H27" s="1"/>
  <c r="H89" i="31"/>
  <c r="F86"/>
  <c r="I86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I59"/>
  <c r="H59"/>
  <c r="F58"/>
  <c r="I58" s="1"/>
  <c r="I55"/>
  <c r="F55"/>
  <c r="H55" s="1"/>
  <c r="I54"/>
  <c r="H54"/>
  <c r="F53"/>
  <c r="H53" s="1"/>
  <c r="E52"/>
  <c r="F52" s="1"/>
  <c r="F51"/>
  <c r="I51" s="1"/>
  <c r="F50"/>
  <c r="I50" s="1"/>
  <c r="F49"/>
  <c r="I49" s="1"/>
  <c r="F48"/>
  <c r="I48" s="1"/>
  <c r="F47"/>
  <c r="I47" s="1"/>
  <c r="F46"/>
  <c r="I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H86" i="32" l="1"/>
  <c r="H87" s="1"/>
  <c r="H33"/>
  <c r="H30"/>
  <c r="H34"/>
  <c r="H58"/>
  <c r="H82" s="1"/>
  <c r="H53"/>
  <c r="H86" i="31"/>
  <c r="H87" s="1"/>
  <c r="H50"/>
  <c r="H48" i="32"/>
  <c r="H46"/>
  <c r="H50"/>
  <c r="I27"/>
  <c r="I31"/>
  <c r="I32"/>
  <c r="I47"/>
  <c r="I49"/>
  <c r="I51"/>
  <c r="I52"/>
  <c r="I72"/>
  <c r="I85"/>
  <c r="H58" i="31"/>
  <c r="H46"/>
  <c r="H48"/>
  <c r="I32"/>
  <c r="H32"/>
  <c r="I52"/>
  <c r="H52"/>
  <c r="I72"/>
  <c r="H72"/>
  <c r="H27"/>
  <c r="I30"/>
  <c r="H31"/>
  <c r="I33"/>
  <c r="I34"/>
  <c r="H39"/>
  <c r="I40"/>
  <c r="I42"/>
  <c r="H43"/>
  <c r="H47"/>
  <c r="H49"/>
  <c r="H51"/>
  <c r="I53"/>
  <c r="I62"/>
  <c r="H85"/>
  <c r="I95" l="1"/>
  <c r="H82"/>
  <c r="I100" i="32"/>
  <c r="H87" i="30" l="1"/>
  <c r="F84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I57"/>
  <c r="H57"/>
  <c r="F56"/>
  <c r="I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H84" l="1"/>
  <c r="H85" s="1"/>
  <c r="H50"/>
  <c r="I50"/>
  <c r="H70"/>
  <c r="I70"/>
  <c r="I37"/>
  <c r="H38"/>
  <c r="H40"/>
  <c r="I41"/>
  <c r="H44"/>
  <c r="I45"/>
  <c r="H46"/>
  <c r="I47"/>
  <c r="H48"/>
  <c r="I49"/>
  <c r="H51"/>
  <c r="H56"/>
  <c r="H60"/>
  <c r="I83"/>
  <c r="I90" l="1"/>
  <c r="H80"/>
  <c r="I69" i="29" l="1"/>
  <c r="H87"/>
  <c r="F84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I57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I38" s="1"/>
  <c r="F37"/>
  <c r="I37" s="1"/>
  <c r="I36"/>
  <c r="H36"/>
  <c r="H34"/>
  <c r="H33"/>
  <c r="F32"/>
  <c r="H32" s="1"/>
  <c r="E31"/>
  <c r="F31" s="1"/>
  <c r="F30"/>
  <c r="I30" s="1"/>
  <c r="F29"/>
  <c r="H29" s="1"/>
  <c r="I57" i="28"/>
  <c r="H87"/>
  <c r="F84"/>
  <c r="H84" s="1"/>
  <c r="H85" s="1"/>
  <c r="F83"/>
  <c r="I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H38" s="1"/>
  <c r="F37"/>
  <c r="I37" s="1"/>
  <c r="I36"/>
  <c r="H36"/>
  <c r="H34"/>
  <c r="H33"/>
  <c r="H89" i="27"/>
  <c r="H88"/>
  <c r="H87"/>
  <c r="F84"/>
  <c r="H84" s="1"/>
  <c r="F83"/>
  <c r="H83" s="1"/>
  <c r="F81"/>
  <c r="H81" s="1"/>
  <c r="H79"/>
  <c r="I77"/>
  <c r="I76"/>
  <c r="F77"/>
  <c r="H77" s="1"/>
  <c r="F76"/>
  <c r="H76" s="1"/>
  <c r="F75"/>
  <c r="H75" s="1"/>
  <c r="F74"/>
  <c r="H74" s="1"/>
  <c r="H73"/>
  <c r="F72"/>
  <c r="H72" s="1"/>
  <c r="E70"/>
  <c r="F70" s="1"/>
  <c r="H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7"/>
  <c r="F56"/>
  <c r="H56" s="1"/>
  <c r="I52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H40" s="1"/>
  <c r="H39"/>
  <c r="F38"/>
  <c r="H38" s="1"/>
  <c r="F37"/>
  <c r="I37" s="1"/>
  <c r="H36"/>
  <c r="H34"/>
  <c r="H33"/>
  <c r="F32"/>
  <c r="H32" s="1"/>
  <c r="E31"/>
  <c r="F31" s="1"/>
  <c r="H31" s="1"/>
  <c r="F30"/>
  <c r="H30" s="1"/>
  <c r="F29"/>
  <c r="H29" s="1"/>
  <c r="H84" i="29" l="1"/>
  <c r="H85" s="1"/>
  <c r="H38"/>
  <c r="I31"/>
  <c r="H31"/>
  <c r="I50"/>
  <c r="H50"/>
  <c r="H70"/>
  <c r="I70"/>
  <c r="H80"/>
  <c r="I29"/>
  <c r="H30"/>
  <c r="I32"/>
  <c r="H37"/>
  <c r="I40"/>
  <c r="H41"/>
  <c r="I44"/>
  <c r="H45"/>
  <c r="I46"/>
  <c r="H47"/>
  <c r="I48"/>
  <c r="H49"/>
  <c r="I51"/>
  <c r="I56"/>
  <c r="I60"/>
  <c r="I83"/>
  <c r="I70" i="28"/>
  <c r="H70"/>
  <c r="I50"/>
  <c r="H50"/>
  <c r="H37"/>
  <c r="I38"/>
  <c r="I40"/>
  <c r="H41"/>
  <c r="I44"/>
  <c r="H45"/>
  <c r="I46"/>
  <c r="H47"/>
  <c r="I48"/>
  <c r="H49"/>
  <c r="I51"/>
  <c r="I56"/>
  <c r="H60"/>
  <c r="H83"/>
  <c r="I84"/>
  <c r="I70" i="27"/>
  <c r="I48"/>
  <c r="I46"/>
  <c r="I50"/>
  <c r="I51"/>
  <c r="I44"/>
  <c r="I47"/>
  <c r="I45"/>
  <c r="H37"/>
  <c r="I40"/>
  <c r="I41"/>
  <c r="I38"/>
  <c r="H80" i="28" l="1"/>
  <c r="I91" i="29"/>
  <c r="I92" i="28"/>
  <c r="I83" i="27" l="1"/>
  <c r="I60"/>
  <c r="I53"/>
  <c r="I49"/>
  <c r="I36"/>
  <c r="I32"/>
  <c r="I31"/>
  <c r="I29"/>
  <c r="H80" l="1"/>
  <c r="I84"/>
  <c r="H85"/>
  <c r="I30"/>
  <c r="I56"/>
  <c r="I95" l="1"/>
</calcChain>
</file>

<file path=xl/sharedStrings.xml><?xml version="1.0" encoding="utf-8"?>
<sst xmlns="http://schemas.openxmlformats.org/spreadsheetml/2006/main" count="2731" uniqueCount="287">
  <si>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</si>
  <si>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</si>
  <si>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</si>
  <si>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</si>
  <si>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</si>
  <si>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</si>
  <si>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</si>
  <si>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</si>
  <si>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</si>
  <si>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</si>
  <si>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</si>
  <si>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</si>
  <si>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</si>
  <si>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</si>
  <si>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</si>
  <si>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</si>
  <si>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</si>
  <si>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</si>
  <si>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</si>
  <si>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</si>
  <si>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</si>
  <si>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</si>
  <si>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</si>
  <si>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</si>
  <si>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</si>
  <si>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</si>
  <si>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</si>
  <si>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</si>
  <si>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</si>
  <si>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</si>
  <si>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</si>
  <si>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</si>
  <si>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</si>
  <si>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</si>
  <si>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</si>
  <si>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</si>
  <si>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</si>
  <si>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</si>
  <si>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</si>
  <si>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</si>
  <si>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</si>
  <si>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</si>
  <si>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</si>
  <si>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</si>
  <si>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</si>
  <si>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</si>
  <si>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</si>
  <si>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</si>
  <si>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</si>
  <si>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</si>
  <si>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</si>
  <si>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</si>
  <si>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</si>
  <si>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</si>
  <si>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</si>
  <si>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</si>
  <si>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</si>
  <si>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</si>
  <si>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</si>
  <si>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</si>
  <si>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</si>
  <si>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</si>
  <si>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</si>
  <si>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</si>
  <si>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</si>
  <si>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</si>
  <si>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</si>
  <si>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</si>
  <si>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</si>
  <si>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</si>
  <si>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</si>
  <si>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</si>
  <si>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</si>
  <si>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</si>
  <si>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</si>
  <si>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</si>
  <si>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</si>
  <si>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</si>
  <si>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</si>
  <si>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</si>
  <si>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</si>
  <si>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</si>
  <si>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</si>
  <si>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</si>
  <si>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</si>
  <si>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</si>
  <si>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</si>
  <si>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Смена арматуры - вентилей и клапанов обратных муфтовых диаметром до 20 мм</t>
  </si>
  <si>
    <t>генеральный директор Куканов Ю.Л.</t>
  </si>
  <si>
    <t>шт</t>
  </si>
  <si>
    <t>Дератизация</t>
  </si>
  <si>
    <t>10 м2</t>
  </si>
  <si>
    <t>Влажная протирка перил</t>
  </si>
  <si>
    <t>100м2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</si>
  <si>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</si>
  <si>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</si>
  <si>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</si>
  <si>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</si>
  <si>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</si>
  <si>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</si>
  <si>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Мытье окон</t>
  </si>
  <si>
    <t>10м2</t>
  </si>
  <si>
    <t xml:space="preserve">1 раз в год     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</si>
  <si>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</si>
  <si>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</si>
  <si>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</si>
  <si>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</si>
  <si>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</si>
  <si>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</si>
  <si>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</si>
  <si>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</si>
  <si>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</si>
  <si>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</si>
  <si>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</si>
  <si>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</si>
  <si>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</si>
  <si>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</si>
  <si>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</si>
  <si>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t>52 раза в сезон</t>
  </si>
  <si>
    <t>78 раз за сезон</t>
  </si>
  <si>
    <t>155 раз за сезон</t>
  </si>
  <si>
    <t>Смена плвкой вставки в электрощитке</t>
  </si>
  <si>
    <t>АКТ №1</t>
  </si>
  <si>
    <t xml:space="preserve"> </t>
  </si>
  <si>
    <t>Осмотр электросетей, арматуры и электооборудования на лестничных клетках</t>
  </si>
  <si>
    <t>Работа автовышки</t>
  </si>
  <si>
    <t>маш/час</t>
  </si>
  <si>
    <t>м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</si>
  <si>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</si>
  <si>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</si>
  <si>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</si>
  <si>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</si>
  <si>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</si>
  <si>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</si>
  <si>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</si>
  <si>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</si>
  <si>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</si>
  <si>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</si>
  <si>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</si>
  <si>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</si>
  <si>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II. Уборка земельного участка</t>
  </si>
  <si>
    <t>Итого затраты за месяц</t>
  </si>
  <si>
    <t xml:space="preserve">2 раза в год     </t>
  </si>
  <si>
    <t>Очистка урн от мусора</t>
  </si>
  <si>
    <t>18 раз за сезон</t>
  </si>
  <si>
    <t>Вывоз снега с придомовой территории</t>
  </si>
  <si>
    <t>1м3</t>
  </si>
  <si>
    <t>35 раз за сезон</t>
  </si>
  <si>
    <t>ТО внутренних сетей водопровода и канализации</t>
  </si>
  <si>
    <t>руб/м2 в мес.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</si>
  <si>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</si>
  <si>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</si>
  <si>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</si>
  <si>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</si>
  <si>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</si>
  <si>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</si>
  <si>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</si>
  <si>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</si>
  <si>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</si>
  <si>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Очистка канализационной сети внутренней</t>
  </si>
  <si>
    <t>АКТ №3</t>
  </si>
  <si>
    <t>по мере необходимости</t>
  </si>
  <si>
    <t>АКТ №5</t>
  </si>
  <si>
    <t>АКТ №4</t>
  </si>
  <si>
    <t>АКТ №6</t>
  </si>
  <si>
    <t>ООО «Движение»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</si>
  <si>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</si>
  <si>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место</t>
  </si>
  <si>
    <t>Очистка вручную от снега и наледи люков каналиационных и водопроводных колодцев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</si>
  <si>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</si>
  <si>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</si>
  <si>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</si>
  <si>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</si>
  <si>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</si>
  <si>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</si>
  <si>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1 раз</t>
  </si>
  <si>
    <t>2 раза</t>
  </si>
  <si>
    <t>25 раз</t>
  </si>
  <si>
    <t>6 раз</t>
  </si>
  <si>
    <t>7 раз</t>
  </si>
  <si>
    <t xml:space="preserve">1 раз </t>
  </si>
  <si>
    <t>4 маш/часа</t>
  </si>
  <si>
    <t>3 раза</t>
  </si>
  <si>
    <t>1 сгон</t>
  </si>
  <si>
    <t>2 шт</t>
  </si>
  <si>
    <t>за период с 01.01.2020 г. по 31.01.2020 г.</t>
  </si>
  <si>
    <t>Перекрыли ХВС</t>
  </si>
  <si>
    <t>Прочистка фановой трубы</t>
  </si>
  <si>
    <t>2. Всего за период с 01.01.2020 по 31.01.2020 выполнено работ (оказано услуг) на общую сумму: 55819,81  руб.</t>
  </si>
  <si>
    <t>(пятьдесят пять тысяч восемьсот девятнадцать рублей 81 копейка)</t>
  </si>
  <si>
    <t>за период с 01.02.2020 г. по 29.02.2020 г.</t>
  </si>
  <si>
    <t>21 февраля</t>
  </si>
  <si>
    <t>Смена внутренних трубопроводов на полипропиленовые трубы PN 25 Dу 25</t>
  </si>
  <si>
    <t>Установка отлива</t>
  </si>
  <si>
    <t>10 м</t>
  </si>
  <si>
    <t>Смена полипропиленовых канализационных труб ПП 50*2000</t>
  </si>
  <si>
    <t>Манжета 73*50</t>
  </si>
  <si>
    <t>Переход чугун-пластик 50</t>
  </si>
  <si>
    <t>Тройник 50</t>
  </si>
  <si>
    <t>Заглушка</t>
  </si>
  <si>
    <t>Осмотр водопроводов, канализации, отопления</t>
  </si>
  <si>
    <t>Закрыли " шахту"после работ ВДИС гипксокартоном</t>
  </si>
  <si>
    <t>Замазка швов (Шахта после работ ВДИС)</t>
  </si>
  <si>
    <t>100 м шва</t>
  </si>
  <si>
    <t>Вскрыли "шахту" для работ ВДИС (гипсокартон)</t>
  </si>
  <si>
    <t>Смена автомата на ток до 25А</t>
  </si>
  <si>
    <t>100шт</t>
  </si>
  <si>
    <t>кв.53</t>
  </si>
  <si>
    <t>кв.36 подвод к п/с, 2,5 м</t>
  </si>
  <si>
    <t>кв.36</t>
  </si>
  <si>
    <t>под под.№2 кух.стояк</t>
  </si>
  <si>
    <t>за период с 01.03.2020 г. по 31.03.2020 г.</t>
  </si>
  <si>
    <t>2,13 марта</t>
  </si>
  <si>
    <t>под.№3-3 шт.</t>
  </si>
  <si>
    <t>Остановка ГВС  и ХВС</t>
  </si>
  <si>
    <t>за период с 01.04.2020 г. по 30.04.2020 г.</t>
  </si>
  <si>
    <t>за период с 01.05.2020 г. по 31.05.2020 г.</t>
  </si>
  <si>
    <t>Смена сгонов у трубопроводов диаметром до 20 мм  ( без материалов)</t>
  </si>
  <si>
    <t>ГВС кв.14</t>
  </si>
  <si>
    <t>за период с 01.06.2020 г. по 30.06.2020 г.</t>
  </si>
  <si>
    <t xml:space="preserve">1 раз     </t>
  </si>
  <si>
    <t xml:space="preserve">1 раз   </t>
  </si>
  <si>
    <t xml:space="preserve">1 раз      </t>
  </si>
  <si>
    <t>21 раз</t>
  </si>
  <si>
    <t>Водоснабжение и канализация</t>
  </si>
  <si>
    <t>за период с 01.07.2020 г. по 31.07.2020 г.</t>
  </si>
  <si>
    <t>Смена арматуры - вентилей и клапанов обратных муфтовых диаметром до 20 мм ( без материалов)</t>
  </si>
  <si>
    <t>Закрыли чердачный люк</t>
  </si>
  <si>
    <t>1 шт. ГВС кв.8</t>
  </si>
  <si>
    <t>под.№4</t>
  </si>
  <si>
    <t>кв.5 с/о</t>
  </si>
  <si>
    <t>1 под. 3 эт.</t>
  </si>
  <si>
    <t>за период с 01.08.2020 г. по 31.08.2020 г.</t>
  </si>
  <si>
    <t>4 шт</t>
  </si>
  <si>
    <t>Установка хомута диаметром до 50 мм</t>
  </si>
  <si>
    <t>п/с кв.27</t>
  </si>
  <si>
    <t>Установка циркуляционного насоса UPC 25-40-180</t>
  </si>
  <si>
    <t>ГВС подвал под под.№1</t>
  </si>
  <si>
    <t>за период с 01.09.2020 г. по 30.09.2020 г.</t>
  </si>
  <si>
    <t>п/с кв.27; ГВС 2 шт. подвал; с/о кв.37</t>
  </si>
  <si>
    <t>2. Всего за период с 01.09.2020 по 30.09.2020 выполнено работ (оказано услуг) на общую сумму: 64812,56 руб.</t>
  </si>
  <si>
    <t>(шестьдесят четыре тысячи восемьсот двенадцать рублей 56 копеек)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</si>
  <si>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</si>
  <si>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</si>
  <si>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кв.16 с/о</t>
  </si>
  <si>
    <t>2. Всего за период с 01.10.2020 по 31.10.2020 выполнено работ (оказано услуг) на общую сумму: 45228,89 руб.</t>
  </si>
  <si>
    <t>( сорок пять тысяч двести двадцать восемь рублей 89 копеек)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</si>
  <si>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</si>
  <si>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</si>
  <si>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</si>
  <si>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выключателей</t>
  </si>
  <si>
    <t>Закрыли слуховое окно</t>
  </si>
  <si>
    <t>под. №2</t>
  </si>
  <si>
    <t>10м</t>
  </si>
  <si>
    <t>2. Всего за период с 01.02.2020 по 29.02.2020 выполнено работ (оказано услуг) на общую сумму: 60049,19 руб.</t>
  </si>
  <si>
    <t>(шестьдесят тысяч сорок девять рублей 19 копеек)</t>
  </si>
  <si>
    <t>2. Всего за период с 01.03.2020 по 31.03.2020 выполнено работ (оказано услуг) на общую сумму: 49228,18руб.</t>
  </si>
  <si>
    <t>(сорок девять тысяч двести двадцать восемь рублей 18 копеек)</t>
  </si>
  <si>
    <t>2. Всего за период с 01.04.2020 по 30.04.2020 выполнено работ (оказано услуг) на общую сумму: 45964,08 руб.</t>
  </si>
  <si>
    <t>(сорок пять тысяч девятьсот шестьдесят четыре рубля 08 копеек)</t>
  </si>
  <si>
    <t>3 м</t>
  </si>
  <si>
    <t>2. Всего за период с 01.05.2020 по 31.05.2020 выполнено работ (оказано услуг) на общую сумму: 72980,84 руб.</t>
  </si>
  <si>
    <t>(семьдесят две тысячи девятьсот восемьдесят рублей 84 копейки)</t>
  </si>
  <si>
    <t>2. Всего за период с 01.06.2020 по 30.06.2020 выполнено работ (оказано услуг) на общую сумму: 160352,59 руб.</t>
  </si>
  <si>
    <t>(сто шестьдесят тысяч триста пятьдесят два рубля 59 копеек)</t>
  </si>
  <si>
    <t>Осмотр электросетей, арматуры и электрооборудования на лестничных клетках</t>
  </si>
  <si>
    <t>2. Всего за период с 01.07.2020 по 31.07.2020 выполнено работ (оказано услуг) на общую сумму: 49175,47 руб.</t>
  </si>
  <si>
    <t>(сорок девять тысяч сто семьдесят пять рублей 47 копеек)</t>
  </si>
  <si>
    <t>3 раз</t>
  </si>
  <si>
    <t>2. Всего за период с 01.08.2020 по 31.08.2020 выполнено работ (оказано услуг) на общую сумму: 63029,84 руб.</t>
  </si>
  <si>
    <t>(шестьдесят три тысячи двадцать девять рублей 84 копейки)</t>
  </si>
  <si>
    <t>2. Всего за период с 01.11.2020 по 30.11.2020 выполнено работ (оказано услуг) на общую сумму: 46816,91 руб.</t>
  </si>
  <si>
    <t>(сорок шесть тысяч восемьсот шестнадцать рублей 91 копейка)</t>
  </si>
  <si>
    <t>за период с 01.12.2020 г. по 31.12.2020 г.</t>
  </si>
  <si>
    <t>11 раз</t>
  </si>
  <si>
    <t>19 раз</t>
  </si>
  <si>
    <t>1,4 ч ( 21,23,28 дек)</t>
  </si>
  <si>
    <t>23 раза</t>
  </si>
  <si>
    <t>4 раза</t>
  </si>
  <si>
    <t>5 шт.</t>
  </si>
  <si>
    <t>Смена внутренних трубопроводов на полипропиленовые трубы PN 25 Dу 20</t>
  </si>
  <si>
    <t>ГВС кв.15</t>
  </si>
  <si>
    <t>1,5 м с/о кв.22</t>
  </si>
  <si>
    <t>2 шт. ГВС подвал; 2 шт. с/о кв.22</t>
  </si>
  <si>
    <t>1 раз, под.№5</t>
  </si>
  <si>
    <t>2. Всего за период с 01.12.2020 по 31.12.2020 выполнено работ (оказано услуг) на общую сумму: 68607,45 руб.</t>
  </si>
  <si>
    <t>(шестьдесят восемь тысяч шестьсот семь рублей 45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</si>
</sst>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11" fillId="0" borderId="3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opLeftCell="A71" workbookViewId="0">
      <selection activeCell="D26" sqref="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122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185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43861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ref="H26" si="1">SUM(F26*G26/1000)</f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2">SUM(F29*G29/1000)</f>
        <v>3.3774305759999996</v>
      </c>
      <c r="I29" s="13">
        <f t="shared" ref="I29:I33" si="3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2"/>
        <v>1.920708333333333</v>
      </c>
      <c r="I33" s="13">
        <f t="shared" si="3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2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2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176">
        <v>43847</v>
      </c>
      <c r="E36" s="73"/>
      <c r="F36" s="74"/>
      <c r="G36" s="74"/>
      <c r="H36" s="78" t="s">
        <v>123</v>
      </c>
      <c r="I36" s="79"/>
      <c r="J36" s="23"/>
    </row>
    <row r="37" spans="1:14" ht="15.75" customHeight="1">
      <c r="A37" s="29">
        <v>5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4">SUM(F37*G37/1000)</f>
        <v>6.0090000000000003</v>
      </c>
      <c r="I37" s="13">
        <f>G37*1.2</f>
        <v>2403.6</v>
      </c>
      <c r="J37" s="23"/>
    </row>
    <row r="38" spans="1:14" ht="15.75" customHeight="1">
      <c r="A38" s="29">
        <v>6</v>
      </c>
      <c r="B38" s="71" t="s">
        <v>67</v>
      </c>
      <c r="C38" s="72" t="s">
        <v>29</v>
      </c>
      <c r="D38" s="71" t="s">
        <v>176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4"/>
        <v>7.972190423999999</v>
      </c>
      <c r="I38" s="13">
        <f t="shared" ref="I38:I41" si="5">F38/6*G38</f>
        <v>1328.698404</v>
      </c>
      <c r="J38" s="23"/>
    </row>
    <row r="39" spans="1:14" ht="15.75" customHeight="1">
      <c r="A39" s="29">
        <v>7</v>
      </c>
      <c r="B39" s="71" t="s">
        <v>68</v>
      </c>
      <c r="C39" s="72" t="s">
        <v>29</v>
      </c>
      <c r="D39" s="71" t="s">
        <v>177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4"/>
        <v>6.3531062099999991</v>
      </c>
      <c r="I39" s="13">
        <f t="shared" si="5"/>
        <v>1058.8510349999999</v>
      </c>
      <c r="J39" s="23"/>
    </row>
    <row r="40" spans="1:14" ht="15.75" hidden="1" customHeight="1">
      <c r="A40" s="29">
        <v>12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4"/>
        <v>11.766689999999999</v>
      </c>
      <c r="I40" s="13">
        <v>0</v>
      </c>
      <c r="J40" s="23"/>
    </row>
    <row r="41" spans="1:14" ht="47.25" customHeight="1">
      <c r="A41" s="29">
        <v>8</v>
      </c>
      <c r="B41" s="71" t="s">
        <v>83</v>
      </c>
      <c r="C41" s="72" t="s">
        <v>104</v>
      </c>
      <c r="D41" s="71" t="s">
        <v>178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4"/>
        <v>12.3871629</v>
      </c>
      <c r="I41" s="13">
        <f t="shared" si="5"/>
        <v>2064.5271499999999</v>
      </c>
      <c r="J41" s="23"/>
      <c r="L41" s="19"/>
      <c r="M41" s="20"/>
      <c r="N41" s="21"/>
    </row>
    <row r="42" spans="1:14" ht="15.75" hidden="1" customHeight="1">
      <c r="A42" s="94">
        <v>9</v>
      </c>
      <c r="B42" s="83" t="s">
        <v>106</v>
      </c>
      <c r="C42" s="84" t="s">
        <v>104</v>
      </c>
      <c r="D42" s="83" t="s">
        <v>179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4"/>
        <v>2.2543413749999996</v>
      </c>
      <c r="I42" s="95">
        <f>F42/7.5*G42</f>
        <v>300.57884999999993</v>
      </c>
      <c r="J42" s="23"/>
      <c r="L42" s="19"/>
      <c r="M42" s="20"/>
      <c r="N42" s="21"/>
    </row>
    <row r="43" spans="1:14" ht="15.75" hidden="1" customHeight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4"/>
        <v>0.8773470000000001</v>
      </c>
      <c r="I43" s="95">
        <f>F43/7.5*G43</f>
        <v>116.97960000000002</v>
      </c>
      <c r="J43" s="23"/>
      <c r="L43" s="19"/>
      <c r="M43" s="20"/>
      <c r="N43" s="21"/>
    </row>
    <row r="44" spans="1:14" ht="15.75" customHeight="1">
      <c r="A44" s="195" t="s">
        <v>129</v>
      </c>
      <c r="B44" s="196"/>
      <c r="C44" s="196"/>
      <c r="D44" s="196"/>
      <c r="E44" s="196"/>
      <c r="F44" s="196"/>
      <c r="G44" s="196"/>
      <c r="H44" s="196"/>
      <c r="I44" s="197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6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6"/>
        <v>8.1697850000000002E-2</v>
      </c>
      <c r="I46" s="13">
        <f t="shared" ref="I46:I53" si="7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6"/>
        <v>3.4740205760000005</v>
      </c>
      <c r="I47" s="13">
        <f t="shared" si="7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6"/>
        <v>2.9604504</v>
      </c>
      <c r="I48" s="13">
        <f t="shared" si="7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6"/>
        <v>0.2301309</v>
      </c>
      <c r="I49" s="13">
        <f t="shared" si="7"/>
        <v>115.06545</v>
      </c>
      <c r="J49" s="23"/>
      <c r="L49" s="19"/>
      <c r="M49" s="20"/>
      <c r="N49" s="21"/>
    </row>
    <row r="50" spans="1:14" ht="15.75" customHeight="1">
      <c r="A50" s="29">
        <v>9</v>
      </c>
      <c r="B50" s="39" t="s">
        <v>56</v>
      </c>
      <c r="C50" s="40" t="s">
        <v>104</v>
      </c>
      <c r="D50" s="39" t="s">
        <v>175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6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6"/>
        <v>9.7195828800000008</v>
      </c>
      <c r="I51" s="13">
        <f t="shared" si="7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6"/>
        <v>1.4324520000000003</v>
      </c>
      <c r="I52" s="13">
        <f t="shared" si="7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6"/>
        <v>0.14825839999999998</v>
      </c>
      <c r="I53" s="13">
        <f t="shared" si="7"/>
        <v>74.129199999999997</v>
      </c>
      <c r="J53" s="23"/>
      <c r="L53" s="19"/>
      <c r="M53" s="20"/>
      <c r="N53" s="21"/>
    </row>
    <row r="54" spans="1:14" ht="15.75" hidden="1" customHeight="1">
      <c r="A54" s="29">
        <v>12</v>
      </c>
      <c r="B54" s="39" t="s">
        <v>41</v>
      </c>
      <c r="C54" s="40" t="s">
        <v>89</v>
      </c>
      <c r="D54" s="173">
        <v>43495</v>
      </c>
      <c r="E54" s="17">
        <v>128</v>
      </c>
      <c r="F54" s="36">
        <f>SUM(E54)*3</f>
        <v>384</v>
      </c>
      <c r="G54" s="37">
        <v>86.15</v>
      </c>
      <c r="H54" s="36">
        <f t="shared" si="6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5" t="s">
        <v>130</v>
      </c>
      <c r="B55" s="196"/>
      <c r="C55" s="196"/>
      <c r="D55" s="196"/>
      <c r="E55" s="196"/>
      <c r="F55" s="196"/>
      <c r="G55" s="196"/>
      <c r="H55" s="196"/>
      <c r="I55" s="197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31.5" hidden="1" customHeight="1">
      <c r="A57" s="29">
        <v>17</v>
      </c>
      <c r="B57" s="71" t="s">
        <v>109</v>
      </c>
      <c r="C57" s="72" t="s">
        <v>93</v>
      </c>
      <c r="D57" s="71" t="s">
        <v>110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F57/6*G57</f>
        <v>2253.7038600000001</v>
      </c>
      <c r="J57" s="23"/>
      <c r="L57" s="19"/>
      <c r="M57" s="20"/>
      <c r="N57" s="21"/>
    </row>
    <row r="58" spans="1:14" ht="15.75" hidden="1" customHeight="1">
      <c r="A58" s="29"/>
      <c r="B58" s="71" t="s">
        <v>125</v>
      </c>
      <c r="C58" s="72" t="s">
        <v>126</v>
      </c>
      <c r="D58" s="14" t="s">
        <v>66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G58*2</f>
        <v>3164.1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  <c r="J59" s="23"/>
      <c r="L59" s="19"/>
      <c r="M59" s="20"/>
      <c r="N59" s="21"/>
    </row>
    <row r="60" spans="1:14" ht="15.75" hidden="1" customHeight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  <c r="J60" s="23"/>
      <c r="L60" s="19"/>
      <c r="M60" s="20"/>
      <c r="N60" s="21"/>
    </row>
    <row r="61" spans="1:14" ht="15.75" customHeight="1">
      <c r="A61" s="29">
        <v>10</v>
      </c>
      <c r="B61" s="125" t="s">
        <v>90</v>
      </c>
      <c r="C61" s="126" t="s">
        <v>25</v>
      </c>
      <c r="D61" s="125" t="s">
        <v>180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G61*F61/12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  <c r="J62" s="23"/>
      <c r="L62" s="19"/>
      <c r="M62" s="20"/>
      <c r="N62" s="21"/>
    </row>
    <row r="63" spans="1:14" ht="15.75" customHeight="1">
      <c r="A63" s="29">
        <v>11</v>
      </c>
      <c r="B63" s="56" t="s">
        <v>47</v>
      </c>
      <c r="C63" s="40" t="s">
        <v>89</v>
      </c>
      <c r="D63" s="39"/>
      <c r="E63" s="17">
        <v>6</v>
      </c>
      <c r="F63" s="33">
        <f>SUM(E63)</f>
        <v>6</v>
      </c>
      <c r="G63" s="36">
        <v>291.68</v>
      </c>
      <c r="H63" s="114">
        <f t="shared" ref="H63:H71" si="8">SUM(F63*G63/1000)</f>
        <v>1.7500799999999999</v>
      </c>
      <c r="I63" s="13">
        <f>G63*1</f>
        <v>291.68</v>
      </c>
      <c r="J63" s="23"/>
      <c r="L63" s="19"/>
    </row>
    <row r="64" spans="1:14" ht="15.7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8"/>
        <v>0.40004000000000001</v>
      </c>
      <c r="I64" s="13">
        <v>0</v>
      </c>
      <c r="J64" s="23"/>
      <c r="L64" s="19"/>
    </row>
    <row r="65" spans="1:22" ht="15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8"/>
        <v>43.271884800000009</v>
      </c>
      <c r="I65" s="13">
        <v>0</v>
      </c>
    </row>
    <row r="66" spans="1:22" ht="15.7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8"/>
        <v>3.3698073600000003</v>
      </c>
      <c r="I66" s="13">
        <v>0</v>
      </c>
    </row>
    <row r="67" spans="1:22" ht="15.7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8"/>
        <v>66.173260800000008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8"/>
        <v>0.63062800000000008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31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8"/>
        <v>0.681392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8"/>
        <v>0.3271</v>
      </c>
      <c r="I70" s="13">
        <f>G70*4</f>
        <v>261.68</v>
      </c>
      <c r="J70" s="5"/>
      <c r="K70" s="5"/>
      <c r="L70" s="5"/>
      <c r="M70" s="5"/>
      <c r="N70" s="5"/>
      <c r="O70" s="5"/>
      <c r="P70" s="5"/>
      <c r="Q70" s="5"/>
      <c r="R70" s="183"/>
      <c r="S70" s="183"/>
      <c r="T70" s="183"/>
      <c r="U70" s="183"/>
    </row>
    <row r="71" spans="1:22" ht="15.75" customHeight="1">
      <c r="A71" s="29">
        <v>12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8"/>
        <v>83.541024000000007</v>
      </c>
      <c r="I71" s="13">
        <f>F71/12*G71</f>
        <v>6961.7519999999995</v>
      </c>
      <c r="J71" s="5"/>
      <c r="K71" s="5"/>
      <c r="L71" s="5"/>
      <c r="M71" s="5"/>
      <c r="N71" s="5"/>
      <c r="O71" s="5"/>
      <c r="P71" s="5"/>
      <c r="Q71" s="5"/>
      <c r="R71" s="144"/>
      <c r="S71" s="144"/>
      <c r="T71" s="144"/>
      <c r="U71" s="144"/>
    </row>
    <row r="72" spans="1:22" ht="15.75" customHeight="1">
      <c r="A72" s="29"/>
      <c r="B72" s="146" t="s">
        <v>74</v>
      </c>
      <c r="C72" s="16"/>
      <c r="D72" s="14"/>
      <c r="E72" s="18"/>
      <c r="F72" s="13"/>
      <c r="G72" s="13"/>
      <c r="H72" s="87" t="s">
        <v>123</v>
      </c>
      <c r="I72" s="7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3">
        <f t="shared" ref="H73:H74" si="9">SUM(F73*G73/1000)</f>
        <v>1.0291199999999998</v>
      </c>
      <c r="I73" s="13">
        <v>0</v>
      </c>
    </row>
    <row r="74" spans="1:22" ht="15.7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3">
        <f t="shared" si="9"/>
        <v>0.73499999999999999</v>
      </c>
      <c r="I74" s="13">
        <v>0</v>
      </c>
    </row>
    <row r="75" spans="1:22" ht="15.75" hidden="1" customHeight="1">
      <c r="A75" s="29">
        <v>23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3">
        <f>SUM(F75*G75/1000)</f>
        <v>0.32893499999999998</v>
      </c>
      <c r="I75" s="13">
        <f>G75*0.8</f>
        <v>526.29600000000005</v>
      </c>
    </row>
    <row r="76" spans="1:22" ht="15.75" hidden="1" customHeight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3">
        <f>SUM(F76*G76/1000)</f>
        <v>1.1187199999999999</v>
      </c>
      <c r="I76" s="13">
        <v>0</v>
      </c>
    </row>
    <row r="77" spans="1:22" ht="15.75" customHeight="1">
      <c r="A77" s="29">
        <v>13</v>
      </c>
      <c r="B77" s="115" t="s">
        <v>154</v>
      </c>
      <c r="C77" s="116" t="s">
        <v>89</v>
      </c>
      <c r="D77" s="39" t="s">
        <v>175</v>
      </c>
      <c r="E77" s="17">
        <v>2</v>
      </c>
      <c r="F77" s="33">
        <f>E77*12</f>
        <v>24</v>
      </c>
      <c r="G77" s="36">
        <v>53.42</v>
      </c>
      <c r="H77" s="113">
        <f t="shared" ref="H77:H78" si="10">SUM(F77*G77/1000)</f>
        <v>1.2820799999999999</v>
      </c>
      <c r="I77" s="13">
        <f>G77*2</f>
        <v>106.84</v>
      </c>
    </row>
    <row r="78" spans="1:22" ht="31.5" customHeight="1">
      <c r="A78" s="29">
        <v>14</v>
      </c>
      <c r="B78" s="115" t="s">
        <v>155</v>
      </c>
      <c r="C78" s="116" t="s">
        <v>89</v>
      </c>
      <c r="D78" s="39" t="s">
        <v>180</v>
      </c>
      <c r="E78" s="17">
        <v>1</v>
      </c>
      <c r="F78" s="33">
        <f>E78*12</f>
        <v>12</v>
      </c>
      <c r="G78" s="36">
        <v>1194</v>
      </c>
      <c r="H78" s="113">
        <f t="shared" si="10"/>
        <v>14.327999999999999</v>
      </c>
      <c r="I78" s="13">
        <f>G78</f>
        <v>1194</v>
      </c>
    </row>
    <row r="79" spans="1:22" ht="15.75" hidden="1" customHeight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22" ht="15.75" hidden="1" customHeight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1">SUM(F80*G80/1000)</f>
        <v>1.0857270000000001</v>
      </c>
      <c r="I80" s="13">
        <v>0</v>
      </c>
    </row>
    <row r="81" spans="1:9" ht="15.75" hidden="1" customHeight="1">
      <c r="A81" s="29"/>
      <c r="B81" s="146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 ht="15.75" hidden="1" customHeight="1">
      <c r="A82" s="94"/>
      <c r="B82" s="34" t="s">
        <v>114</v>
      </c>
      <c r="C82" s="130"/>
      <c r="D82" s="131"/>
      <c r="E82" s="132"/>
      <c r="F82" s="38">
        <f>232/10</f>
        <v>23.2</v>
      </c>
      <c r="G82" s="38">
        <v>12361.2</v>
      </c>
      <c r="H82" s="114">
        <f>G82*F82/1000</f>
        <v>286.77984000000004</v>
      </c>
      <c r="I82" s="95">
        <v>0</v>
      </c>
    </row>
    <row r="83" spans="1:9" ht="15.75" customHeight="1">
      <c r="A83" s="195" t="s">
        <v>131</v>
      </c>
      <c r="B83" s="196"/>
      <c r="C83" s="196"/>
      <c r="D83" s="196"/>
      <c r="E83" s="196"/>
      <c r="F83" s="196"/>
      <c r="G83" s="196"/>
      <c r="H83" s="196"/>
      <c r="I83" s="197"/>
    </row>
    <row r="84" spans="1:9" ht="15.75" customHeight="1">
      <c r="A84" s="96">
        <v>15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1.5" customHeight="1">
      <c r="A85" s="29">
        <v>16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 ht="15.75" customHeight="1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I85+I84+I78+I77+I71+I63+I61+I50+I41+I39+I38+I37+I26+I18+I17+I16</f>
        <v>53469.922755666666</v>
      </c>
    </row>
    <row r="87" spans="1:9" ht="15.75" customHeight="1">
      <c r="A87" s="184" t="s">
        <v>60</v>
      </c>
      <c r="B87" s="185"/>
      <c r="C87" s="185"/>
      <c r="D87" s="185"/>
      <c r="E87" s="185"/>
      <c r="F87" s="185"/>
      <c r="G87" s="185"/>
      <c r="H87" s="185"/>
      <c r="I87" s="186"/>
    </row>
    <row r="88" spans="1:9" ht="21" customHeight="1">
      <c r="A88" s="29">
        <v>17</v>
      </c>
      <c r="B88" s="115" t="s">
        <v>186</v>
      </c>
      <c r="C88" s="116" t="s">
        <v>97</v>
      </c>
      <c r="D88" s="117"/>
      <c r="E88" s="36"/>
      <c r="F88" s="36">
        <v>1</v>
      </c>
      <c r="G88" s="36">
        <v>331.57</v>
      </c>
      <c r="H88" s="89">
        <f>G88*F88/1000</f>
        <v>0.33156999999999998</v>
      </c>
      <c r="I88" s="95">
        <f>G88*1</f>
        <v>331.57</v>
      </c>
    </row>
    <row r="89" spans="1:9" ht="20.25" customHeight="1">
      <c r="A89" s="29">
        <v>18</v>
      </c>
      <c r="B89" s="115" t="s">
        <v>82</v>
      </c>
      <c r="C89" s="116" t="s">
        <v>89</v>
      </c>
      <c r="D89" s="117"/>
      <c r="E89" s="36"/>
      <c r="F89" s="36">
        <v>1</v>
      </c>
      <c r="G89" s="36">
        <v>215.85</v>
      </c>
      <c r="H89" s="89">
        <f t="shared" ref="H89" si="12">G89*F89/1000</f>
        <v>0.21584999999999999</v>
      </c>
      <c r="I89" s="13">
        <f>G89*1</f>
        <v>215.85</v>
      </c>
    </row>
    <row r="90" spans="1:9" ht="15.75" customHeight="1">
      <c r="A90" s="29">
        <v>19</v>
      </c>
      <c r="B90" s="115" t="s">
        <v>187</v>
      </c>
      <c r="C90" s="116" t="s">
        <v>127</v>
      </c>
      <c r="D90" s="117"/>
      <c r="E90" s="36"/>
      <c r="F90" s="36">
        <v>6</v>
      </c>
      <c r="G90" s="36">
        <v>284</v>
      </c>
      <c r="H90" s="89"/>
      <c r="I90" s="13">
        <f>G90*6</f>
        <v>1704</v>
      </c>
    </row>
    <row r="91" spans="1:9" ht="33" customHeight="1">
      <c r="A91" s="29">
        <v>20</v>
      </c>
      <c r="B91" s="115" t="s">
        <v>168</v>
      </c>
      <c r="C91" s="116" t="s">
        <v>29</v>
      </c>
      <c r="D91" s="52"/>
      <c r="E91" s="13"/>
      <c r="F91" s="172">
        <f>8*0.599/1000</f>
        <v>4.7919999999999994E-3</v>
      </c>
      <c r="G91" s="13">
        <v>20547.34</v>
      </c>
      <c r="H91" s="89"/>
      <c r="I91" s="13">
        <f>G91*0.599*8/1000</f>
        <v>98.46285327999999</v>
      </c>
    </row>
    <row r="92" spans="1:9" ht="15.75" customHeight="1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SUM(I88:I91)</f>
        <v>2349.8828532799998</v>
      </c>
    </row>
    <row r="93" spans="1:9" ht="15.75" customHeight="1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 ht="15.75" customHeight="1">
      <c r="A94" s="55"/>
      <c r="B94" s="51" t="s">
        <v>141</v>
      </c>
      <c r="C94" s="35"/>
      <c r="D94" s="35"/>
      <c r="E94" s="35"/>
      <c r="F94" s="35"/>
      <c r="G94" s="35"/>
      <c r="H94" s="35"/>
      <c r="I94" s="49">
        <f>I86+I92</f>
        <v>55819.80560894667</v>
      </c>
    </row>
    <row r="95" spans="1:9" ht="15.75">
      <c r="A95" s="187" t="s">
        <v>188</v>
      </c>
      <c r="B95" s="187"/>
      <c r="C95" s="187"/>
      <c r="D95" s="187"/>
      <c r="E95" s="187"/>
      <c r="F95" s="187"/>
      <c r="G95" s="187"/>
      <c r="H95" s="187"/>
      <c r="I95" s="187"/>
    </row>
    <row r="96" spans="1:9" ht="15.75">
      <c r="A96" s="62"/>
      <c r="B96" s="188" t="s">
        <v>189</v>
      </c>
      <c r="C96" s="188"/>
      <c r="D96" s="188"/>
      <c r="E96" s="188"/>
      <c r="F96" s="188"/>
      <c r="G96" s="188"/>
      <c r="H96" s="70"/>
      <c r="I96" s="3"/>
    </row>
    <row r="97" spans="1:9">
      <c r="A97" s="144"/>
      <c r="B97" s="189" t="s">
        <v>6</v>
      </c>
      <c r="C97" s="189"/>
      <c r="D97" s="189"/>
      <c r="E97" s="189"/>
      <c r="F97" s="189"/>
      <c r="G97" s="189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90" t="s">
        <v>7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0" t="s">
        <v>8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91" t="s">
        <v>61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11"/>
    </row>
    <row r="103" spans="1:9" ht="15.75" customHeight="1">
      <c r="A103" s="192" t="s">
        <v>9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4"/>
    </row>
    <row r="105" spans="1:9" ht="15.75" customHeight="1">
      <c r="B105" s="145" t="s">
        <v>10</v>
      </c>
      <c r="C105" s="193" t="s">
        <v>88</v>
      </c>
      <c r="D105" s="193"/>
      <c r="E105" s="193"/>
      <c r="F105" s="68"/>
      <c r="I105" s="143"/>
    </row>
    <row r="106" spans="1:9" ht="15.75" customHeight="1">
      <c r="A106" s="144"/>
      <c r="C106" s="189" t="s">
        <v>11</v>
      </c>
      <c r="D106" s="189"/>
      <c r="E106" s="189"/>
      <c r="F106" s="24"/>
      <c r="I106" s="142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145" t="s">
        <v>13</v>
      </c>
      <c r="C108" s="194"/>
      <c r="D108" s="194"/>
      <c r="E108" s="194"/>
      <c r="F108" s="69"/>
      <c r="I108" s="143"/>
    </row>
    <row r="109" spans="1:9" ht="15.75" customHeight="1">
      <c r="A109" s="144"/>
      <c r="C109" s="183" t="s">
        <v>11</v>
      </c>
      <c r="D109" s="183"/>
      <c r="E109" s="183"/>
      <c r="F109" s="144"/>
      <c r="I109" s="142" t="s">
        <v>12</v>
      </c>
    </row>
    <row r="110" spans="1:9" ht="15.75" customHeight="1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82" t="s">
        <v>16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17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21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" customHeight="1">
      <c r="A115" s="182" t="s">
        <v>20</v>
      </c>
      <c r="B115" s="182"/>
      <c r="C115" s="182"/>
      <c r="D115" s="182"/>
      <c r="E115" s="182"/>
      <c r="F115" s="182"/>
      <c r="G115" s="182"/>
      <c r="H115" s="182"/>
      <c r="I115" s="182"/>
    </row>
  </sheetData>
  <autoFilter ref="I12:I65"/>
  <mergeCells count="29">
    <mergeCell ref="A14:I14"/>
    <mergeCell ref="A15:I15"/>
    <mergeCell ref="A27:I27"/>
    <mergeCell ref="A44:I44"/>
    <mergeCell ref="A55:I55"/>
    <mergeCell ref="A3:I3"/>
    <mergeCell ref="A4:I4"/>
    <mergeCell ref="A5:I5"/>
    <mergeCell ref="A8:I8"/>
    <mergeCell ref="A10:I10"/>
    <mergeCell ref="R70:U70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topLeftCell="A54" workbookViewId="0">
      <selection activeCell="D26" sqref="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139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242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44135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243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180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" hidden="1" customHeight="1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  <c r="J43" s="23"/>
      <c r="L43" s="19"/>
      <c r="M43" s="20"/>
      <c r="N43" s="21"/>
    </row>
    <row r="44" spans="1:14" ht="25.5" hidden="1" customHeight="1">
      <c r="A44" s="96">
        <v>12</v>
      </c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29.25" hidden="1" customHeight="1">
      <c r="A45" s="29">
        <v>13</v>
      </c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30" hidden="1" customHeight="1">
      <c r="A46" s="29">
        <v>14</v>
      </c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31.5" hidden="1" customHeight="1">
      <c r="A47" s="29">
        <v>15</v>
      </c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30" hidden="1" customHeight="1">
      <c r="A48" s="29">
        <v>16</v>
      </c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32.25" hidden="1" customHeight="1">
      <c r="A49" s="29">
        <v>17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3" hidden="1" customHeight="1">
      <c r="A50" s="29">
        <v>10</v>
      </c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2.25" hidden="1" customHeight="1">
      <c r="A51" s="29">
        <v>11</v>
      </c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6.5" hidden="1" customHeight="1">
      <c r="A52" s="29">
        <v>12</v>
      </c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28.5" hidden="1" customHeight="1">
      <c r="A53" s="29">
        <v>18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5" t="s">
        <v>134</v>
      </c>
      <c r="B54" s="206"/>
      <c r="C54" s="206"/>
      <c r="D54" s="206"/>
      <c r="E54" s="206"/>
      <c r="F54" s="206"/>
      <c r="G54" s="206"/>
      <c r="H54" s="206"/>
      <c r="I54" s="207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19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8</v>
      </c>
      <c r="B60" s="125" t="s">
        <v>90</v>
      </c>
      <c r="C60" s="126" t="s">
        <v>25</v>
      </c>
      <c r="D60" s="125" t="s">
        <v>180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customHeight="1">
      <c r="A62" s="29">
        <v>9</v>
      </c>
      <c r="B62" s="56" t="s">
        <v>47</v>
      </c>
      <c r="C62" s="40" t="s">
        <v>89</v>
      </c>
      <c r="D62" s="39" t="s">
        <v>175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G62*1</f>
        <v>291.68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83"/>
      <c r="S69" s="183"/>
      <c r="T69" s="183"/>
      <c r="U69" s="183"/>
    </row>
    <row r="70" spans="1:22" ht="15.75" customHeight="1">
      <c r="A70" s="29">
        <v>10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" hidden="1" customHeight="1">
      <c r="A74" s="29">
        <v>11</v>
      </c>
      <c r="B74" s="39" t="s">
        <v>75</v>
      </c>
      <c r="C74" s="40" t="s">
        <v>76</v>
      </c>
      <c r="D74" s="39" t="s">
        <v>184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G74*0.2</f>
        <v>131.57400000000001</v>
      </c>
    </row>
    <row r="75" spans="1:22" ht="17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11</v>
      </c>
      <c r="B76" s="115" t="s">
        <v>154</v>
      </c>
      <c r="C76" s="116" t="s">
        <v>89</v>
      </c>
      <c r="D76" s="39"/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12</v>
      </c>
      <c r="B77" s="115" t="s">
        <v>155</v>
      </c>
      <c r="C77" s="116" t="s">
        <v>89</v>
      </c>
      <c r="D77" s="39" t="s">
        <v>180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5" t="s">
        <v>135</v>
      </c>
      <c r="B82" s="196"/>
      <c r="C82" s="196"/>
      <c r="D82" s="196"/>
      <c r="E82" s="196"/>
      <c r="F82" s="196"/>
      <c r="G82" s="196"/>
      <c r="H82" s="196"/>
      <c r="I82" s="197"/>
    </row>
    <row r="83" spans="1:9" ht="15.75" customHeight="1">
      <c r="A83" s="96">
        <v>13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14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I84+I83+I77+I76+I70+I62+I60+I32+I30+I29+I26+I18+I17+I16</f>
        <v>45167.310125666671</v>
      </c>
    </row>
    <row r="86" spans="1:9" ht="15.75" customHeight="1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 ht="32.25" customHeight="1">
      <c r="A87" s="29">
        <v>15</v>
      </c>
      <c r="B87" s="115" t="s">
        <v>169</v>
      </c>
      <c r="C87" s="116" t="s">
        <v>170</v>
      </c>
      <c r="D87" s="117" t="s">
        <v>244</v>
      </c>
      <c r="E87" s="36"/>
      <c r="F87" s="36">
        <v>2</v>
      </c>
      <c r="G87" s="36">
        <v>61.58</v>
      </c>
      <c r="H87" s="114">
        <f t="shared" ref="H87" si="12">F87*G87/1000</f>
        <v>0.12315999999999999</v>
      </c>
      <c r="I87" s="13">
        <f>G87*1</f>
        <v>61.58</v>
      </c>
    </row>
    <row r="88" spans="1:9" ht="15.75" customHeight="1">
      <c r="A88" s="29"/>
      <c r="B88" s="50" t="s">
        <v>52</v>
      </c>
      <c r="C88" s="46"/>
      <c r="D88" s="54"/>
      <c r="E88" s="46">
        <v>1</v>
      </c>
      <c r="F88" s="46"/>
      <c r="G88" s="46"/>
      <c r="H88" s="46"/>
      <c r="I88" s="32">
        <f>SUM(I87:I87)</f>
        <v>61.58</v>
      </c>
    </row>
    <row r="89" spans="1:9" ht="15.75" customHeight="1">
      <c r="A89" s="29"/>
      <c r="B89" s="52" t="s">
        <v>80</v>
      </c>
      <c r="C89" s="15"/>
      <c r="D89" s="15"/>
      <c r="E89" s="47"/>
      <c r="F89" s="47"/>
      <c r="G89" s="48"/>
      <c r="H89" s="48"/>
      <c r="I89" s="17">
        <v>0</v>
      </c>
    </row>
    <row r="90" spans="1:9" ht="15.75" customHeight="1">
      <c r="A90" s="55"/>
      <c r="B90" s="51" t="s">
        <v>141</v>
      </c>
      <c r="C90" s="35"/>
      <c r="D90" s="35"/>
      <c r="E90" s="35"/>
      <c r="F90" s="35"/>
      <c r="G90" s="35"/>
      <c r="H90" s="35"/>
      <c r="I90" s="49">
        <f>I85+I88</f>
        <v>45228.890125666672</v>
      </c>
    </row>
    <row r="91" spans="1:9" ht="15.75">
      <c r="A91" s="187" t="s">
        <v>245</v>
      </c>
      <c r="B91" s="187"/>
      <c r="C91" s="187"/>
      <c r="D91" s="187"/>
      <c r="E91" s="187"/>
      <c r="F91" s="187"/>
      <c r="G91" s="187"/>
      <c r="H91" s="187"/>
      <c r="I91" s="187"/>
    </row>
    <row r="92" spans="1:9" ht="15.75">
      <c r="A92" s="62"/>
      <c r="B92" s="188" t="s">
        <v>246</v>
      </c>
      <c r="C92" s="188"/>
      <c r="D92" s="188"/>
      <c r="E92" s="188"/>
      <c r="F92" s="188"/>
      <c r="G92" s="188"/>
      <c r="H92" s="70"/>
      <c r="I92" s="3"/>
    </row>
    <row r="93" spans="1:9">
      <c r="A93" s="60"/>
      <c r="B93" s="189" t="s">
        <v>6</v>
      </c>
      <c r="C93" s="189"/>
      <c r="D93" s="189"/>
      <c r="E93" s="189"/>
      <c r="F93" s="189"/>
      <c r="G93" s="189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90" t="s">
        <v>7</v>
      </c>
      <c r="B95" s="190"/>
      <c r="C95" s="190"/>
      <c r="D95" s="190"/>
      <c r="E95" s="190"/>
      <c r="F95" s="190"/>
      <c r="G95" s="190"/>
      <c r="H95" s="190"/>
      <c r="I95" s="190"/>
    </row>
    <row r="96" spans="1:9" ht="15.75" customHeight="1">
      <c r="A96" s="190" t="s">
        <v>8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 customHeight="1">
      <c r="A97" s="191" t="s">
        <v>61</v>
      </c>
      <c r="B97" s="191"/>
      <c r="C97" s="191"/>
      <c r="D97" s="191"/>
      <c r="E97" s="191"/>
      <c r="F97" s="191"/>
      <c r="G97" s="191"/>
      <c r="H97" s="191"/>
      <c r="I97" s="191"/>
    </row>
    <row r="98" spans="1:9" ht="15.75" customHeight="1">
      <c r="A98" s="11"/>
    </row>
    <row r="99" spans="1:9" ht="15.75" customHeight="1">
      <c r="A99" s="192" t="s">
        <v>9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 customHeight="1">
      <c r="A100" s="4"/>
    </row>
    <row r="101" spans="1:9" ht="15.75" customHeight="1">
      <c r="B101" s="61" t="s">
        <v>10</v>
      </c>
      <c r="C101" s="193" t="s">
        <v>247</v>
      </c>
      <c r="D101" s="193"/>
      <c r="E101" s="193"/>
      <c r="F101" s="68"/>
      <c r="I101" s="64"/>
    </row>
    <row r="102" spans="1:9" ht="15.75" customHeight="1">
      <c r="A102" s="60"/>
      <c r="C102" s="189" t="s">
        <v>11</v>
      </c>
      <c r="D102" s="189"/>
      <c r="E102" s="189"/>
      <c r="F102" s="24"/>
      <c r="I102" s="63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61" t="s">
        <v>13</v>
      </c>
      <c r="C104" s="194"/>
      <c r="D104" s="194"/>
      <c r="E104" s="194"/>
      <c r="F104" s="69"/>
      <c r="I104" s="64"/>
    </row>
    <row r="105" spans="1:9" ht="15.75" customHeight="1">
      <c r="A105" s="60"/>
      <c r="C105" s="183" t="s">
        <v>11</v>
      </c>
      <c r="D105" s="183"/>
      <c r="E105" s="183"/>
      <c r="F105" s="60"/>
      <c r="I105" s="63" t="s">
        <v>12</v>
      </c>
    </row>
    <row r="106" spans="1:9" ht="15.75" customHeight="1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45" customHeight="1">
      <c r="A108" s="182" t="s">
        <v>16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30" customHeight="1">
      <c r="A109" s="182" t="s">
        <v>17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30" customHeight="1">
      <c r="A110" s="182" t="s">
        <v>21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" customHeight="1">
      <c r="A111" s="182" t="s">
        <v>20</v>
      </c>
      <c r="B111" s="182"/>
      <c r="C111" s="182"/>
      <c r="D111" s="182"/>
      <c r="E111" s="182"/>
      <c r="F111" s="182"/>
      <c r="G111" s="182"/>
      <c r="H111" s="182"/>
      <c r="I111" s="182"/>
    </row>
  </sheetData>
  <autoFilter ref="I12:I64"/>
  <mergeCells count="29">
    <mergeCell ref="A107:I107"/>
    <mergeCell ref="A108:I108"/>
    <mergeCell ref="A109:I109"/>
    <mergeCell ref="A110:I110"/>
    <mergeCell ref="A111:I111"/>
    <mergeCell ref="R69:U69"/>
    <mergeCell ref="C105:E105"/>
    <mergeCell ref="A86:I86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56" zoomScale="60" workbookViewId="0">
      <selection activeCell="D26" sqref="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57031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156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248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44165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249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4" t="s">
        <v>140</v>
      </c>
      <c r="B28" s="204"/>
      <c r="C28" s="204"/>
      <c r="D28" s="204"/>
      <c r="E28" s="204"/>
      <c r="F28" s="204"/>
      <c r="G28" s="204"/>
      <c r="H28" s="204"/>
      <c r="I28" s="204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hidden="1" customHeight="1">
      <c r="A38" s="29">
        <v>5</v>
      </c>
      <c r="B38" s="71" t="s">
        <v>26</v>
      </c>
      <c r="C38" s="72" t="s">
        <v>31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G38*1.2</f>
        <v>2403.6</v>
      </c>
      <c r="J38" s="23"/>
    </row>
    <row r="39" spans="1:14" ht="15.75" customHeight="1">
      <c r="A39" s="29">
        <v>5</v>
      </c>
      <c r="B39" s="71" t="s">
        <v>67</v>
      </c>
      <c r="C39" s="72" t="s">
        <v>29</v>
      </c>
      <c r="D39" s="71" t="s">
        <v>182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6</v>
      </c>
      <c r="B40" s="71" t="s">
        <v>68</v>
      </c>
      <c r="C40" s="72" t="s">
        <v>29</v>
      </c>
      <c r="D40" s="71" t="s">
        <v>177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7</v>
      </c>
      <c r="B42" s="71" t="s">
        <v>83</v>
      </c>
      <c r="C42" s="72" t="s">
        <v>104</v>
      </c>
      <c r="D42" s="71" t="s">
        <v>178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8</v>
      </c>
      <c r="B43" s="83" t="s">
        <v>106</v>
      </c>
      <c r="C43" s="84" t="s">
        <v>104</v>
      </c>
      <c r="D43" s="83" t="s">
        <v>176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G43*F43/45*2</f>
        <v>100.19294999999998</v>
      </c>
      <c r="J43" s="23"/>
      <c r="L43" s="19"/>
      <c r="M43" s="20"/>
      <c r="N43" s="21"/>
    </row>
    <row r="44" spans="1:14" ht="15.75" customHeight="1">
      <c r="A44" s="29">
        <v>9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G44*F44/45*2</f>
        <v>38.993200000000002</v>
      </c>
      <c r="J44" s="23"/>
      <c r="L44" s="19"/>
      <c r="M44" s="20"/>
      <c r="N44" s="21"/>
    </row>
    <row r="45" spans="1:14" ht="15.75" hidden="1" customHeight="1">
      <c r="A45" s="195" t="s">
        <v>129</v>
      </c>
      <c r="B45" s="196"/>
      <c r="C45" s="196"/>
      <c r="D45" s="196"/>
      <c r="E45" s="196"/>
      <c r="F45" s="196"/>
      <c r="G45" s="196"/>
      <c r="H45" s="196"/>
      <c r="I45" s="197"/>
      <c r="J45" s="23"/>
      <c r="L45" s="19"/>
      <c r="M45" s="20"/>
      <c r="N45" s="21"/>
    </row>
    <row r="46" spans="1:14" ht="15.75" hidden="1" customHeight="1">
      <c r="A46" s="133">
        <v>12</v>
      </c>
      <c r="B46" s="135" t="s">
        <v>107</v>
      </c>
      <c r="C46" s="136" t="s">
        <v>104</v>
      </c>
      <c r="D46" s="135" t="s">
        <v>42</v>
      </c>
      <c r="E46" s="137">
        <v>1632.75</v>
      </c>
      <c r="F46" s="138">
        <f>SUM(E46*2/1000)</f>
        <v>3.2654999999999998</v>
      </c>
      <c r="G46" s="138">
        <v>1062</v>
      </c>
      <c r="H46" s="138">
        <f t="shared" ref="H46:H55" si="6">SUM(F46*G46/1000)</f>
        <v>3.4679609999999998</v>
      </c>
      <c r="I46" s="134">
        <f>F46/2*G46</f>
        <v>1733.9804999999999</v>
      </c>
      <c r="J46" s="23"/>
      <c r="L46" s="19"/>
      <c r="M46" s="20"/>
      <c r="N46" s="21"/>
    </row>
    <row r="47" spans="1:14" ht="15.75" hidden="1" customHeight="1">
      <c r="A47" s="133">
        <v>13</v>
      </c>
      <c r="B47" s="135" t="s">
        <v>35</v>
      </c>
      <c r="C47" s="136" t="s">
        <v>104</v>
      </c>
      <c r="D47" s="135" t="s">
        <v>42</v>
      </c>
      <c r="E47" s="137">
        <v>53.75</v>
      </c>
      <c r="F47" s="138">
        <f>SUM(E47*2/1000)</f>
        <v>0.1075</v>
      </c>
      <c r="G47" s="138">
        <v>759.98</v>
      </c>
      <c r="H47" s="138">
        <f t="shared" si="6"/>
        <v>8.1697850000000002E-2</v>
      </c>
      <c r="I47" s="134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133">
        <v>14</v>
      </c>
      <c r="B48" s="135" t="s">
        <v>36</v>
      </c>
      <c r="C48" s="136" t="s">
        <v>104</v>
      </c>
      <c r="D48" s="135" t="s">
        <v>42</v>
      </c>
      <c r="E48" s="137">
        <v>2285.6</v>
      </c>
      <c r="F48" s="138">
        <f>SUM(E48*2/1000)</f>
        <v>4.5712000000000002</v>
      </c>
      <c r="G48" s="138">
        <v>759.98</v>
      </c>
      <c r="H48" s="138">
        <f t="shared" si="6"/>
        <v>3.4740205760000005</v>
      </c>
      <c r="I48" s="134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133">
        <v>15</v>
      </c>
      <c r="B49" s="135" t="s">
        <v>37</v>
      </c>
      <c r="C49" s="136" t="s">
        <v>104</v>
      </c>
      <c r="D49" s="135" t="s">
        <v>42</v>
      </c>
      <c r="E49" s="137">
        <v>1860</v>
      </c>
      <c r="F49" s="138">
        <f>SUM(E49*2/1000)</f>
        <v>3.72</v>
      </c>
      <c r="G49" s="138">
        <v>795.82</v>
      </c>
      <c r="H49" s="138">
        <f t="shared" si="6"/>
        <v>2.9604504</v>
      </c>
      <c r="I49" s="134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133">
        <v>16</v>
      </c>
      <c r="B50" s="135" t="s">
        <v>33</v>
      </c>
      <c r="C50" s="136" t="s">
        <v>34</v>
      </c>
      <c r="D50" s="135" t="s">
        <v>42</v>
      </c>
      <c r="E50" s="137">
        <v>120.5</v>
      </c>
      <c r="F50" s="138">
        <f>SUM(E50*2/100)</f>
        <v>2.41</v>
      </c>
      <c r="G50" s="138">
        <v>95.49</v>
      </c>
      <c r="H50" s="138">
        <f t="shared" si="6"/>
        <v>0.2301309</v>
      </c>
      <c r="I50" s="134">
        <f t="shared" si="7"/>
        <v>115.06545</v>
      </c>
      <c r="J50" s="23"/>
      <c r="L50" s="19"/>
      <c r="M50" s="20"/>
      <c r="N50" s="21"/>
    </row>
    <row r="51" spans="1:14" ht="15.75" hidden="1" customHeight="1">
      <c r="A51" s="133">
        <v>17</v>
      </c>
      <c r="B51" s="135" t="s">
        <v>56</v>
      </c>
      <c r="C51" s="136" t="s">
        <v>104</v>
      </c>
      <c r="D51" s="135" t="s">
        <v>132</v>
      </c>
      <c r="E51" s="137">
        <v>3053.4</v>
      </c>
      <c r="F51" s="138">
        <f>SUM(E51*5/1000)</f>
        <v>15.266999999999999</v>
      </c>
      <c r="G51" s="138">
        <v>1591.6</v>
      </c>
      <c r="H51" s="138">
        <f t="shared" si="6"/>
        <v>24.298957199999997</v>
      </c>
      <c r="I51" s="134">
        <f>F51/5*G51</f>
        <v>4859.79144</v>
      </c>
      <c r="J51" s="23"/>
      <c r="L51" s="19"/>
      <c r="M51" s="20"/>
      <c r="N51" s="21"/>
    </row>
    <row r="52" spans="1:14" ht="31.5" hidden="1" customHeight="1">
      <c r="A52" s="133"/>
      <c r="B52" s="135" t="s">
        <v>108</v>
      </c>
      <c r="C52" s="136" t="s">
        <v>104</v>
      </c>
      <c r="D52" s="135" t="s">
        <v>42</v>
      </c>
      <c r="E52" s="137">
        <f>E51</f>
        <v>3053.4</v>
      </c>
      <c r="F52" s="138">
        <f>SUM(E52*2/1000)</f>
        <v>6.1067999999999998</v>
      </c>
      <c r="G52" s="138">
        <v>1591.6</v>
      </c>
      <c r="H52" s="138">
        <f t="shared" si="6"/>
        <v>9.7195828800000008</v>
      </c>
      <c r="I52" s="134">
        <f t="shared" si="7"/>
        <v>4859.79144</v>
      </c>
      <c r="J52" s="23"/>
      <c r="L52" s="19"/>
      <c r="M52" s="20"/>
      <c r="N52" s="21"/>
    </row>
    <row r="53" spans="1:14" ht="31.5" hidden="1" customHeight="1">
      <c r="A53" s="133"/>
      <c r="B53" s="135" t="s">
        <v>124</v>
      </c>
      <c r="C53" s="136" t="s">
        <v>38</v>
      </c>
      <c r="D53" s="135" t="s">
        <v>42</v>
      </c>
      <c r="E53" s="137">
        <v>20</v>
      </c>
      <c r="F53" s="138">
        <f>SUM(E53*2/100)</f>
        <v>0.4</v>
      </c>
      <c r="G53" s="138">
        <v>3581.13</v>
      </c>
      <c r="H53" s="138">
        <f t="shared" si="6"/>
        <v>1.4324520000000003</v>
      </c>
      <c r="I53" s="134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133"/>
      <c r="B54" s="135" t="s">
        <v>39</v>
      </c>
      <c r="C54" s="136" t="s">
        <v>40</v>
      </c>
      <c r="D54" s="135" t="s">
        <v>42</v>
      </c>
      <c r="E54" s="137">
        <v>1</v>
      </c>
      <c r="F54" s="138">
        <v>0.02</v>
      </c>
      <c r="G54" s="138">
        <v>7412.92</v>
      </c>
      <c r="H54" s="138">
        <f t="shared" si="6"/>
        <v>0.14825839999999998</v>
      </c>
      <c r="I54" s="134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133">
        <v>18</v>
      </c>
      <c r="B55" s="135" t="s">
        <v>41</v>
      </c>
      <c r="C55" s="136" t="s">
        <v>89</v>
      </c>
      <c r="D55" s="135" t="s">
        <v>71</v>
      </c>
      <c r="E55" s="137">
        <v>128</v>
      </c>
      <c r="F55" s="138">
        <f>SUM(E55)*3</f>
        <v>384</v>
      </c>
      <c r="G55" s="139">
        <v>86.15</v>
      </c>
      <c r="H55" s="138">
        <f t="shared" si="6"/>
        <v>33.081600000000009</v>
      </c>
      <c r="I55" s="134">
        <f>E55*G55</f>
        <v>11027.2</v>
      </c>
      <c r="J55" s="23"/>
      <c r="L55" s="19"/>
      <c r="M55" s="20"/>
      <c r="N55" s="21"/>
    </row>
    <row r="56" spans="1:14" ht="15.75" customHeight="1">
      <c r="A56" s="195" t="s">
        <v>134</v>
      </c>
      <c r="B56" s="196"/>
      <c r="C56" s="196"/>
      <c r="D56" s="196"/>
      <c r="E56" s="196"/>
      <c r="F56" s="196"/>
      <c r="G56" s="196"/>
      <c r="H56" s="196"/>
      <c r="I56" s="197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15</v>
      </c>
      <c r="B58" s="71" t="s">
        <v>109</v>
      </c>
      <c r="C58" s="72" t="s">
        <v>93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10</v>
      </c>
      <c r="B62" s="125" t="s">
        <v>90</v>
      </c>
      <c r="C62" s="126" t="s">
        <v>25</v>
      </c>
      <c r="D62" s="125" t="s">
        <v>180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customHeight="1">
      <c r="A64" s="29">
        <v>11</v>
      </c>
      <c r="B64" s="56" t="s">
        <v>47</v>
      </c>
      <c r="C64" s="40" t="s">
        <v>89</v>
      </c>
      <c r="D64" s="39" t="s">
        <v>175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29">
        <v>12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/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v>0</v>
      </c>
    </row>
    <row r="77" spans="1:22" ht="15.75" hidden="1" customHeight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13</v>
      </c>
      <c r="B78" s="115" t="s">
        <v>154</v>
      </c>
      <c r="C78" s="116" t="s">
        <v>89</v>
      </c>
      <c r="D78" s="39"/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14</v>
      </c>
      <c r="B79" s="115" t="s">
        <v>155</v>
      </c>
      <c r="C79" s="116" t="s">
        <v>89</v>
      </c>
      <c r="D79" s="39" t="s">
        <v>180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12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114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5" t="s">
        <v>135</v>
      </c>
      <c r="B84" s="196"/>
      <c r="C84" s="196"/>
      <c r="D84" s="196"/>
      <c r="E84" s="196"/>
      <c r="F84" s="196"/>
      <c r="G84" s="196"/>
      <c r="H84" s="196"/>
      <c r="I84" s="197"/>
    </row>
    <row r="85" spans="1:9" ht="15.75" customHeight="1">
      <c r="A85" s="96">
        <v>15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16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I86+I85+I79+I78+I72+I62+I44+I43+I42+I40+I39+I26+I18+I17+I16+I64</f>
        <v>46345.717465666668</v>
      </c>
    </row>
    <row r="88" spans="1:9" ht="15.75" customHeight="1">
      <c r="A88" s="184" t="s">
        <v>60</v>
      </c>
      <c r="B88" s="185"/>
      <c r="C88" s="185"/>
      <c r="D88" s="185"/>
      <c r="E88" s="185"/>
      <c r="F88" s="185"/>
      <c r="G88" s="185"/>
      <c r="H88" s="185"/>
      <c r="I88" s="186"/>
    </row>
    <row r="89" spans="1:9" ht="31.5" customHeight="1">
      <c r="A89" s="29">
        <v>17</v>
      </c>
      <c r="B89" s="115" t="s">
        <v>168</v>
      </c>
      <c r="C89" s="116" t="s">
        <v>29</v>
      </c>
      <c r="D89" s="117"/>
      <c r="E89" s="36"/>
      <c r="F89" s="36">
        <v>7</v>
      </c>
      <c r="G89" s="180">
        <v>20547.34</v>
      </c>
      <c r="H89" s="114">
        <f>F89*G89/1000</f>
        <v>143.83138</v>
      </c>
      <c r="I89" s="18">
        <f>G89*0.599*8/1000</f>
        <v>98.46285327999999</v>
      </c>
    </row>
    <row r="90" spans="1:9" ht="21.75" customHeight="1">
      <c r="A90" s="29">
        <v>18</v>
      </c>
      <c r="B90" s="115" t="s">
        <v>200</v>
      </c>
      <c r="C90" s="116" t="s">
        <v>40</v>
      </c>
      <c r="D90" s="117" t="s">
        <v>175</v>
      </c>
      <c r="E90" s="36"/>
      <c r="F90" s="36">
        <v>0.08</v>
      </c>
      <c r="G90" s="36">
        <v>27139.18</v>
      </c>
      <c r="H90" s="36"/>
      <c r="I90" s="13">
        <v>0</v>
      </c>
    </row>
    <row r="91" spans="1:9" ht="21" customHeight="1">
      <c r="A91" s="29">
        <v>19</v>
      </c>
      <c r="B91" s="115" t="s">
        <v>250</v>
      </c>
      <c r="C91" s="116" t="s">
        <v>89</v>
      </c>
      <c r="D91" s="117" t="s">
        <v>252</v>
      </c>
      <c r="E91" s="36"/>
      <c r="F91" s="36">
        <v>1</v>
      </c>
      <c r="G91" s="36">
        <v>148.87</v>
      </c>
      <c r="H91" s="36"/>
      <c r="I91" s="13">
        <f>G91*1</f>
        <v>148.87</v>
      </c>
    </row>
    <row r="92" spans="1:9" ht="16.5" customHeight="1">
      <c r="A92" s="29">
        <v>20</v>
      </c>
      <c r="B92" s="175" t="s">
        <v>251</v>
      </c>
      <c r="C92" s="45" t="s">
        <v>101</v>
      </c>
      <c r="D92" s="117"/>
      <c r="E92" s="36"/>
      <c r="F92" s="36">
        <v>0.06</v>
      </c>
      <c r="G92" s="36">
        <v>3730.99</v>
      </c>
      <c r="H92" s="36"/>
      <c r="I92" s="13">
        <f>G92*0.06</f>
        <v>223.85939999999997</v>
      </c>
    </row>
    <row r="93" spans="1:9" ht="15.75" customHeight="1">
      <c r="A93" s="29"/>
      <c r="B93" s="50" t="s">
        <v>52</v>
      </c>
      <c r="C93" s="46"/>
      <c r="D93" s="54"/>
      <c r="E93" s="46">
        <v>1</v>
      </c>
      <c r="F93" s="46"/>
      <c r="G93" s="46"/>
      <c r="H93" s="46"/>
      <c r="I93" s="32">
        <f>SUM(I89:I92)</f>
        <v>471.19225327999993</v>
      </c>
    </row>
    <row r="94" spans="1:9" ht="15.75" customHeight="1">
      <c r="A94" s="29"/>
      <c r="B94" s="52" t="s">
        <v>80</v>
      </c>
      <c r="C94" s="15"/>
      <c r="D94" s="15"/>
      <c r="E94" s="47"/>
      <c r="F94" s="47"/>
      <c r="G94" s="48"/>
      <c r="H94" s="48"/>
      <c r="I94" s="17">
        <v>0</v>
      </c>
    </row>
    <row r="95" spans="1:9" ht="15.75" customHeight="1">
      <c r="A95" s="55"/>
      <c r="B95" s="51" t="s">
        <v>141</v>
      </c>
      <c r="C95" s="35"/>
      <c r="D95" s="35"/>
      <c r="E95" s="35"/>
      <c r="F95" s="35"/>
      <c r="G95" s="35"/>
      <c r="H95" s="35"/>
      <c r="I95" s="49">
        <f>I87+I93</f>
        <v>46816.90971894667</v>
      </c>
    </row>
    <row r="96" spans="1:9" ht="15.75">
      <c r="A96" s="187" t="s">
        <v>271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>
      <c r="A97" s="62"/>
      <c r="B97" s="188" t="s">
        <v>272</v>
      </c>
      <c r="C97" s="188"/>
      <c r="D97" s="188"/>
      <c r="E97" s="188"/>
      <c r="F97" s="188"/>
      <c r="G97" s="188"/>
      <c r="H97" s="70"/>
      <c r="I97" s="3"/>
    </row>
    <row r="98" spans="1:9">
      <c r="A98" s="109"/>
      <c r="B98" s="189" t="s">
        <v>6</v>
      </c>
      <c r="C98" s="189"/>
      <c r="D98" s="189"/>
      <c r="E98" s="189"/>
      <c r="F98" s="189"/>
      <c r="G98" s="189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0" t="s">
        <v>7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90" t="s">
        <v>8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91" t="s">
        <v>61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 customHeight="1">
      <c r="A103" s="11"/>
    </row>
    <row r="104" spans="1:9" ht="15.75" customHeight="1">
      <c r="A104" s="192" t="s">
        <v>9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15.75" customHeight="1">
      <c r="A105" s="4"/>
    </row>
    <row r="106" spans="1:9" ht="15.75" customHeight="1">
      <c r="B106" s="110" t="s">
        <v>10</v>
      </c>
      <c r="C106" s="193" t="s">
        <v>247</v>
      </c>
      <c r="D106" s="193"/>
      <c r="E106" s="193"/>
      <c r="F106" s="68"/>
      <c r="I106" s="108"/>
    </row>
    <row r="107" spans="1:9" ht="15.75" customHeight="1">
      <c r="A107" s="109"/>
      <c r="C107" s="189" t="s">
        <v>11</v>
      </c>
      <c r="D107" s="189"/>
      <c r="E107" s="189"/>
      <c r="F107" s="24"/>
      <c r="I107" s="107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110" t="s">
        <v>13</v>
      </c>
      <c r="C109" s="194"/>
      <c r="D109" s="194"/>
      <c r="E109" s="194"/>
      <c r="F109" s="69"/>
      <c r="I109" s="108"/>
    </row>
    <row r="110" spans="1:9" ht="15.75" customHeight="1">
      <c r="A110" s="109"/>
      <c r="C110" s="183" t="s">
        <v>11</v>
      </c>
      <c r="D110" s="183"/>
      <c r="E110" s="183"/>
      <c r="F110" s="109"/>
      <c r="I110" s="107" t="s">
        <v>12</v>
      </c>
    </row>
    <row r="111" spans="1:9" ht="15.75" customHeight="1">
      <c r="A111" s="4" t="s">
        <v>14</v>
      </c>
    </row>
    <row r="112" spans="1:9">
      <c r="A112" s="181" t="s">
        <v>15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45" customHeight="1">
      <c r="A113" s="182" t="s">
        <v>16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17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30" customHeight="1">
      <c r="A115" s="182" t="s">
        <v>21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15" customHeight="1">
      <c r="A116" s="182" t="s">
        <v>20</v>
      </c>
      <c r="B116" s="182"/>
      <c r="C116" s="182"/>
      <c r="D116" s="182"/>
      <c r="E116" s="182"/>
      <c r="F116" s="182"/>
      <c r="G116" s="182"/>
      <c r="H116" s="182"/>
      <c r="I116" s="182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1"/>
  <sheetViews>
    <sheetView tabSelected="1" topLeftCell="A95" workbookViewId="0">
      <selection activeCell="G114" sqref="G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157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273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44196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249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274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G16*F16/156*11</f>
        <v>2340.25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178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G17*F17/104*6</f>
        <v>3985.44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275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G26*F26/258*19</f>
        <v>1522.0310999999999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4" t="s">
        <v>140</v>
      </c>
      <c r="B28" s="204"/>
      <c r="C28" s="204"/>
      <c r="D28" s="204"/>
      <c r="E28" s="204"/>
      <c r="F28" s="204"/>
      <c r="G28" s="204"/>
      <c r="H28" s="204"/>
      <c r="I28" s="204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71" t="s">
        <v>276</v>
      </c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G38*1.4</f>
        <v>2804.2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175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>G39*F39/18*1</f>
        <v>442.89946799999996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277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>G40*F40/155*23</f>
        <v>942.71898599999986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104</v>
      </c>
      <c r="D42" s="71" t="s">
        <v>278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>G42*F42/35*4</f>
        <v>1415.6757599999999</v>
      </c>
      <c r="J42" s="23"/>
      <c r="L42" s="19"/>
      <c r="M42" s="20"/>
      <c r="N42" s="21"/>
    </row>
    <row r="43" spans="1:14" ht="15.75" hidden="1" customHeight="1">
      <c r="A43" s="94">
        <v>9</v>
      </c>
      <c r="B43" s="83" t="s">
        <v>106</v>
      </c>
      <c r="C43" s="84" t="s">
        <v>104</v>
      </c>
      <c r="D43" s="83" t="s">
        <v>179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hidden="1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F44/7.5*G44</f>
        <v>116.97960000000002</v>
      </c>
      <c r="J44" s="23"/>
      <c r="L44" s="19"/>
      <c r="M44" s="20"/>
      <c r="N44" s="21"/>
    </row>
    <row r="45" spans="1:14" ht="15.75" customHeight="1">
      <c r="A45" s="195" t="s">
        <v>129</v>
      </c>
      <c r="B45" s="196"/>
      <c r="C45" s="196"/>
      <c r="D45" s="196"/>
      <c r="E45" s="196"/>
      <c r="F45" s="196"/>
      <c r="G45" s="196"/>
      <c r="H45" s="196"/>
      <c r="I45" s="197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107</v>
      </c>
      <c r="C46" s="40" t="s">
        <v>104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104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104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104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  <c r="J50" s="23"/>
      <c r="L50" s="19"/>
      <c r="M50" s="20"/>
      <c r="N50" s="21"/>
    </row>
    <row r="51" spans="1:14" ht="15.75" customHeight="1">
      <c r="A51" s="29">
        <v>9</v>
      </c>
      <c r="B51" s="39" t="s">
        <v>56</v>
      </c>
      <c r="C51" s="40" t="s">
        <v>104</v>
      </c>
      <c r="D51" s="39" t="s">
        <v>175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108</v>
      </c>
      <c r="C52" s="40" t="s">
        <v>104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124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  <c r="J54" s="23"/>
      <c r="L54" s="19"/>
      <c r="M54" s="20"/>
      <c r="N54" s="21"/>
    </row>
    <row r="55" spans="1:14" ht="15.75" customHeight="1">
      <c r="A55" s="29">
        <v>10</v>
      </c>
      <c r="B55" s="39" t="s">
        <v>41</v>
      </c>
      <c r="C55" s="40" t="s">
        <v>89</v>
      </c>
      <c r="D55" s="173">
        <v>44190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5" t="s">
        <v>130</v>
      </c>
      <c r="B56" s="196"/>
      <c r="C56" s="196"/>
      <c r="D56" s="196"/>
      <c r="E56" s="196"/>
      <c r="F56" s="196"/>
      <c r="G56" s="196"/>
      <c r="H56" s="196"/>
      <c r="I56" s="197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19</v>
      </c>
      <c r="B58" s="71" t="s">
        <v>109</v>
      </c>
      <c r="C58" s="72" t="s">
        <v>93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G58*0.06</f>
        <v>145.87079999999997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11</v>
      </c>
      <c r="B62" s="125" t="s">
        <v>90</v>
      </c>
      <c r="C62" s="126" t="s">
        <v>25</v>
      </c>
      <c r="D62" s="125" t="s">
        <v>180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customHeight="1">
      <c r="A64" s="29">
        <v>12</v>
      </c>
      <c r="B64" s="56" t="s">
        <v>47</v>
      </c>
      <c r="C64" s="40" t="s">
        <v>89</v>
      </c>
      <c r="D64" s="39" t="s">
        <v>175</v>
      </c>
      <c r="E64" s="17">
        <v>6</v>
      </c>
      <c r="F64" s="33">
        <f>SUM(E64)</f>
        <v>6</v>
      </c>
      <c r="G64" s="36">
        <v>291.68</v>
      </c>
      <c r="H64" s="114">
        <f t="shared" ref="H64:H72" si="7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29">
        <v>13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7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8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8"/>
        <v>0.73499999999999999</v>
      </c>
      <c r="I75" s="13">
        <v>0</v>
      </c>
    </row>
    <row r="76" spans="1:22" ht="15.75" customHeight="1">
      <c r="A76" s="29">
        <v>14</v>
      </c>
      <c r="B76" s="39" t="s">
        <v>75</v>
      </c>
      <c r="C76" s="40" t="s">
        <v>76</v>
      </c>
      <c r="D76" s="39" t="s">
        <v>279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G76*0.5</f>
        <v>328.935</v>
      </c>
    </row>
    <row r="77" spans="1:22" ht="15.75" customHeight="1">
      <c r="A77" s="29">
        <v>15</v>
      </c>
      <c r="B77" s="39" t="s">
        <v>121</v>
      </c>
      <c r="C77" s="40" t="s">
        <v>89</v>
      </c>
      <c r="D77" s="39" t="s">
        <v>284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f>G77*1</f>
        <v>1118.72</v>
      </c>
    </row>
    <row r="78" spans="1:22" ht="15.75" customHeight="1">
      <c r="A78" s="29">
        <v>16</v>
      </c>
      <c r="B78" s="115" t="s">
        <v>154</v>
      </c>
      <c r="C78" s="116" t="s">
        <v>89</v>
      </c>
      <c r="D78" s="39"/>
      <c r="E78" s="17">
        <v>2</v>
      </c>
      <c r="F78" s="33">
        <f>E78*12</f>
        <v>24</v>
      </c>
      <c r="G78" s="36">
        <v>53.42</v>
      </c>
      <c r="H78" s="113">
        <f t="shared" ref="H78:H79" si="9">SUM(F78*G78/1000)</f>
        <v>1.2820799999999999</v>
      </c>
      <c r="I78" s="13">
        <f>G78*2</f>
        <v>106.84</v>
      </c>
    </row>
    <row r="79" spans="1:22" ht="31.5" customHeight="1">
      <c r="A79" s="29">
        <v>17</v>
      </c>
      <c r="B79" s="115" t="s">
        <v>155</v>
      </c>
      <c r="C79" s="116" t="s">
        <v>89</v>
      </c>
      <c r="D79" s="39" t="s">
        <v>180</v>
      </c>
      <c r="E79" s="17">
        <v>1</v>
      </c>
      <c r="F79" s="33">
        <f>E79*12</f>
        <v>12</v>
      </c>
      <c r="G79" s="36">
        <v>1194</v>
      </c>
      <c r="H79" s="113">
        <f t="shared" si="9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0">SUM(F81*G81/1000)</f>
        <v>1.0857270000000001</v>
      </c>
      <c r="I81" s="13">
        <v>0</v>
      </c>
    </row>
    <row r="82" spans="1:9" ht="21" customHeight="1">
      <c r="A82" s="29"/>
      <c r="B82" s="112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" customHeight="1">
      <c r="A83" s="94">
        <v>18</v>
      </c>
      <c r="B83" s="34" t="s">
        <v>114</v>
      </c>
      <c r="C83" s="130"/>
      <c r="D83" s="131"/>
      <c r="E83" s="132"/>
      <c r="F83" s="38">
        <f>232/10</f>
        <v>23.2</v>
      </c>
      <c r="G83" s="38">
        <v>585.4</v>
      </c>
      <c r="H83" s="114">
        <f>G83*F83/1000</f>
        <v>13.58128</v>
      </c>
      <c r="I83" s="95">
        <f>G83*1</f>
        <v>585.4</v>
      </c>
    </row>
    <row r="84" spans="1:9" ht="15.75" customHeight="1">
      <c r="A84" s="195" t="s">
        <v>131</v>
      </c>
      <c r="B84" s="196"/>
      <c r="C84" s="196"/>
      <c r="D84" s="196"/>
      <c r="E84" s="196"/>
      <c r="F84" s="196"/>
      <c r="G84" s="196"/>
      <c r="H84" s="196"/>
      <c r="I84" s="197"/>
    </row>
    <row r="85" spans="1:9" ht="15.75" customHeight="1">
      <c r="A85" s="96">
        <v>19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20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I86+I85+I79+I78+I77+I76+I72+I64+I62+I55+I51+I42+I40+I39+I38+I26+I18+I17+I16+I83</f>
        <v>62882.921464000014</v>
      </c>
    </row>
    <row r="88" spans="1:9" ht="15.75" customHeight="1">
      <c r="A88" s="184" t="s">
        <v>60</v>
      </c>
      <c r="B88" s="185"/>
      <c r="C88" s="185"/>
      <c r="D88" s="185"/>
      <c r="E88" s="185"/>
      <c r="F88" s="185"/>
      <c r="G88" s="185"/>
      <c r="H88" s="185"/>
      <c r="I88" s="186"/>
    </row>
    <row r="89" spans="1:9" ht="15.75" hidden="1" customHeight="1">
      <c r="A89" s="29">
        <v>33</v>
      </c>
      <c r="B89" s="57"/>
      <c r="C89" s="58"/>
      <c r="D89" s="117"/>
      <c r="E89" s="36"/>
      <c r="F89" s="36">
        <v>1</v>
      </c>
      <c r="G89" s="36"/>
      <c r="H89" s="114">
        <f t="shared" ref="H89:H91" si="11">F89*G89/1000</f>
        <v>0</v>
      </c>
      <c r="I89" s="13"/>
    </row>
    <row r="90" spans="1:9" ht="15.75" hidden="1" customHeight="1">
      <c r="A90" s="29">
        <v>34</v>
      </c>
      <c r="B90" s="57"/>
      <c r="C90" s="140"/>
      <c r="D90" s="117"/>
      <c r="E90" s="36"/>
      <c r="F90" s="36">
        <v>1</v>
      </c>
      <c r="G90" s="36"/>
      <c r="H90" s="114">
        <f t="shared" si="11"/>
        <v>0</v>
      </c>
      <c r="I90" s="13"/>
    </row>
    <row r="91" spans="1:9" ht="31.5" hidden="1" customHeight="1">
      <c r="A91" s="29">
        <v>35</v>
      </c>
      <c r="B91" s="115"/>
      <c r="C91" s="141"/>
      <c r="D91" s="117"/>
      <c r="E91" s="36"/>
      <c r="F91" s="36">
        <f>0.4/10</f>
        <v>0.04</v>
      </c>
      <c r="G91" s="36"/>
      <c r="H91" s="114">
        <f t="shared" si="11"/>
        <v>0</v>
      </c>
      <c r="I91" s="13"/>
    </row>
    <row r="92" spans="1:9" ht="31.5" customHeight="1">
      <c r="A92" s="29">
        <v>21</v>
      </c>
      <c r="B92" s="115" t="s">
        <v>168</v>
      </c>
      <c r="C92" s="116" t="s">
        <v>29</v>
      </c>
      <c r="D92" s="117"/>
      <c r="E92" s="36"/>
      <c r="F92" s="36">
        <v>7</v>
      </c>
      <c r="G92" s="180">
        <v>20547.34</v>
      </c>
      <c r="H92" s="114">
        <f>F92*G92/1000</f>
        <v>143.83138</v>
      </c>
      <c r="I92" s="18">
        <f>G92*0.599*8/1000</f>
        <v>98.46285327999999</v>
      </c>
    </row>
    <row r="93" spans="1:9" ht="31.5" customHeight="1">
      <c r="A93" s="29">
        <v>22</v>
      </c>
      <c r="B93" s="115" t="s">
        <v>280</v>
      </c>
      <c r="C93" s="116" t="s">
        <v>127</v>
      </c>
      <c r="D93" s="117" t="s">
        <v>282</v>
      </c>
      <c r="E93" s="36"/>
      <c r="F93" s="36">
        <v>1.5</v>
      </c>
      <c r="G93" s="36">
        <v>1421.68</v>
      </c>
      <c r="H93" s="114"/>
      <c r="I93" s="18">
        <f>G93*1.5</f>
        <v>2132.52</v>
      </c>
    </row>
    <row r="94" spans="1:9" ht="31.5" customHeight="1">
      <c r="A94" s="29">
        <v>23</v>
      </c>
      <c r="B94" s="115" t="s">
        <v>226</v>
      </c>
      <c r="C94" s="116" t="s">
        <v>97</v>
      </c>
      <c r="D94" s="117" t="s">
        <v>281</v>
      </c>
      <c r="E94" s="36"/>
      <c r="F94" s="36">
        <v>2</v>
      </c>
      <c r="G94" s="36">
        <v>587.65</v>
      </c>
      <c r="H94" s="114"/>
      <c r="I94" s="18">
        <f>G94*1</f>
        <v>587.65</v>
      </c>
    </row>
    <row r="95" spans="1:9" ht="31.5" customHeight="1">
      <c r="A95" s="29">
        <v>24</v>
      </c>
      <c r="B95" s="115" t="s">
        <v>87</v>
      </c>
      <c r="C95" s="116" t="s">
        <v>97</v>
      </c>
      <c r="D95" s="39" t="s">
        <v>283</v>
      </c>
      <c r="E95" s="36"/>
      <c r="F95" s="36">
        <v>8</v>
      </c>
      <c r="G95" s="36">
        <v>670.51</v>
      </c>
      <c r="H95" s="114"/>
      <c r="I95" s="18">
        <f>G95*4</f>
        <v>2682.04</v>
      </c>
    </row>
    <row r="96" spans="1:9" ht="18.75" customHeight="1">
      <c r="A96" s="29">
        <v>25</v>
      </c>
      <c r="B96" s="175" t="s">
        <v>251</v>
      </c>
      <c r="C96" s="45" t="s">
        <v>101</v>
      </c>
      <c r="D96" s="117"/>
      <c r="E96" s="36"/>
      <c r="F96" s="36">
        <v>0.12</v>
      </c>
      <c r="G96" s="36">
        <v>3730.99</v>
      </c>
      <c r="H96" s="114"/>
      <c r="I96" s="18">
        <f>G96*0.06</f>
        <v>223.85939999999997</v>
      </c>
    </row>
    <row r="97" spans="1:9" ht="17.25" customHeight="1">
      <c r="A97" s="29">
        <v>26</v>
      </c>
      <c r="B97" s="115" t="s">
        <v>200</v>
      </c>
      <c r="C97" s="116" t="s">
        <v>40</v>
      </c>
      <c r="D97" s="117" t="s">
        <v>175</v>
      </c>
      <c r="E97" s="36"/>
      <c r="F97" s="36">
        <v>0.09</v>
      </c>
      <c r="G97" s="36">
        <v>27139.18</v>
      </c>
      <c r="H97" s="114"/>
      <c r="I97" s="18">
        <v>0</v>
      </c>
    </row>
    <row r="98" spans="1:9" ht="15.75" customHeight="1">
      <c r="A98" s="29"/>
      <c r="B98" s="50" t="s">
        <v>52</v>
      </c>
      <c r="C98" s="46"/>
      <c r="D98" s="54"/>
      <c r="E98" s="46">
        <v>1</v>
      </c>
      <c r="F98" s="46"/>
      <c r="G98" s="46"/>
      <c r="H98" s="46"/>
      <c r="I98" s="32">
        <f>SUM(I92:I97)</f>
        <v>5724.532253280001</v>
      </c>
    </row>
    <row r="99" spans="1:9" ht="15.75" customHeight="1">
      <c r="A99" s="29"/>
      <c r="B99" s="52" t="s">
        <v>80</v>
      </c>
      <c r="C99" s="15"/>
      <c r="D99" s="15"/>
      <c r="E99" s="47"/>
      <c r="F99" s="47"/>
      <c r="G99" s="48"/>
      <c r="H99" s="48"/>
      <c r="I99" s="17">
        <v>0</v>
      </c>
    </row>
    <row r="100" spans="1:9" ht="15.75" customHeight="1">
      <c r="A100" s="55"/>
      <c r="B100" s="51" t="s">
        <v>141</v>
      </c>
      <c r="C100" s="35"/>
      <c r="D100" s="35"/>
      <c r="E100" s="35"/>
      <c r="F100" s="35"/>
      <c r="G100" s="35"/>
      <c r="H100" s="35"/>
      <c r="I100" s="49">
        <f>I87+I98</f>
        <v>68607.453717280019</v>
      </c>
    </row>
    <row r="101" spans="1:9" ht="15.75">
      <c r="A101" s="187" t="s">
        <v>285</v>
      </c>
      <c r="B101" s="187"/>
      <c r="C101" s="187"/>
      <c r="D101" s="187"/>
      <c r="E101" s="187"/>
      <c r="F101" s="187"/>
      <c r="G101" s="187"/>
      <c r="H101" s="187"/>
      <c r="I101" s="187"/>
    </row>
    <row r="102" spans="1:9" ht="15.75">
      <c r="A102" s="62"/>
      <c r="B102" s="188" t="s">
        <v>286</v>
      </c>
      <c r="C102" s="188"/>
      <c r="D102" s="188"/>
      <c r="E102" s="188"/>
      <c r="F102" s="188"/>
      <c r="G102" s="188"/>
      <c r="H102" s="70"/>
      <c r="I102" s="3"/>
    </row>
    <row r="103" spans="1:9">
      <c r="A103" s="109"/>
      <c r="B103" s="189" t="s">
        <v>6</v>
      </c>
      <c r="C103" s="189"/>
      <c r="D103" s="189"/>
      <c r="E103" s="189"/>
      <c r="F103" s="189"/>
      <c r="G103" s="189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90" t="s">
        <v>7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190" t="s">
        <v>8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15.75" customHeight="1">
      <c r="A107" s="191" t="s">
        <v>61</v>
      </c>
      <c r="B107" s="191"/>
      <c r="C107" s="191"/>
      <c r="D107" s="191"/>
      <c r="E107" s="191"/>
      <c r="F107" s="191"/>
      <c r="G107" s="191"/>
      <c r="H107" s="191"/>
      <c r="I107" s="191"/>
    </row>
    <row r="108" spans="1:9" ht="15.75" customHeight="1">
      <c r="A108" s="11"/>
    </row>
    <row r="109" spans="1:9" ht="15.75" customHeight="1">
      <c r="A109" s="192" t="s">
        <v>9</v>
      </c>
      <c r="B109" s="192"/>
      <c r="C109" s="192"/>
      <c r="D109" s="192"/>
      <c r="E109" s="192"/>
      <c r="F109" s="192"/>
      <c r="G109" s="192"/>
      <c r="H109" s="192"/>
      <c r="I109" s="192"/>
    </row>
    <row r="110" spans="1:9" ht="15.75" customHeight="1">
      <c r="A110" s="4"/>
    </row>
    <row r="111" spans="1:9" ht="15.75" customHeight="1">
      <c r="B111" s="110" t="s">
        <v>10</v>
      </c>
      <c r="C111" s="193" t="s">
        <v>247</v>
      </c>
      <c r="D111" s="193"/>
      <c r="E111" s="193"/>
      <c r="F111" s="68"/>
      <c r="I111" s="108"/>
    </row>
    <row r="112" spans="1:9" ht="15.75" customHeight="1">
      <c r="A112" s="109"/>
      <c r="C112" s="189" t="s">
        <v>11</v>
      </c>
      <c r="D112" s="189"/>
      <c r="E112" s="189"/>
      <c r="F112" s="24"/>
      <c r="I112" s="107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110" t="s">
        <v>13</v>
      </c>
      <c r="C114" s="194"/>
      <c r="D114" s="194"/>
      <c r="E114" s="194"/>
      <c r="F114" s="69"/>
      <c r="I114" s="108"/>
    </row>
    <row r="115" spans="1:9" ht="15.75" customHeight="1">
      <c r="A115" s="109"/>
      <c r="C115" s="183" t="s">
        <v>11</v>
      </c>
      <c r="D115" s="183"/>
      <c r="E115" s="183"/>
      <c r="F115" s="109"/>
      <c r="I115" s="107" t="s">
        <v>12</v>
      </c>
    </row>
    <row r="116" spans="1:9" ht="15.75" customHeight="1">
      <c r="A116" s="4" t="s">
        <v>14</v>
      </c>
    </row>
    <row r="117" spans="1:9">
      <c r="A117" s="181" t="s">
        <v>15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45" customHeight="1">
      <c r="A118" s="182" t="s">
        <v>16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30" customHeight="1">
      <c r="A119" s="182" t="s">
        <v>17</v>
      </c>
      <c r="B119" s="182"/>
      <c r="C119" s="182"/>
      <c r="D119" s="182"/>
      <c r="E119" s="182"/>
      <c r="F119" s="182"/>
      <c r="G119" s="182"/>
      <c r="H119" s="182"/>
      <c r="I119" s="182"/>
    </row>
    <row r="120" spans="1:9" ht="30" customHeight="1">
      <c r="A120" s="182" t="s">
        <v>21</v>
      </c>
      <c r="B120" s="182"/>
      <c r="C120" s="182"/>
      <c r="D120" s="182"/>
      <c r="E120" s="182"/>
      <c r="F120" s="182"/>
      <c r="G120" s="182"/>
      <c r="H120" s="182"/>
      <c r="I120" s="182"/>
    </row>
    <row r="121" spans="1:9" ht="15" customHeight="1">
      <c r="A121" s="182" t="s">
        <v>20</v>
      </c>
      <c r="B121" s="182"/>
      <c r="C121" s="182"/>
      <c r="D121" s="182"/>
      <c r="E121" s="182"/>
      <c r="F121" s="182"/>
      <c r="G121" s="182"/>
      <c r="H121" s="182"/>
      <c r="I121" s="182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5:E115"/>
    <mergeCell ref="A88:I88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4:I84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9"/>
  <sheetViews>
    <sheetView view="pageBreakPreview" topLeftCell="A96" zoomScale="60" workbookViewId="0">
      <selection activeCell="J114" sqref="J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133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190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43890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4" t="s">
        <v>140</v>
      </c>
      <c r="B28" s="204"/>
      <c r="C28" s="204"/>
      <c r="D28" s="204"/>
      <c r="E28" s="204"/>
      <c r="F28" s="204"/>
      <c r="G28" s="204"/>
      <c r="H28" s="204"/>
      <c r="I28" s="204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71" t="s">
        <v>191</v>
      </c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G38*0.5</f>
        <v>1001.5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176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177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104</v>
      </c>
      <c r="D42" s="71" t="s">
        <v>178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9</v>
      </c>
      <c r="B43" s="83" t="s">
        <v>106</v>
      </c>
      <c r="C43" s="84" t="s">
        <v>104</v>
      </c>
      <c r="D43" s="83" t="s">
        <v>179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hidden="1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F44/7.5*G44</f>
        <v>116.97960000000002</v>
      </c>
      <c r="J44" s="23"/>
      <c r="L44" s="19"/>
      <c r="M44" s="20"/>
      <c r="N44" s="21"/>
    </row>
    <row r="45" spans="1:14" ht="15.75" customHeight="1">
      <c r="A45" s="195" t="s">
        <v>129</v>
      </c>
      <c r="B45" s="196"/>
      <c r="C45" s="196"/>
      <c r="D45" s="196"/>
      <c r="E45" s="196"/>
      <c r="F45" s="196"/>
      <c r="G45" s="196"/>
      <c r="H45" s="196"/>
      <c r="I45" s="197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107</v>
      </c>
      <c r="C46" s="40" t="s">
        <v>104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104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104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104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9</v>
      </c>
      <c r="B51" s="39" t="s">
        <v>56</v>
      </c>
      <c r="C51" s="40" t="s">
        <v>104</v>
      </c>
      <c r="D51" s="39" t="s">
        <v>175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108</v>
      </c>
      <c r="C52" s="40" t="s">
        <v>104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124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9" t="s">
        <v>41</v>
      </c>
      <c r="C55" s="40" t="s">
        <v>89</v>
      </c>
      <c r="D55" s="39" t="s">
        <v>71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5" t="s">
        <v>130</v>
      </c>
      <c r="B56" s="196"/>
      <c r="C56" s="196"/>
      <c r="D56" s="196"/>
      <c r="E56" s="196"/>
      <c r="F56" s="196"/>
      <c r="G56" s="196"/>
      <c r="H56" s="196"/>
      <c r="I56" s="197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16</v>
      </c>
      <c r="B58" s="71" t="s">
        <v>109</v>
      </c>
      <c r="C58" s="72" t="s">
        <v>93</v>
      </c>
      <c r="D58" s="71" t="s">
        <v>110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10</v>
      </c>
      <c r="B62" s="125" t="s">
        <v>90</v>
      </c>
      <c r="C62" s="126" t="s">
        <v>25</v>
      </c>
      <c r="D62" s="125" t="s">
        <v>180</v>
      </c>
      <c r="E62" s="123">
        <v>200</v>
      </c>
      <c r="F62" s="33">
        <f>SUM(E62*12)</f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hidden="1" customHeight="1">
      <c r="A64" s="29">
        <v>13</v>
      </c>
      <c r="B64" s="56" t="s">
        <v>47</v>
      </c>
      <c r="C64" s="40" t="s">
        <v>89</v>
      </c>
      <c r="D64" s="39" t="s">
        <v>175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3"/>
      <c r="S71" s="183"/>
      <c r="T71" s="183"/>
      <c r="U71" s="183"/>
    </row>
    <row r="72" spans="1:22" ht="15.75" customHeight="1">
      <c r="A72" s="29">
        <v>11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44"/>
      <c r="S72" s="144"/>
      <c r="T72" s="144"/>
      <c r="U72" s="144"/>
    </row>
    <row r="73" spans="1:22" ht="15.75" customHeight="1">
      <c r="A73" s="29"/>
      <c r="B73" s="146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12</v>
      </c>
      <c r="B78" s="115" t="s">
        <v>154</v>
      </c>
      <c r="C78" s="116" t="s">
        <v>89</v>
      </c>
      <c r="D78" s="39" t="s">
        <v>175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13</v>
      </c>
      <c r="B79" s="115" t="s">
        <v>155</v>
      </c>
      <c r="C79" s="116" t="s">
        <v>89</v>
      </c>
      <c r="D79" s="39" t="s">
        <v>180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46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114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5" t="s">
        <v>131</v>
      </c>
      <c r="B84" s="196"/>
      <c r="C84" s="196"/>
      <c r="D84" s="196"/>
      <c r="E84" s="196"/>
      <c r="F84" s="196"/>
      <c r="G84" s="196"/>
      <c r="H84" s="196"/>
      <c r="I84" s="197"/>
    </row>
    <row r="85" spans="1:9" ht="15.75" customHeight="1">
      <c r="A85" s="96">
        <v>14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15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I86+I85+I79+I78+I72+I62+I51+I42+I40+I39+I38+I26+I18+I17+I16</f>
        <v>51776.142755666668</v>
      </c>
    </row>
    <row r="88" spans="1:9" ht="15.75" customHeight="1">
      <c r="A88" s="184" t="s">
        <v>60</v>
      </c>
      <c r="B88" s="185"/>
      <c r="C88" s="185"/>
      <c r="D88" s="185"/>
      <c r="E88" s="185"/>
      <c r="F88" s="185"/>
      <c r="G88" s="185"/>
      <c r="H88" s="185"/>
      <c r="I88" s="186"/>
    </row>
    <row r="89" spans="1:9" ht="34.5" customHeight="1">
      <c r="A89" s="29">
        <v>16</v>
      </c>
      <c r="B89" s="115" t="s">
        <v>168</v>
      </c>
      <c r="C89" s="116" t="s">
        <v>29</v>
      </c>
      <c r="D89" s="52"/>
      <c r="E89" s="13"/>
      <c r="F89" s="13">
        <v>128</v>
      </c>
      <c r="G89" s="13">
        <v>20547.34</v>
      </c>
      <c r="H89" s="89">
        <f t="shared" ref="H89" si="12">G89*F89/1000</f>
        <v>2630.0595199999998</v>
      </c>
      <c r="I89" s="13">
        <f>G89*0.599*8/1000</f>
        <v>98.46285327999999</v>
      </c>
    </row>
    <row r="90" spans="1:9" ht="31.5" customHeight="1">
      <c r="A90" s="29">
        <v>17</v>
      </c>
      <c r="B90" s="115" t="s">
        <v>192</v>
      </c>
      <c r="C90" s="116" t="s">
        <v>127</v>
      </c>
      <c r="D90" s="39" t="s">
        <v>208</v>
      </c>
      <c r="E90" s="36"/>
      <c r="F90" s="36">
        <v>2.5</v>
      </c>
      <c r="G90" s="36">
        <v>1523.6</v>
      </c>
      <c r="H90" s="114">
        <f>F90*G90/1000</f>
        <v>3.8090000000000002</v>
      </c>
      <c r="I90" s="13">
        <f>G90*2.5</f>
        <v>3809</v>
      </c>
    </row>
    <row r="91" spans="1:9" ht="18.75" customHeight="1">
      <c r="A91" s="29">
        <v>18</v>
      </c>
      <c r="B91" s="115" t="s">
        <v>82</v>
      </c>
      <c r="C91" s="116" t="s">
        <v>89</v>
      </c>
      <c r="D91" s="117"/>
      <c r="E91" s="36"/>
      <c r="F91" s="36">
        <v>2</v>
      </c>
      <c r="G91" s="36">
        <v>215.85</v>
      </c>
      <c r="H91" s="114">
        <f>F91*G91/1000</f>
        <v>0.43169999999999997</v>
      </c>
      <c r="I91" s="13">
        <f>G91*1</f>
        <v>215.85</v>
      </c>
    </row>
    <row r="92" spans="1:9" ht="17.25" customHeight="1">
      <c r="A92" s="29">
        <v>19</v>
      </c>
      <c r="B92" s="115" t="s">
        <v>159</v>
      </c>
      <c r="C92" s="116" t="s">
        <v>127</v>
      </c>
      <c r="D92" s="117" t="s">
        <v>253</v>
      </c>
      <c r="E92" s="36"/>
      <c r="F92" s="36"/>
      <c r="G92" s="36">
        <v>284</v>
      </c>
      <c r="H92" s="114"/>
      <c r="I92" s="13">
        <v>0</v>
      </c>
    </row>
    <row r="93" spans="1:9" ht="15" customHeight="1">
      <c r="A93" s="29">
        <v>20</v>
      </c>
      <c r="B93" s="115" t="s">
        <v>193</v>
      </c>
      <c r="C93" s="141" t="s">
        <v>194</v>
      </c>
      <c r="D93" s="117"/>
      <c r="E93" s="36"/>
      <c r="F93" s="36"/>
      <c r="G93" s="36">
        <v>3212.19</v>
      </c>
      <c r="H93" s="114"/>
      <c r="I93" s="13">
        <f>G93*0.1</f>
        <v>321.21900000000005</v>
      </c>
    </row>
    <row r="94" spans="1:9" ht="30.75" customHeight="1">
      <c r="A94" s="29">
        <v>21</v>
      </c>
      <c r="B94" s="115" t="s">
        <v>195</v>
      </c>
      <c r="C94" s="141" t="s">
        <v>89</v>
      </c>
      <c r="D94" s="39" t="s">
        <v>210</v>
      </c>
      <c r="E94" s="36"/>
      <c r="F94" s="36"/>
      <c r="G94" s="36">
        <v>826.05</v>
      </c>
      <c r="H94" s="114"/>
      <c r="I94" s="13">
        <f>G94*1</f>
        <v>826.05</v>
      </c>
    </row>
    <row r="95" spans="1:9" ht="17.25" customHeight="1">
      <c r="A95" s="29">
        <v>22</v>
      </c>
      <c r="B95" s="115" t="s">
        <v>196</v>
      </c>
      <c r="C95" s="141" t="s">
        <v>89</v>
      </c>
      <c r="D95" s="117"/>
      <c r="E95" s="36"/>
      <c r="F95" s="36"/>
      <c r="G95" s="36">
        <v>39</v>
      </c>
      <c r="H95" s="114"/>
      <c r="I95" s="13">
        <f>G95*1</f>
        <v>39</v>
      </c>
    </row>
    <row r="96" spans="1:9" ht="17.25" customHeight="1">
      <c r="A96" s="29">
        <v>23</v>
      </c>
      <c r="B96" s="115" t="s">
        <v>197</v>
      </c>
      <c r="C96" s="141" t="s">
        <v>89</v>
      </c>
      <c r="D96" s="117"/>
      <c r="E96" s="36"/>
      <c r="F96" s="36"/>
      <c r="G96" s="36">
        <v>86</v>
      </c>
      <c r="H96" s="114"/>
      <c r="I96" s="13">
        <f>G96*1</f>
        <v>86</v>
      </c>
    </row>
    <row r="97" spans="1:9" ht="17.25" customHeight="1">
      <c r="A97" s="29">
        <v>24</v>
      </c>
      <c r="B97" s="115" t="s">
        <v>198</v>
      </c>
      <c r="C97" s="141" t="s">
        <v>89</v>
      </c>
      <c r="D97" s="117"/>
      <c r="E97" s="36"/>
      <c r="F97" s="36"/>
      <c r="G97" s="36">
        <v>43</v>
      </c>
      <c r="H97" s="114"/>
      <c r="I97" s="13">
        <f>G97*1</f>
        <v>43</v>
      </c>
    </row>
    <row r="98" spans="1:9" ht="17.25" customHeight="1">
      <c r="A98" s="29">
        <v>25</v>
      </c>
      <c r="B98" s="115" t="s">
        <v>199</v>
      </c>
      <c r="C98" s="141" t="s">
        <v>89</v>
      </c>
      <c r="D98" s="117"/>
      <c r="E98" s="36"/>
      <c r="F98" s="36"/>
      <c r="G98" s="36">
        <v>12</v>
      </c>
      <c r="H98" s="114"/>
      <c r="I98" s="13">
        <f>G98*1</f>
        <v>12</v>
      </c>
    </row>
    <row r="99" spans="1:9" ht="17.25" customHeight="1">
      <c r="A99" s="29">
        <v>26</v>
      </c>
      <c r="B99" s="115" t="s">
        <v>200</v>
      </c>
      <c r="C99" s="116" t="s">
        <v>40</v>
      </c>
      <c r="D99" s="117" t="s">
        <v>175</v>
      </c>
      <c r="E99" s="36"/>
      <c r="F99" s="36"/>
      <c r="G99" s="36">
        <v>27139.18</v>
      </c>
      <c r="H99" s="114"/>
      <c r="I99" s="13">
        <v>0</v>
      </c>
    </row>
    <row r="100" spans="1:9" ht="17.25" customHeight="1">
      <c r="A100" s="29">
        <v>27</v>
      </c>
      <c r="B100" s="115" t="s">
        <v>201</v>
      </c>
      <c r="C100" s="116" t="s">
        <v>53</v>
      </c>
      <c r="D100" s="117" t="s">
        <v>209</v>
      </c>
      <c r="E100" s="36"/>
      <c r="F100" s="36"/>
      <c r="G100" s="36">
        <v>58109.85</v>
      </c>
      <c r="H100" s="114"/>
      <c r="I100" s="13">
        <f>G100*0.007</f>
        <v>406.76895000000002</v>
      </c>
    </row>
    <row r="101" spans="1:9" ht="17.25" customHeight="1">
      <c r="A101" s="29">
        <v>28</v>
      </c>
      <c r="B101" s="115" t="s">
        <v>202</v>
      </c>
      <c r="C101" s="116" t="s">
        <v>203</v>
      </c>
      <c r="D101" s="117" t="s">
        <v>209</v>
      </c>
      <c r="E101" s="36"/>
      <c r="F101" s="36"/>
      <c r="G101" s="36">
        <v>18551.39</v>
      </c>
      <c r="H101" s="114"/>
      <c r="I101" s="13">
        <f>G101*0.08</f>
        <v>1484.1112000000001</v>
      </c>
    </row>
    <row r="102" spans="1:9" ht="17.25" customHeight="1">
      <c r="A102" s="29">
        <v>29</v>
      </c>
      <c r="B102" s="177" t="s">
        <v>204</v>
      </c>
      <c r="C102" s="45" t="s">
        <v>91</v>
      </c>
      <c r="D102" s="117" t="s">
        <v>209</v>
      </c>
      <c r="E102" s="36"/>
      <c r="F102" s="36"/>
      <c r="G102" s="36">
        <v>433.19</v>
      </c>
      <c r="H102" s="114"/>
      <c r="I102" s="13">
        <f>G102*0.04</f>
        <v>17.3276</v>
      </c>
    </row>
    <row r="103" spans="1:9" ht="17.25" customHeight="1">
      <c r="A103" s="29">
        <v>30</v>
      </c>
      <c r="B103" s="115" t="s">
        <v>205</v>
      </c>
      <c r="C103" s="116" t="s">
        <v>89</v>
      </c>
      <c r="D103" s="117" t="s">
        <v>207</v>
      </c>
      <c r="E103" s="36"/>
      <c r="F103" s="36"/>
      <c r="G103" s="36">
        <v>914.26</v>
      </c>
      <c r="H103" s="114"/>
      <c r="I103" s="13">
        <f>G103*1</f>
        <v>914.26</v>
      </c>
    </row>
    <row r="104" spans="1:9" ht="32.25" customHeight="1">
      <c r="A104" s="29">
        <v>31</v>
      </c>
      <c r="B104" s="115" t="s">
        <v>171</v>
      </c>
      <c r="C104" s="116" t="s">
        <v>38</v>
      </c>
      <c r="D104" s="117" t="s">
        <v>175</v>
      </c>
      <c r="E104" s="36"/>
      <c r="F104" s="36"/>
      <c r="G104" s="36">
        <v>4070.89</v>
      </c>
      <c r="H104" s="114"/>
      <c r="I104" s="13">
        <v>0</v>
      </c>
    </row>
    <row r="105" spans="1:9" ht="17.25" customHeight="1">
      <c r="A105" s="29">
        <v>32</v>
      </c>
      <c r="B105" s="115" t="s">
        <v>39</v>
      </c>
      <c r="C105" s="116" t="s">
        <v>206</v>
      </c>
      <c r="D105" s="117" t="s">
        <v>175</v>
      </c>
      <c r="E105" s="36"/>
      <c r="F105" s="36"/>
      <c r="G105" s="36">
        <v>8426.7199999999993</v>
      </c>
      <c r="H105" s="114"/>
      <c r="I105" s="13">
        <v>0</v>
      </c>
    </row>
    <row r="106" spans="1:9" ht="15.75" customHeight="1">
      <c r="A106" s="29"/>
      <c r="B106" s="50" t="s">
        <v>52</v>
      </c>
      <c r="C106" s="46"/>
      <c r="D106" s="54"/>
      <c r="E106" s="46">
        <v>1</v>
      </c>
      <c r="F106" s="46"/>
      <c r="G106" s="46"/>
      <c r="H106" s="46"/>
      <c r="I106" s="32">
        <f>SUM(I89:I105)</f>
        <v>8273.0496032800002</v>
      </c>
    </row>
    <row r="107" spans="1:9" ht="15.75" customHeight="1">
      <c r="A107" s="29"/>
      <c r="B107" s="52" t="s">
        <v>80</v>
      </c>
      <c r="C107" s="15"/>
      <c r="D107" s="15"/>
      <c r="E107" s="47"/>
      <c r="F107" s="47"/>
      <c r="G107" s="48"/>
      <c r="H107" s="48"/>
      <c r="I107" s="17">
        <v>0</v>
      </c>
    </row>
    <row r="108" spans="1:9" ht="15.75" customHeight="1">
      <c r="A108" s="55"/>
      <c r="B108" s="51" t="s">
        <v>141</v>
      </c>
      <c r="C108" s="35"/>
      <c r="D108" s="35"/>
      <c r="E108" s="35"/>
      <c r="F108" s="35"/>
      <c r="G108" s="35"/>
      <c r="H108" s="35"/>
      <c r="I108" s="49">
        <f>I87+I106</f>
        <v>60049.192358946668</v>
      </c>
    </row>
    <row r="109" spans="1:9" ht="15.75">
      <c r="A109" s="187" t="s">
        <v>254</v>
      </c>
      <c r="B109" s="187"/>
      <c r="C109" s="187"/>
      <c r="D109" s="187"/>
      <c r="E109" s="187"/>
      <c r="F109" s="187"/>
      <c r="G109" s="187"/>
      <c r="H109" s="187"/>
      <c r="I109" s="187"/>
    </row>
    <row r="110" spans="1:9" ht="15.75">
      <c r="A110" s="62"/>
      <c r="B110" s="188" t="s">
        <v>255</v>
      </c>
      <c r="C110" s="188"/>
      <c r="D110" s="188"/>
      <c r="E110" s="188"/>
      <c r="F110" s="188"/>
      <c r="G110" s="188"/>
      <c r="H110" s="70"/>
      <c r="I110" s="3"/>
    </row>
    <row r="111" spans="1:9">
      <c r="A111" s="144"/>
      <c r="B111" s="189" t="s">
        <v>6</v>
      </c>
      <c r="C111" s="189"/>
      <c r="D111" s="189"/>
      <c r="E111" s="189"/>
      <c r="F111" s="189"/>
      <c r="G111" s="189"/>
      <c r="H111" s="24"/>
      <c r="I111" s="5"/>
    </row>
    <row r="112" spans="1:9" ht="15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190" t="s">
        <v>7</v>
      </c>
      <c r="B113" s="190"/>
      <c r="C113" s="190"/>
      <c r="D113" s="190"/>
      <c r="E113" s="190"/>
      <c r="F113" s="190"/>
      <c r="G113" s="190"/>
      <c r="H113" s="190"/>
      <c r="I113" s="190"/>
    </row>
    <row r="114" spans="1:9" ht="15.75" customHeight="1">
      <c r="A114" s="190" t="s">
        <v>8</v>
      </c>
      <c r="B114" s="190"/>
      <c r="C114" s="190"/>
      <c r="D114" s="190"/>
      <c r="E114" s="190"/>
      <c r="F114" s="190"/>
      <c r="G114" s="190"/>
      <c r="H114" s="190"/>
      <c r="I114" s="190"/>
    </row>
    <row r="115" spans="1:9" ht="15.75" customHeight="1">
      <c r="A115" s="191" t="s">
        <v>61</v>
      </c>
      <c r="B115" s="191"/>
      <c r="C115" s="191"/>
      <c r="D115" s="191"/>
      <c r="E115" s="191"/>
      <c r="F115" s="191"/>
      <c r="G115" s="191"/>
      <c r="H115" s="191"/>
      <c r="I115" s="191"/>
    </row>
    <row r="116" spans="1:9" ht="15.75" customHeight="1">
      <c r="A116" s="11"/>
    </row>
    <row r="117" spans="1:9" ht="15.75" customHeight="1">
      <c r="A117" s="192" t="s">
        <v>9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15.75" customHeight="1">
      <c r="A118" s="4"/>
    </row>
    <row r="119" spans="1:9" ht="15.75" customHeight="1">
      <c r="B119" s="145" t="s">
        <v>10</v>
      </c>
      <c r="C119" s="193" t="s">
        <v>88</v>
      </c>
      <c r="D119" s="193"/>
      <c r="E119" s="193"/>
      <c r="F119" s="68"/>
      <c r="I119" s="143"/>
    </row>
    <row r="120" spans="1:9" ht="15.75" customHeight="1">
      <c r="A120" s="144"/>
      <c r="C120" s="189" t="s">
        <v>11</v>
      </c>
      <c r="D120" s="189"/>
      <c r="E120" s="189"/>
      <c r="F120" s="24"/>
      <c r="I120" s="142" t="s">
        <v>12</v>
      </c>
    </row>
    <row r="121" spans="1:9" ht="15.75" customHeight="1">
      <c r="A121" s="25"/>
      <c r="C121" s="12"/>
      <c r="D121" s="12"/>
      <c r="G121" s="12"/>
      <c r="H121" s="12"/>
    </row>
    <row r="122" spans="1:9" ht="15.75" customHeight="1">
      <c r="B122" s="145" t="s">
        <v>13</v>
      </c>
      <c r="C122" s="194"/>
      <c r="D122" s="194"/>
      <c r="E122" s="194"/>
      <c r="F122" s="69"/>
      <c r="I122" s="143"/>
    </row>
    <row r="123" spans="1:9" ht="15.75" customHeight="1">
      <c r="A123" s="144"/>
      <c r="C123" s="183" t="s">
        <v>11</v>
      </c>
      <c r="D123" s="183"/>
      <c r="E123" s="183"/>
      <c r="F123" s="144"/>
      <c r="I123" s="142" t="s">
        <v>12</v>
      </c>
    </row>
    <row r="124" spans="1:9" ht="15.75" customHeight="1">
      <c r="A124" s="4" t="s">
        <v>14</v>
      </c>
    </row>
    <row r="125" spans="1:9">
      <c r="A125" s="181" t="s">
        <v>15</v>
      </c>
      <c r="B125" s="181"/>
      <c r="C125" s="181"/>
      <c r="D125" s="181"/>
      <c r="E125" s="181"/>
      <c r="F125" s="181"/>
      <c r="G125" s="181"/>
      <c r="H125" s="181"/>
      <c r="I125" s="181"/>
    </row>
    <row r="126" spans="1:9" ht="45" customHeight="1">
      <c r="A126" s="182" t="s">
        <v>16</v>
      </c>
      <c r="B126" s="182"/>
      <c r="C126" s="182"/>
      <c r="D126" s="182"/>
      <c r="E126" s="182"/>
      <c r="F126" s="182"/>
      <c r="G126" s="182"/>
      <c r="H126" s="182"/>
      <c r="I126" s="182"/>
    </row>
    <row r="127" spans="1:9" ht="30" customHeight="1">
      <c r="A127" s="182" t="s">
        <v>17</v>
      </c>
      <c r="B127" s="182"/>
      <c r="C127" s="182"/>
      <c r="D127" s="182"/>
      <c r="E127" s="182"/>
      <c r="F127" s="182"/>
      <c r="G127" s="182"/>
      <c r="H127" s="182"/>
      <c r="I127" s="182"/>
    </row>
    <row r="128" spans="1:9" ht="30" customHeight="1">
      <c r="A128" s="182" t="s">
        <v>21</v>
      </c>
      <c r="B128" s="182"/>
      <c r="C128" s="182"/>
      <c r="D128" s="182"/>
      <c r="E128" s="182"/>
      <c r="F128" s="182"/>
      <c r="G128" s="182"/>
      <c r="H128" s="182"/>
      <c r="I128" s="182"/>
    </row>
    <row r="129" spans="1:9" ht="15" customHeight="1">
      <c r="A129" s="182" t="s">
        <v>20</v>
      </c>
      <c r="B129" s="182"/>
      <c r="C129" s="182"/>
      <c r="D129" s="182"/>
      <c r="E129" s="182"/>
      <c r="F129" s="182"/>
      <c r="G129" s="182"/>
      <c r="H129" s="182"/>
      <c r="I129" s="182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23:E123"/>
    <mergeCell ref="A88:I88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84:I84"/>
    <mergeCell ref="A125:I125"/>
    <mergeCell ref="A126:I126"/>
    <mergeCell ref="A127:I127"/>
    <mergeCell ref="A128:I128"/>
    <mergeCell ref="A129:I129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89" zoomScale="60" workbookViewId="0">
      <selection activeCell="K92" sqref="K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160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211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149"/>
      <c r="C6" s="149"/>
      <c r="D6" s="149"/>
      <c r="E6" s="149"/>
      <c r="F6" s="149"/>
      <c r="G6" s="149"/>
      <c r="H6" s="149"/>
      <c r="I6" s="30">
        <v>43921</v>
      </c>
      <c r="J6" s="2"/>
      <c r="K6" s="2"/>
      <c r="L6" s="2"/>
      <c r="M6" s="2"/>
    </row>
    <row r="7" spans="1:13" ht="15.75" customHeight="1">
      <c r="B7" s="150"/>
      <c r="C7" s="150"/>
      <c r="D7" s="1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71"/>
      <c r="E36" s="73"/>
      <c r="F36" s="74"/>
      <c r="G36" s="74"/>
      <c r="H36" s="78" t="s">
        <v>123</v>
      </c>
      <c r="I36" s="79"/>
      <c r="J36" s="23"/>
    </row>
    <row r="37" spans="1:14" ht="15.75" customHeight="1">
      <c r="A37" s="29">
        <v>5</v>
      </c>
      <c r="B37" s="71" t="s">
        <v>26</v>
      </c>
      <c r="C37" s="72" t="s">
        <v>31</v>
      </c>
      <c r="D37" s="71" t="s">
        <v>212</v>
      </c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>G37*1.2</f>
        <v>2403.6</v>
      </c>
      <c r="J37" s="23"/>
    </row>
    <row r="38" spans="1:14" ht="15.75" customHeight="1">
      <c r="A38" s="29">
        <v>6</v>
      </c>
      <c r="B38" s="71" t="s">
        <v>67</v>
      </c>
      <c r="C38" s="72" t="s">
        <v>29</v>
      </c>
      <c r="D38" s="71" t="s">
        <v>176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ref="I38:I41" si="4">F38/6*G38</f>
        <v>1328.698404</v>
      </c>
      <c r="J38" s="23"/>
    </row>
    <row r="39" spans="1:14" ht="15.75" customHeight="1">
      <c r="A39" s="29">
        <v>7</v>
      </c>
      <c r="B39" s="71" t="s">
        <v>68</v>
      </c>
      <c r="C39" s="72" t="s">
        <v>29</v>
      </c>
      <c r="D39" s="71" t="s">
        <v>177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  <c r="J39" s="23"/>
    </row>
    <row r="40" spans="1:14" ht="15.75" hidden="1" customHeight="1">
      <c r="A40" s="29">
        <v>12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v>0</v>
      </c>
      <c r="J40" s="23"/>
    </row>
    <row r="41" spans="1:14" ht="47.25" customHeight="1">
      <c r="A41" s="29">
        <v>8</v>
      </c>
      <c r="B41" s="71" t="s">
        <v>83</v>
      </c>
      <c r="C41" s="72" t="s">
        <v>104</v>
      </c>
      <c r="D41" s="71" t="s">
        <v>178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  <c r="J41" s="23"/>
      <c r="L41" s="19"/>
      <c r="M41" s="20"/>
      <c r="N41" s="21"/>
    </row>
    <row r="42" spans="1:14" ht="15.75" hidden="1" customHeight="1">
      <c r="A42" s="94">
        <v>9</v>
      </c>
      <c r="B42" s="83" t="s">
        <v>106</v>
      </c>
      <c r="C42" s="84" t="s">
        <v>104</v>
      </c>
      <c r="D42" s="83" t="s">
        <v>179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(F42/7.5*1.5)*G42</f>
        <v>450.86827499999993</v>
      </c>
      <c r="J42" s="23"/>
      <c r="L42" s="19"/>
      <c r="M42" s="20"/>
      <c r="N42" s="21"/>
    </row>
    <row r="43" spans="1:14" ht="15.75" hidden="1" customHeight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(F43/7.5*1.5)*G43</f>
        <v>175.46940000000004</v>
      </c>
      <c r="J43" s="23"/>
      <c r="L43" s="19"/>
      <c r="M43" s="20"/>
      <c r="N43" s="21"/>
    </row>
    <row r="44" spans="1:14" ht="15.75" hidden="1" customHeight="1">
      <c r="A44" s="195" t="s">
        <v>129</v>
      </c>
      <c r="B44" s="196"/>
      <c r="C44" s="196"/>
      <c r="D44" s="196"/>
      <c r="E44" s="196"/>
      <c r="F44" s="196"/>
      <c r="G44" s="196"/>
      <c r="H44" s="196"/>
      <c r="I44" s="197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  <c r="J49" s="23"/>
      <c r="L49" s="19"/>
      <c r="M49" s="20"/>
      <c r="N49" s="21"/>
    </row>
    <row r="50" spans="1:14" ht="15.75" hidden="1" customHeight="1">
      <c r="A50" s="29">
        <v>15</v>
      </c>
      <c r="B50" s="39" t="s">
        <v>56</v>
      </c>
      <c r="C50" s="40" t="s">
        <v>104</v>
      </c>
      <c r="D50" s="39" t="s">
        <v>132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  <c r="J53" s="23"/>
      <c r="L53" s="19"/>
      <c r="M53" s="20"/>
      <c r="N53" s="21"/>
    </row>
    <row r="54" spans="1:14" ht="15.75" hidden="1" customHeight="1">
      <c r="A54" s="29">
        <v>16</v>
      </c>
      <c r="B54" s="39" t="s">
        <v>41</v>
      </c>
      <c r="C54" s="40" t="s">
        <v>89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5" t="s">
        <v>134</v>
      </c>
      <c r="B55" s="196"/>
      <c r="C55" s="196"/>
      <c r="D55" s="196"/>
      <c r="E55" s="196"/>
      <c r="F55" s="196"/>
      <c r="G55" s="196"/>
      <c r="H55" s="196"/>
      <c r="I55" s="197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29.25" hidden="1" customHeight="1">
      <c r="A57" s="29">
        <v>11</v>
      </c>
      <c r="B57" s="71" t="s">
        <v>109</v>
      </c>
      <c r="C57" s="72" t="s">
        <v>93</v>
      </c>
      <c r="D57" s="71"/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G57*1.58</f>
        <v>3841.2644</v>
      </c>
      <c r="J57" s="23"/>
      <c r="L57" s="19"/>
      <c r="M57" s="20"/>
      <c r="N57" s="21"/>
    </row>
    <row r="58" spans="1:14" ht="16.5" hidden="1" customHeight="1">
      <c r="A58" s="29">
        <v>12</v>
      </c>
      <c r="B58" s="71" t="s">
        <v>125</v>
      </c>
      <c r="C58" s="72" t="s">
        <v>126</v>
      </c>
      <c r="D58" s="14" t="s">
        <v>181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G58*4</f>
        <v>6328.2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  <c r="J59" s="23"/>
      <c r="L59" s="19"/>
      <c r="M59" s="20"/>
      <c r="N59" s="21"/>
    </row>
    <row r="60" spans="1:14" ht="15.75" hidden="1" customHeight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  <c r="J60" s="23"/>
      <c r="L60" s="19"/>
      <c r="M60" s="20"/>
      <c r="N60" s="21"/>
    </row>
    <row r="61" spans="1:14" ht="15.75" customHeight="1">
      <c r="A61" s="29">
        <v>9</v>
      </c>
      <c r="B61" s="125" t="s">
        <v>90</v>
      </c>
      <c r="C61" s="126" t="s">
        <v>25</v>
      </c>
      <c r="D61" s="125" t="s">
        <v>180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  <c r="J62" s="23"/>
      <c r="L62" s="19"/>
      <c r="M62" s="20"/>
      <c r="N62" s="21"/>
    </row>
    <row r="63" spans="1:14" ht="15.75" hidden="1" customHeight="1">
      <c r="A63" s="29">
        <v>16</v>
      </c>
      <c r="B63" s="56" t="s">
        <v>47</v>
      </c>
      <c r="C63" s="40" t="s">
        <v>89</v>
      </c>
      <c r="D63" s="39" t="s">
        <v>66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G63*3</f>
        <v>875.04</v>
      </c>
      <c r="J63" s="23"/>
      <c r="L63" s="19"/>
    </row>
    <row r="64" spans="1:14" ht="15.7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  <c r="J64" s="23"/>
      <c r="L64" s="19"/>
    </row>
    <row r="65" spans="1:22" ht="15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22" ht="15.7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22" ht="15.7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31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  <c r="J70" s="5"/>
      <c r="K70" s="5"/>
      <c r="L70" s="5"/>
      <c r="M70" s="5"/>
      <c r="N70" s="5"/>
      <c r="O70" s="5"/>
      <c r="P70" s="5"/>
      <c r="Q70" s="5"/>
      <c r="R70" s="183"/>
      <c r="S70" s="183"/>
      <c r="T70" s="183"/>
      <c r="U70" s="183"/>
    </row>
    <row r="71" spans="1:22" ht="15.75" customHeight="1">
      <c r="A71" s="29">
        <v>10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  <c r="J71" s="5"/>
      <c r="K71" s="5"/>
      <c r="L71" s="5"/>
      <c r="M71" s="5"/>
      <c r="N71" s="5"/>
      <c r="O71" s="5"/>
      <c r="P71" s="5"/>
      <c r="Q71" s="5"/>
      <c r="R71" s="151"/>
      <c r="S71" s="151"/>
      <c r="T71" s="151"/>
      <c r="U71" s="151"/>
    </row>
    <row r="72" spans="1:22" ht="15.75" customHeight="1">
      <c r="A72" s="29"/>
      <c r="B72" s="148" t="s">
        <v>74</v>
      </c>
      <c r="C72" s="16"/>
      <c r="D72" s="14"/>
      <c r="E72" s="18"/>
      <c r="F72" s="13"/>
      <c r="G72" s="13"/>
      <c r="H72" s="87" t="s">
        <v>123</v>
      </c>
      <c r="I72" s="7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3">
        <f t="shared" ref="H73:H74" si="8">SUM(F73*G73/1000)</f>
        <v>1.0291199999999998</v>
      </c>
      <c r="I73" s="13">
        <v>0</v>
      </c>
    </row>
    <row r="74" spans="1:22" ht="15.7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3">
        <f t="shared" si="8"/>
        <v>0.73499999999999999</v>
      </c>
      <c r="I74" s="13">
        <v>0</v>
      </c>
    </row>
    <row r="75" spans="1:22" ht="15.75" customHeight="1">
      <c r="A75" s="29">
        <v>11</v>
      </c>
      <c r="B75" s="39" t="s">
        <v>75</v>
      </c>
      <c r="C75" s="40" t="s">
        <v>76</v>
      </c>
      <c r="D75" s="39" t="s">
        <v>213</v>
      </c>
      <c r="E75" s="17">
        <v>5</v>
      </c>
      <c r="F75" s="33">
        <f>SUM(E75/10)</f>
        <v>0.5</v>
      </c>
      <c r="G75" s="36">
        <v>657.87</v>
      </c>
      <c r="H75" s="113">
        <f>SUM(F75*G75/1000)</f>
        <v>0.32893499999999998</v>
      </c>
      <c r="I75" s="13">
        <f>G75*0.3</f>
        <v>197.36099999999999</v>
      </c>
    </row>
    <row r="76" spans="1:22" ht="15.75" hidden="1" customHeight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3">
        <f>SUM(F76*G76/1000)</f>
        <v>1.1187199999999999</v>
      </c>
      <c r="I76" s="13">
        <v>0</v>
      </c>
    </row>
    <row r="77" spans="1:22" ht="15.75" customHeight="1">
      <c r="A77" s="29">
        <v>12</v>
      </c>
      <c r="B77" s="115" t="s">
        <v>154</v>
      </c>
      <c r="C77" s="116" t="s">
        <v>89</v>
      </c>
      <c r="D77" s="39" t="s">
        <v>175</v>
      </c>
      <c r="E77" s="17">
        <v>2</v>
      </c>
      <c r="F77" s="33">
        <f>E77*12</f>
        <v>24</v>
      </c>
      <c r="G77" s="36">
        <v>53.42</v>
      </c>
      <c r="H77" s="113">
        <f t="shared" ref="H77:H78" si="9">SUM(F77*G77/1000)</f>
        <v>1.2820799999999999</v>
      </c>
      <c r="I77" s="13">
        <f>G77*2</f>
        <v>106.84</v>
      </c>
    </row>
    <row r="78" spans="1:22" ht="31.5" customHeight="1">
      <c r="A78" s="29">
        <v>13</v>
      </c>
      <c r="B78" s="115" t="s">
        <v>155</v>
      </c>
      <c r="C78" s="116" t="s">
        <v>89</v>
      </c>
      <c r="D78" s="39" t="s">
        <v>180</v>
      </c>
      <c r="E78" s="17">
        <v>1</v>
      </c>
      <c r="F78" s="33">
        <f>E78*12</f>
        <v>12</v>
      </c>
      <c r="G78" s="36">
        <v>1194</v>
      </c>
      <c r="H78" s="113">
        <f t="shared" si="9"/>
        <v>14.327999999999999</v>
      </c>
      <c r="I78" s="13">
        <f>G78</f>
        <v>1194</v>
      </c>
    </row>
    <row r="79" spans="1:22" ht="15.75" hidden="1" customHeight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22" ht="15.75" hidden="1" customHeight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15.75" hidden="1" customHeight="1">
      <c r="A81" s="29"/>
      <c r="B81" s="148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 ht="15.75" hidden="1" customHeight="1">
      <c r="A82" s="94"/>
      <c r="B82" s="34" t="s">
        <v>114</v>
      </c>
      <c r="C82" s="130"/>
      <c r="D82" s="131"/>
      <c r="E82" s="132"/>
      <c r="F82" s="38">
        <f>232/10</f>
        <v>23.2</v>
      </c>
      <c r="G82" s="38">
        <v>12361.2</v>
      </c>
      <c r="H82" s="114">
        <f>G82*F82/1000</f>
        <v>286.77984000000004</v>
      </c>
      <c r="I82" s="95">
        <v>0</v>
      </c>
    </row>
    <row r="83" spans="1:9" ht="15.75" customHeight="1">
      <c r="A83" s="195" t="s">
        <v>135</v>
      </c>
      <c r="B83" s="196"/>
      <c r="C83" s="196"/>
      <c r="D83" s="196"/>
      <c r="E83" s="196"/>
      <c r="F83" s="196"/>
      <c r="G83" s="196"/>
      <c r="H83" s="196"/>
      <c r="I83" s="197"/>
    </row>
    <row r="84" spans="1:9" ht="15.75" customHeight="1">
      <c r="A84" s="96">
        <v>14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1.5" customHeight="1">
      <c r="A85" s="29">
        <v>15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 ht="15.75" customHeight="1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I85+I84+I78+I77+I75+I71+I61+I41+I39+I38+I37+I26+I18+I17+I16</f>
        <v>48515.81231566667</v>
      </c>
    </row>
    <row r="87" spans="1:9" ht="15.75" customHeight="1">
      <c r="A87" s="184" t="s">
        <v>60</v>
      </c>
      <c r="B87" s="185"/>
      <c r="C87" s="185"/>
      <c r="D87" s="185"/>
      <c r="E87" s="185"/>
      <c r="F87" s="185"/>
      <c r="G87" s="185"/>
      <c r="H87" s="185"/>
      <c r="I87" s="186"/>
    </row>
    <row r="88" spans="1:9" ht="33" customHeight="1">
      <c r="A88" s="29">
        <v>16</v>
      </c>
      <c r="B88" s="115" t="s">
        <v>168</v>
      </c>
      <c r="C88" s="116" t="s">
        <v>29</v>
      </c>
      <c r="D88" s="52"/>
      <c r="E88" s="13"/>
      <c r="F88" s="13">
        <v>128</v>
      </c>
      <c r="G88" s="13">
        <v>20547.34</v>
      </c>
      <c r="H88" s="89">
        <f t="shared" ref="H88" si="11">G88*F88/1000</f>
        <v>2630.0595199999998</v>
      </c>
      <c r="I88" s="13">
        <f>G88*0.599*4/1000</f>
        <v>49.231426639999995</v>
      </c>
    </row>
    <row r="89" spans="1:9" ht="18.75" customHeight="1">
      <c r="A89" s="29">
        <v>17</v>
      </c>
      <c r="B89" s="115" t="s">
        <v>200</v>
      </c>
      <c r="C89" s="116" t="s">
        <v>40</v>
      </c>
      <c r="D89" s="117" t="s">
        <v>175</v>
      </c>
      <c r="E89" s="36"/>
      <c r="F89" s="36">
        <v>0.02</v>
      </c>
      <c r="G89" s="36">
        <v>27139.18</v>
      </c>
      <c r="H89" s="114">
        <f>F89*G89/1000</f>
        <v>0.54278360000000003</v>
      </c>
      <c r="I89" s="13">
        <v>0</v>
      </c>
    </row>
    <row r="90" spans="1:9" ht="14.25" customHeight="1">
      <c r="A90" s="29">
        <v>18</v>
      </c>
      <c r="B90" s="115" t="s">
        <v>214</v>
      </c>
      <c r="C90" s="116" t="s">
        <v>97</v>
      </c>
      <c r="D90" s="117"/>
      <c r="E90" s="36"/>
      <c r="F90" s="36">
        <v>2</v>
      </c>
      <c r="G90" s="36">
        <v>331.57</v>
      </c>
      <c r="H90" s="114">
        <f>F90*G90/1000</f>
        <v>0.66313999999999995</v>
      </c>
      <c r="I90" s="13">
        <f>G90*2</f>
        <v>663.14</v>
      </c>
    </row>
    <row r="91" spans="1:9" ht="15.75" customHeight="1">
      <c r="A91" s="29"/>
      <c r="B91" s="50" t="s">
        <v>52</v>
      </c>
      <c r="C91" s="46"/>
      <c r="D91" s="54"/>
      <c r="E91" s="46">
        <v>1</v>
      </c>
      <c r="F91" s="46"/>
      <c r="G91" s="46"/>
      <c r="H91" s="46"/>
      <c r="I91" s="32">
        <f>SUM(I88:I90)</f>
        <v>712.37142663999998</v>
      </c>
    </row>
    <row r="92" spans="1:9" ht="15.75" customHeight="1">
      <c r="A92" s="29"/>
      <c r="B92" s="52" t="s">
        <v>80</v>
      </c>
      <c r="C92" s="15"/>
      <c r="D92" s="15"/>
      <c r="E92" s="47"/>
      <c r="F92" s="47"/>
      <c r="G92" s="48"/>
      <c r="H92" s="48"/>
      <c r="I92" s="17">
        <v>0</v>
      </c>
    </row>
    <row r="93" spans="1:9" ht="15.75" customHeight="1">
      <c r="A93" s="55"/>
      <c r="B93" s="51" t="s">
        <v>141</v>
      </c>
      <c r="C93" s="35"/>
      <c r="D93" s="35"/>
      <c r="E93" s="35"/>
      <c r="F93" s="35"/>
      <c r="G93" s="35"/>
      <c r="H93" s="35"/>
      <c r="I93" s="49">
        <f>I86+I91</f>
        <v>49228.183742306668</v>
      </c>
    </row>
    <row r="94" spans="1:9" ht="15.75">
      <c r="A94" s="187" t="s">
        <v>256</v>
      </c>
      <c r="B94" s="187"/>
      <c r="C94" s="187"/>
      <c r="D94" s="187"/>
      <c r="E94" s="187"/>
      <c r="F94" s="187"/>
      <c r="G94" s="187"/>
      <c r="H94" s="187"/>
      <c r="I94" s="187"/>
    </row>
    <row r="95" spans="1:9" ht="15.75">
      <c r="A95" s="62"/>
      <c r="B95" s="188" t="s">
        <v>257</v>
      </c>
      <c r="C95" s="188"/>
      <c r="D95" s="188"/>
      <c r="E95" s="188"/>
      <c r="F95" s="188"/>
      <c r="G95" s="188"/>
      <c r="H95" s="70"/>
      <c r="I95" s="3"/>
    </row>
    <row r="96" spans="1:9">
      <c r="A96" s="151"/>
      <c r="B96" s="189" t="s">
        <v>6</v>
      </c>
      <c r="C96" s="189"/>
      <c r="D96" s="189"/>
      <c r="E96" s="189"/>
      <c r="F96" s="189"/>
      <c r="G96" s="189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90" t="s">
        <v>7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 customHeight="1">
      <c r="A99" s="190" t="s">
        <v>8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1" t="s">
        <v>61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 customHeight="1">
      <c r="A101" s="11"/>
    </row>
    <row r="102" spans="1:9" ht="15.75" customHeight="1">
      <c r="A102" s="192" t="s">
        <v>9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 customHeight="1">
      <c r="A103" s="4"/>
    </row>
    <row r="104" spans="1:9" ht="15.75" customHeight="1">
      <c r="B104" s="150" t="s">
        <v>10</v>
      </c>
      <c r="C104" s="193" t="s">
        <v>88</v>
      </c>
      <c r="D104" s="193"/>
      <c r="E104" s="193"/>
      <c r="F104" s="68"/>
      <c r="I104" s="153"/>
    </row>
    <row r="105" spans="1:9" ht="15.75" customHeight="1">
      <c r="A105" s="151"/>
      <c r="C105" s="189" t="s">
        <v>11</v>
      </c>
      <c r="D105" s="189"/>
      <c r="E105" s="189"/>
      <c r="F105" s="24"/>
      <c r="I105" s="152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150" t="s">
        <v>13</v>
      </c>
      <c r="C107" s="194"/>
      <c r="D107" s="194"/>
      <c r="E107" s="194"/>
      <c r="F107" s="69"/>
      <c r="I107" s="153"/>
    </row>
    <row r="108" spans="1:9" ht="15.75" customHeight="1">
      <c r="A108" s="151"/>
      <c r="C108" s="183" t="s">
        <v>11</v>
      </c>
      <c r="D108" s="183"/>
      <c r="E108" s="183"/>
      <c r="F108" s="151"/>
      <c r="I108" s="152" t="s">
        <v>12</v>
      </c>
    </row>
    <row r="109" spans="1:9" ht="15.75" customHeight="1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5" customHeight="1">
      <c r="A111" s="182" t="s">
        <v>16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30" customHeight="1">
      <c r="A112" s="182" t="s">
        <v>17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21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" customHeight="1">
      <c r="A114" s="182" t="s">
        <v>20</v>
      </c>
      <c r="B114" s="182"/>
      <c r="C114" s="182"/>
      <c r="D114" s="182"/>
      <c r="E114" s="182"/>
      <c r="F114" s="182"/>
      <c r="G114" s="182"/>
      <c r="H114" s="182"/>
      <c r="I114" s="182"/>
    </row>
  </sheetData>
  <autoFilter ref="I12:I65"/>
  <mergeCells count="29">
    <mergeCell ref="A110:I110"/>
    <mergeCell ref="A111:I111"/>
    <mergeCell ref="A112:I112"/>
    <mergeCell ref="A113:I113"/>
    <mergeCell ref="A114:I114"/>
    <mergeCell ref="R70:U70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topLeftCell="A88" zoomScale="60" workbookViewId="0">
      <selection activeCell="J97" sqref="J97"/>
    </sheetView>
  </sheetViews>
  <sheetFormatPr defaultRowHeight="15"/>
  <cols>
    <col min="2" max="2" width="51.5703125" customWidth="1"/>
    <col min="3" max="3" width="18.28515625" customWidth="1"/>
    <col min="4" max="4" width="18.42578125" customWidth="1"/>
    <col min="5" max="6" width="0" hidden="1" customWidth="1"/>
    <col min="7" max="7" width="18.42578125" customWidth="1"/>
    <col min="8" max="8" width="0" hidden="1" customWidth="1"/>
    <col min="9" max="9" width="18" customWidth="1"/>
  </cols>
  <sheetData>
    <row r="1" spans="1:9" ht="15.75">
      <c r="A1" s="27" t="s">
        <v>165</v>
      </c>
      <c r="I1" s="26"/>
    </row>
    <row r="2" spans="1:9" ht="15.75">
      <c r="A2" s="28" t="s">
        <v>62</v>
      </c>
    </row>
    <row r="3" spans="1:9" ht="15.75">
      <c r="A3" s="198" t="s">
        <v>163</v>
      </c>
      <c r="B3" s="198"/>
      <c r="C3" s="198"/>
      <c r="D3" s="198"/>
      <c r="E3" s="198"/>
      <c r="F3" s="198"/>
      <c r="G3" s="198"/>
      <c r="H3" s="198"/>
      <c r="I3" s="198"/>
    </row>
    <row r="4" spans="1:9" ht="33.7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9" ht="15.75">
      <c r="A5" s="198" t="s">
        <v>215</v>
      </c>
      <c r="B5" s="200"/>
      <c r="C5" s="200"/>
      <c r="D5" s="200"/>
      <c r="E5" s="200"/>
      <c r="F5" s="200"/>
      <c r="G5" s="200"/>
      <c r="H5" s="200"/>
      <c r="I5" s="200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0">
        <v>43951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90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</row>
    <row r="9" spans="1:9" ht="15.75">
      <c r="A9" s="4"/>
    </row>
    <row r="10" spans="1:9" ht="15.75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</row>
    <row r="11" spans="1:9" ht="15.75">
      <c r="A11" s="4"/>
    </row>
    <row r="12" spans="1:9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</row>
    <row r="15" spans="1:9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</row>
    <row r="16" spans="1:9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</row>
    <row r="20" spans="1:9" hidden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</row>
    <row r="23" spans="1:9" hidden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</row>
    <row r="24" spans="1:9" hidden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</row>
    <row r="25" spans="1:9" ht="30" hidden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</row>
    <row r="26" spans="1:9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</row>
    <row r="28" spans="1:9" hidden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idden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</row>
    <row r="30" spans="1:9" ht="45" hidden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idden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idden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</row>
    <row r="34" spans="1:9" hidden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</row>
    <row r="35" spans="1:9" hidden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</row>
    <row r="36" spans="1:9">
      <c r="A36" s="29"/>
      <c r="B36" s="93" t="s">
        <v>5</v>
      </c>
      <c r="C36" s="72"/>
      <c r="D36" s="71"/>
      <c r="E36" s="73"/>
      <c r="F36" s="74"/>
      <c r="G36" s="74"/>
      <c r="H36" s="78" t="s">
        <v>123</v>
      </c>
      <c r="I36" s="79"/>
    </row>
    <row r="37" spans="1:9" hidden="1">
      <c r="A37" s="29">
        <v>6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 t="shared" ref="I37:I41" si="4">F37/6*G37</f>
        <v>1001.5</v>
      </c>
    </row>
    <row r="38" spans="1:9">
      <c r="A38" s="29">
        <v>5</v>
      </c>
      <c r="B38" s="71" t="s">
        <v>67</v>
      </c>
      <c r="C38" s="72" t="s">
        <v>29</v>
      </c>
      <c r="D38" s="71" t="s">
        <v>176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si="4"/>
        <v>1328.698404</v>
      </c>
    </row>
    <row r="39" spans="1:9">
      <c r="A39" s="29">
        <v>6</v>
      </c>
      <c r="B39" s="71" t="s">
        <v>68</v>
      </c>
      <c r="C39" s="72" t="s">
        <v>29</v>
      </c>
      <c r="D39" s="71" t="s">
        <v>177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</row>
    <row r="40" spans="1:9" ht="21" hidden="1" customHeight="1">
      <c r="A40" s="29">
        <v>7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f>G40*39</f>
        <v>11766.689999999999</v>
      </c>
    </row>
    <row r="41" spans="1:9" ht="60">
      <c r="A41" s="29">
        <v>7</v>
      </c>
      <c r="B41" s="71" t="s">
        <v>83</v>
      </c>
      <c r="C41" s="72" t="s">
        <v>104</v>
      </c>
      <c r="D41" s="71" t="s">
        <v>178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</row>
    <row r="42" spans="1:9" hidden="1">
      <c r="A42" s="94">
        <v>9</v>
      </c>
      <c r="B42" s="83" t="s">
        <v>106</v>
      </c>
      <c r="C42" s="84" t="s">
        <v>104</v>
      </c>
      <c r="D42" s="83" t="s">
        <v>179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(F42/7.5*1.5)*G42</f>
        <v>450.86827499999993</v>
      </c>
    </row>
    <row r="43" spans="1:9" hidden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(F43/7.5*1.5)*G43</f>
        <v>175.46940000000004</v>
      </c>
    </row>
    <row r="44" spans="1:9" hidden="1">
      <c r="A44" s="195" t="s">
        <v>129</v>
      </c>
      <c r="B44" s="196"/>
      <c r="C44" s="196"/>
      <c r="D44" s="196"/>
      <c r="E44" s="196"/>
      <c r="F44" s="196"/>
      <c r="G44" s="196"/>
      <c r="H44" s="196"/>
      <c r="I44" s="197"/>
    </row>
    <row r="45" spans="1:9" hidden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</row>
    <row r="46" spans="1:9" hidden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</row>
    <row r="47" spans="1:9" hidden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</row>
    <row r="48" spans="1:9" hidden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</row>
    <row r="49" spans="1:9" hidden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</row>
    <row r="50" spans="1:9" hidden="1">
      <c r="A50" s="29">
        <v>15</v>
      </c>
      <c r="B50" s="39" t="s">
        <v>56</v>
      </c>
      <c r="C50" s="40" t="s">
        <v>104</v>
      </c>
      <c r="D50" s="39" t="s">
        <v>132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</row>
    <row r="51" spans="1:9" ht="45" hidden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</row>
    <row r="52" spans="1:9" ht="30" hidden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</row>
    <row r="53" spans="1:9" hidden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</row>
    <row r="54" spans="1:9" hidden="1">
      <c r="A54" s="29">
        <v>16</v>
      </c>
      <c r="B54" s="39" t="s">
        <v>41</v>
      </c>
      <c r="C54" s="40" t="s">
        <v>89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</row>
    <row r="55" spans="1:9">
      <c r="A55" s="195" t="s">
        <v>134</v>
      </c>
      <c r="B55" s="196"/>
      <c r="C55" s="196"/>
      <c r="D55" s="196"/>
      <c r="E55" s="196"/>
      <c r="F55" s="196"/>
      <c r="G55" s="196"/>
      <c r="H55" s="196"/>
      <c r="I55" s="197"/>
    </row>
    <row r="56" spans="1:9" hidden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</row>
    <row r="57" spans="1:9" ht="30" hidden="1">
      <c r="A57" s="29">
        <v>12</v>
      </c>
      <c r="B57" s="71" t="s">
        <v>109</v>
      </c>
      <c r="C57" s="72" t="s">
        <v>93</v>
      </c>
      <c r="D57" s="71" t="s">
        <v>110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G57*0.12</f>
        <v>291.74159999999995</v>
      </c>
    </row>
    <row r="58" spans="1:9" hidden="1">
      <c r="A58" s="29">
        <v>13</v>
      </c>
      <c r="B58" s="71" t="s">
        <v>125</v>
      </c>
      <c r="C58" s="72" t="s">
        <v>126</v>
      </c>
      <c r="D58" s="14" t="s">
        <v>66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G58*1</f>
        <v>1582.05</v>
      </c>
    </row>
    <row r="59" spans="1:9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</row>
    <row r="60" spans="1:9" hidden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</row>
    <row r="61" spans="1:9">
      <c r="A61" s="29">
        <v>8</v>
      </c>
      <c r="B61" s="125" t="s">
        <v>90</v>
      </c>
      <c r="C61" s="126" t="s">
        <v>25</v>
      </c>
      <c r="D61" s="125" t="s">
        <v>175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</row>
    <row r="62" spans="1:9" ht="19.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</row>
    <row r="63" spans="1:9" ht="17.25" hidden="1" customHeight="1">
      <c r="A63" s="29">
        <v>12</v>
      </c>
      <c r="B63" s="56" t="s">
        <v>47</v>
      </c>
      <c r="C63" s="40" t="s">
        <v>89</v>
      </c>
      <c r="D63" s="39" t="s">
        <v>175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</f>
        <v>291.68</v>
      </c>
    </row>
    <row r="64" spans="1:9" ht="25.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</row>
    <row r="65" spans="1:9" ht="18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9" ht="19.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9" ht="22.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</row>
    <row r="68" spans="1:9" ht="21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</row>
    <row r="69" spans="1:9" ht="16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</row>
    <row r="70" spans="1:9" ht="16.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</row>
    <row r="71" spans="1:9" ht="21" customHeight="1">
      <c r="A71" s="29">
        <v>9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</row>
    <row r="72" spans="1:9">
      <c r="A72" s="29"/>
      <c r="B72" s="159" t="s">
        <v>74</v>
      </c>
      <c r="C72" s="16"/>
      <c r="D72" s="14"/>
      <c r="E72" s="18"/>
      <c r="F72" s="13"/>
      <c r="G72" s="13"/>
      <c r="H72" s="87" t="s">
        <v>123</v>
      </c>
      <c r="I72" s="79"/>
    </row>
    <row r="73" spans="1:9" hidden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4">
        <f t="shared" ref="H73:H74" si="8">SUM(F73*G73/1000)</f>
        <v>1.0291199999999998</v>
      </c>
      <c r="I73" s="13">
        <v>0</v>
      </c>
    </row>
    <row r="74" spans="1:9" ht="13.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4">
        <f t="shared" si="8"/>
        <v>0.73499999999999999</v>
      </c>
      <c r="I74" s="13">
        <v>0</v>
      </c>
    </row>
    <row r="75" spans="1:9" hidden="1">
      <c r="A75" s="29">
        <v>19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4">
        <f>SUM(F75*G75/1000)</f>
        <v>0.32893499999999998</v>
      </c>
      <c r="I75" s="13">
        <f>G75*0.4</f>
        <v>263.14800000000002</v>
      </c>
    </row>
    <row r="76" spans="1:9" hidden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4">
        <f>SUM(F76*G76/1000)</f>
        <v>1.1187199999999999</v>
      </c>
      <c r="I76" s="13">
        <v>0</v>
      </c>
    </row>
    <row r="77" spans="1:9" ht="30">
      <c r="A77" s="29">
        <v>10</v>
      </c>
      <c r="B77" s="115" t="s">
        <v>154</v>
      </c>
      <c r="C77" s="116" t="s">
        <v>89</v>
      </c>
      <c r="D77" s="39" t="s">
        <v>175</v>
      </c>
      <c r="E77" s="17">
        <v>2</v>
      </c>
      <c r="F77" s="33">
        <f>E77*12</f>
        <v>24</v>
      </c>
      <c r="G77" s="36">
        <v>53.42</v>
      </c>
      <c r="H77" s="114">
        <f t="shared" ref="H77:H78" si="9">SUM(F77*G77/1000)</f>
        <v>1.2820799999999999</v>
      </c>
      <c r="I77" s="13">
        <f>G77*2</f>
        <v>106.84</v>
      </c>
    </row>
    <row r="78" spans="1:9" ht="30">
      <c r="A78" s="29">
        <v>11</v>
      </c>
      <c r="B78" s="115" t="s">
        <v>155</v>
      </c>
      <c r="C78" s="116" t="s">
        <v>89</v>
      </c>
      <c r="D78" s="39" t="s">
        <v>175</v>
      </c>
      <c r="E78" s="17">
        <v>1</v>
      </c>
      <c r="F78" s="33">
        <f>E78*12</f>
        <v>12</v>
      </c>
      <c r="G78" s="36">
        <v>1194</v>
      </c>
      <c r="H78" s="114">
        <f t="shared" si="9"/>
        <v>14.327999999999999</v>
      </c>
      <c r="I78" s="13">
        <f>G78</f>
        <v>1194</v>
      </c>
    </row>
    <row r="79" spans="1:9" hidden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9" hidden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28.5" hidden="1">
      <c r="A81" s="29"/>
      <c r="B81" s="159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>
      <c r="A82" s="195" t="s">
        <v>135</v>
      </c>
      <c r="B82" s="196"/>
      <c r="C82" s="196"/>
      <c r="D82" s="196"/>
      <c r="E82" s="196"/>
      <c r="F82" s="196"/>
      <c r="G82" s="196"/>
      <c r="H82" s="196"/>
      <c r="I82" s="197"/>
    </row>
    <row r="83" spans="1:9">
      <c r="A83" s="96">
        <v>12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0">
      <c r="A84" s="29">
        <v>13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I84+I83+I78+I77+I71+I61+I41+I39+I38+I26+I18+I17+I16</f>
        <v>45914.851315666667</v>
      </c>
    </row>
    <row r="86" spans="1:9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>
      <c r="A87" s="29">
        <v>14</v>
      </c>
      <c r="B87" s="115" t="s">
        <v>200</v>
      </c>
      <c r="C87" s="116" t="s">
        <v>40</v>
      </c>
      <c r="D87" s="117" t="s">
        <v>176</v>
      </c>
      <c r="E87" s="36"/>
      <c r="F87" s="36">
        <v>0.04</v>
      </c>
      <c r="G87" s="36">
        <v>27139.18</v>
      </c>
      <c r="H87" s="89">
        <f t="shared" ref="H87:H88" si="11">G87*F87/1000</f>
        <v>1.0855672000000001</v>
      </c>
      <c r="I87" s="13">
        <v>0</v>
      </c>
    </row>
    <row r="88" spans="1:9" ht="30">
      <c r="A88" s="29">
        <v>15</v>
      </c>
      <c r="B88" s="115" t="s">
        <v>168</v>
      </c>
      <c r="C88" s="116" t="s">
        <v>29</v>
      </c>
      <c r="D88" s="52"/>
      <c r="E88" s="13"/>
      <c r="F88" s="13">
        <v>128</v>
      </c>
      <c r="G88" s="13">
        <v>20547.34</v>
      </c>
      <c r="H88" s="89">
        <f t="shared" si="11"/>
        <v>2630.0595199999998</v>
      </c>
      <c r="I88" s="13">
        <f>G88*0.599*4/1000</f>
        <v>49.231426639999995</v>
      </c>
    </row>
    <row r="89" spans="1:9">
      <c r="A89" s="29"/>
      <c r="B89" s="50" t="s">
        <v>52</v>
      </c>
      <c r="C89" s="46"/>
      <c r="D89" s="54"/>
      <c r="E89" s="46">
        <v>1</v>
      </c>
      <c r="F89" s="46"/>
      <c r="G89" s="46"/>
      <c r="H89" s="46"/>
      <c r="I89" s="32">
        <f>SUM(I87:I88)</f>
        <v>49.231426639999995</v>
      </c>
    </row>
    <row r="90" spans="1:9">
      <c r="A90" s="29"/>
      <c r="B90" s="52" t="s">
        <v>80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5"/>
      <c r="B91" s="51" t="s">
        <v>141</v>
      </c>
      <c r="C91" s="35"/>
      <c r="D91" s="35"/>
      <c r="E91" s="35"/>
      <c r="F91" s="35"/>
      <c r="G91" s="35"/>
      <c r="H91" s="35"/>
      <c r="I91" s="49">
        <f>I85+I89</f>
        <v>45964.082742306666</v>
      </c>
    </row>
    <row r="92" spans="1:9" ht="15.75">
      <c r="A92" s="187" t="s">
        <v>258</v>
      </c>
      <c r="B92" s="187"/>
      <c r="C92" s="187"/>
      <c r="D92" s="187"/>
      <c r="E92" s="187"/>
      <c r="F92" s="187"/>
      <c r="G92" s="187"/>
      <c r="H92" s="187"/>
      <c r="I92" s="187"/>
    </row>
    <row r="93" spans="1:9" ht="15.75">
      <c r="A93" s="62"/>
      <c r="B93" s="188" t="s">
        <v>259</v>
      </c>
      <c r="C93" s="188"/>
      <c r="D93" s="188"/>
      <c r="E93" s="188"/>
      <c r="F93" s="188"/>
      <c r="G93" s="188"/>
      <c r="H93" s="70"/>
      <c r="I93" s="3"/>
    </row>
    <row r="94" spans="1:9">
      <c r="A94" s="157"/>
      <c r="B94" s="189" t="s">
        <v>6</v>
      </c>
      <c r="C94" s="189"/>
      <c r="D94" s="189"/>
      <c r="E94" s="189"/>
      <c r="F94" s="189"/>
      <c r="G94" s="189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90" t="s">
        <v>7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>
      <c r="A97" s="190" t="s">
        <v>8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>
      <c r="A98" s="191" t="s">
        <v>61</v>
      </c>
      <c r="B98" s="191"/>
      <c r="C98" s="191"/>
      <c r="D98" s="191"/>
      <c r="E98" s="191"/>
      <c r="F98" s="191"/>
      <c r="G98" s="191"/>
      <c r="H98" s="191"/>
      <c r="I98" s="191"/>
    </row>
    <row r="99" spans="1:9" ht="15.75">
      <c r="A99" s="11"/>
    </row>
    <row r="100" spans="1:9" ht="15.75">
      <c r="A100" s="192" t="s">
        <v>9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>
      <c r="A101" s="4"/>
    </row>
    <row r="102" spans="1:9" ht="15.75">
      <c r="B102" s="154" t="s">
        <v>10</v>
      </c>
      <c r="C102" s="193" t="s">
        <v>88</v>
      </c>
      <c r="D102" s="193"/>
      <c r="E102" s="193"/>
      <c r="F102" s="68"/>
      <c r="I102" s="156"/>
    </row>
    <row r="103" spans="1:9">
      <c r="A103" s="157"/>
      <c r="C103" s="189" t="s">
        <v>11</v>
      </c>
      <c r="D103" s="189"/>
      <c r="E103" s="189"/>
      <c r="F103" s="24"/>
      <c r="I103" s="155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154" t="s">
        <v>13</v>
      </c>
      <c r="C105" s="194"/>
      <c r="D105" s="194"/>
      <c r="E105" s="194"/>
      <c r="F105" s="69"/>
      <c r="I105" s="156"/>
    </row>
    <row r="106" spans="1:9">
      <c r="A106" s="157"/>
      <c r="C106" s="183" t="s">
        <v>11</v>
      </c>
      <c r="D106" s="183"/>
      <c r="E106" s="183"/>
      <c r="F106" s="157"/>
      <c r="I106" s="155" t="s">
        <v>12</v>
      </c>
    </row>
    <row r="107" spans="1:9" ht="15.75">
      <c r="A107" s="4" t="s">
        <v>14</v>
      </c>
    </row>
    <row r="108" spans="1:9">
      <c r="A108" s="181" t="s">
        <v>15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34.5" customHeight="1">
      <c r="A109" s="182" t="s">
        <v>16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35.25" customHeight="1">
      <c r="A110" s="182" t="s">
        <v>17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42" customHeight="1">
      <c r="A111" s="182" t="s">
        <v>21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15.75">
      <c r="A112" s="182" t="s">
        <v>20</v>
      </c>
      <c r="B112" s="182"/>
      <c r="C112" s="182"/>
      <c r="D112" s="182"/>
      <c r="E112" s="182"/>
      <c r="F112" s="182"/>
      <c r="G112" s="182"/>
      <c r="H112" s="182"/>
      <c r="I112" s="182"/>
    </row>
  </sheetData>
  <mergeCells count="28">
    <mergeCell ref="A112:I112"/>
    <mergeCell ref="A86:I86"/>
    <mergeCell ref="A92:I92"/>
    <mergeCell ref="B93:G93"/>
    <mergeCell ref="B94:G94"/>
    <mergeCell ref="A97:I97"/>
    <mergeCell ref="A100:I100"/>
    <mergeCell ref="A108:I108"/>
    <mergeCell ref="A109:I109"/>
    <mergeCell ref="A110:I110"/>
    <mergeCell ref="C106:E106"/>
    <mergeCell ref="C105:E105"/>
    <mergeCell ref="C102:E102"/>
    <mergeCell ref="A96:I96"/>
    <mergeCell ref="A98:I98"/>
    <mergeCell ref="C103:E103"/>
    <mergeCell ref="A3:I3"/>
    <mergeCell ref="A8:I8"/>
    <mergeCell ref="A27:I27"/>
    <mergeCell ref="A111:I111"/>
    <mergeCell ref="A4:I4"/>
    <mergeCell ref="A5:I5"/>
    <mergeCell ref="A10:I10"/>
    <mergeCell ref="A14:I14"/>
    <mergeCell ref="A15:I15"/>
    <mergeCell ref="A44:I44"/>
    <mergeCell ref="A55:I55"/>
    <mergeCell ref="A82:I82"/>
  </mergeCells>
  <pageMargins left="0.7" right="0.7" top="0.75" bottom="0.75" header="0.3" footer="0.3"/>
  <pageSetup paperSize="9" scale="5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4"/>
  <sheetViews>
    <sheetView view="pageBreakPreview" topLeftCell="A78" zoomScale="60" workbookViewId="0">
      <selection activeCell="G86" sqref="G86:I86"/>
    </sheetView>
  </sheetViews>
  <sheetFormatPr defaultRowHeight="15"/>
  <cols>
    <col min="2" max="2" width="51.42578125" customWidth="1"/>
    <col min="3" max="4" width="18.28515625" customWidth="1"/>
    <col min="5" max="6" width="0" hidden="1" customWidth="1"/>
    <col min="7" max="7" width="18.140625" customWidth="1"/>
    <col min="8" max="8" width="0" hidden="1" customWidth="1"/>
    <col min="9" max="9" width="14" customWidth="1"/>
  </cols>
  <sheetData>
    <row r="1" spans="1:9" ht="15.75">
      <c r="A1" s="27" t="s">
        <v>165</v>
      </c>
      <c r="I1" s="26"/>
    </row>
    <row r="2" spans="1:9" ht="15.75">
      <c r="A2" s="28" t="s">
        <v>62</v>
      </c>
    </row>
    <row r="3" spans="1:9" ht="15.75">
      <c r="A3" s="198" t="s">
        <v>162</v>
      </c>
      <c r="B3" s="198"/>
      <c r="C3" s="198"/>
      <c r="D3" s="198"/>
      <c r="E3" s="198"/>
      <c r="F3" s="198"/>
      <c r="G3" s="198"/>
      <c r="H3" s="198"/>
      <c r="I3" s="198"/>
    </row>
    <row r="4" spans="1:9" ht="32.2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9" ht="15.75">
      <c r="A5" s="198" t="s">
        <v>216</v>
      </c>
      <c r="B5" s="200"/>
      <c r="C5" s="200"/>
      <c r="D5" s="200"/>
      <c r="E5" s="200"/>
      <c r="F5" s="200"/>
      <c r="G5" s="200"/>
      <c r="H5" s="200"/>
      <c r="I5" s="200"/>
    </row>
    <row r="6" spans="1:9" ht="15.75">
      <c r="A6" s="2"/>
      <c r="B6" s="160"/>
      <c r="C6" s="160"/>
      <c r="D6" s="160"/>
      <c r="E6" s="160"/>
      <c r="F6" s="160"/>
      <c r="G6" s="160"/>
      <c r="H6" s="160"/>
      <c r="I6" s="30">
        <v>43982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79.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</row>
    <row r="9" spans="1:9" ht="15.75">
      <c r="A9" s="4"/>
    </row>
    <row r="10" spans="1:9" ht="65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</row>
    <row r="15" spans="1:9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</row>
    <row r="16" spans="1:9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18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100</v>
      </c>
      <c r="C19" s="72" t="s">
        <v>101</v>
      </c>
      <c r="D19" s="71" t="s">
        <v>175</v>
      </c>
      <c r="E19" s="73">
        <v>19.2</v>
      </c>
      <c r="F19" s="74">
        <f>SUM(E19/10)</f>
        <v>1.92</v>
      </c>
      <c r="G19" s="74">
        <v>223.17</v>
      </c>
      <c r="H19" s="78">
        <f t="shared" ref="H19:H26" si="1">SUM(F19*G19/1000)</f>
        <v>0.42848639999999993</v>
      </c>
      <c r="I19" s="13">
        <f>G19*1.92</f>
        <v>428.48639999999995</v>
      </c>
    </row>
    <row r="20" spans="1:9" hidden="1">
      <c r="A20" s="29">
        <v>5</v>
      </c>
      <c r="B20" s="71" t="s">
        <v>92</v>
      </c>
      <c r="C20" s="72" t="s">
        <v>93</v>
      </c>
      <c r="D20" s="71" t="s">
        <v>175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1"/>
        <v>0.15602495999999999</v>
      </c>
      <c r="I20" s="13">
        <f>F20/2*G20</f>
        <v>78.012479999999996</v>
      </c>
    </row>
    <row r="21" spans="1:9" hidden="1">
      <c r="A21" s="29">
        <v>6</v>
      </c>
      <c r="B21" s="71" t="s">
        <v>98</v>
      </c>
      <c r="C21" s="72" t="s">
        <v>93</v>
      </c>
      <c r="D21" s="71" t="s">
        <v>175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G21*0.0908</f>
        <v>25.736352</v>
      </c>
    </row>
    <row r="22" spans="1:9" hidden="1">
      <c r="A22" s="29">
        <v>7</v>
      </c>
      <c r="B22" s="71" t="s">
        <v>94</v>
      </c>
      <c r="C22" s="72" t="s">
        <v>53</v>
      </c>
      <c r="D22" s="71" t="s">
        <v>175</v>
      </c>
      <c r="E22" s="76">
        <v>30</v>
      </c>
      <c r="F22" s="74">
        <f>SUM(E22/100)</f>
        <v>0.3</v>
      </c>
      <c r="G22" s="74">
        <v>58.08</v>
      </c>
      <c r="H22" s="78">
        <f t="shared" si="1"/>
        <v>1.7423999999999999E-2</v>
      </c>
      <c r="I22" s="13">
        <f>G22*0.3</f>
        <v>17.423999999999999</v>
      </c>
    </row>
    <row r="23" spans="1:9" hidden="1">
      <c r="A23" s="29">
        <v>8</v>
      </c>
      <c r="B23" s="71" t="s">
        <v>95</v>
      </c>
      <c r="C23" s="72" t="s">
        <v>53</v>
      </c>
      <c r="D23" s="71" t="s">
        <v>175</v>
      </c>
      <c r="E23" s="73">
        <v>20</v>
      </c>
      <c r="F23" s="74">
        <f>SUM(E23/100)</f>
        <v>0.2</v>
      </c>
      <c r="G23" s="74">
        <v>511.12</v>
      </c>
      <c r="H23" s="78">
        <f t="shared" si="1"/>
        <v>0.10222400000000001</v>
      </c>
      <c r="I23" s="13">
        <f>G23*0.2</f>
        <v>102.224</v>
      </c>
    </row>
    <row r="24" spans="1:9" hidden="1">
      <c r="A24" s="29">
        <v>9</v>
      </c>
      <c r="B24" s="71" t="s">
        <v>96</v>
      </c>
      <c r="C24" s="72" t="s">
        <v>53</v>
      </c>
      <c r="D24" s="71" t="s">
        <v>175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1"/>
        <v>5.805925E-2</v>
      </c>
      <c r="I24" s="13">
        <f>G24*0.085</f>
        <v>58.059249999999999</v>
      </c>
    </row>
    <row r="25" spans="1:9" ht="30" hidden="1">
      <c r="A25" s="94">
        <v>10</v>
      </c>
      <c r="B25" s="83" t="s">
        <v>99</v>
      </c>
      <c r="C25" s="84" t="s">
        <v>53</v>
      </c>
      <c r="D25" s="83" t="s">
        <v>175</v>
      </c>
      <c r="E25" s="81">
        <v>20</v>
      </c>
      <c r="F25" s="85">
        <f>SUM(E25/100)</f>
        <v>0.2</v>
      </c>
      <c r="G25" s="85">
        <v>283.44</v>
      </c>
      <c r="H25" s="82">
        <f t="shared" si="1"/>
        <v>5.6688000000000002E-2</v>
      </c>
      <c r="I25" s="13">
        <f>G25*0.2</f>
        <v>56.688000000000002</v>
      </c>
    </row>
    <row r="26" spans="1:9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1"/>
        <v>20.6675802</v>
      </c>
      <c r="I26" s="13">
        <f>F26/12*G26</f>
        <v>1722.2983500000003</v>
      </c>
    </row>
    <row r="27" spans="1:9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</row>
    <row r="28" spans="1:9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>
      <c r="A29" s="29">
        <v>5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2">SUM(F29*G29/1000)</f>
        <v>3.3774305759999996</v>
      </c>
      <c r="I29" s="13">
        <f t="shared" ref="I29:I32" si="3">F29/6*G29</f>
        <v>562.90509599999996</v>
      </c>
    </row>
    <row r="30" spans="1:9" ht="45">
      <c r="A30" s="29">
        <v>6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</row>
    <row r="31" spans="1:9">
      <c r="A31" s="29">
        <v>7</v>
      </c>
      <c r="B31" s="71" t="s">
        <v>27</v>
      </c>
      <c r="C31" s="72" t="s">
        <v>104</v>
      </c>
      <c r="D31" s="71" t="s">
        <v>180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</row>
    <row r="32" spans="1:9">
      <c r="A32" s="29">
        <v>8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</row>
    <row r="33" spans="1:9" hidden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2"/>
        <v>0.50183999999999995</v>
      </c>
      <c r="I33" s="13">
        <v>0</v>
      </c>
    </row>
    <row r="34" spans="1:9" hidden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2"/>
        <v>1.49031</v>
      </c>
      <c r="I34" s="13"/>
    </row>
    <row r="35" spans="1:9" hidden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</row>
    <row r="36" spans="1:9" hidden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0" si="5">F36/6*G36</f>
        <v>1001.5</v>
      </c>
    </row>
    <row r="37" spans="1:9" hidden="1">
      <c r="A37" s="29">
        <v>7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</row>
    <row r="38" spans="1:9" hidden="1">
      <c r="A38" s="29">
        <v>8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</row>
    <row r="39" spans="1:9" hidden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</row>
    <row r="40" spans="1:9" ht="60" hidden="1">
      <c r="A40" s="29">
        <v>9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</row>
    <row r="41" spans="1:9" hidden="1">
      <c r="A41" s="94">
        <v>10</v>
      </c>
      <c r="B41" s="83" t="s">
        <v>106</v>
      </c>
      <c r="C41" s="84" t="s">
        <v>104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4"/>
        <v>2.2543413749999996</v>
      </c>
      <c r="I41" s="95">
        <f>(F41/7.5*1.5)*G41</f>
        <v>450.86827499999993</v>
      </c>
    </row>
    <row r="42" spans="1:9" hidden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4"/>
        <v>0.8773470000000001</v>
      </c>
      <c r="I42" s="95">
        <f>(F42/7.5*1.5)*G42</f>
        <v>175.46940000000004</v>
      </c>
    </row>
    <row r="43" spans="1:9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</row>
    <row r="44" spans="1:9">
      <c r="A44" s="29">
        <v>9</v>
      </c>
      <c r="B44" s="39" t="s">
        <v>107</v>
      </c>
      <c r="C44" s="40" t="s">
        <v>104</v>
      </c>
      <c r="D44" s="39" t="s">
        <v>175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6">SUM(F44*G44/1000)</f>
        <v>3.4679609999999998</v>
      </c>
      <c r="I44" s="13">
        <f>F44/2*G44</f>
        <v>1733.9804999999999</v>
      </c>
    </row>
    <row r="45" spans="1:9">
      <c r="A45" s="29">
        <v>10</v>
      </c>
      <c r="B45" s="39" t="s">
        <v>35</v>
      </c>
      <c r="C45" s="40" t="s">
        <v>104</v>
      </c>
      <c r="D45" s="39" t="s">
        <v>175</v>
      </c>
      <c r="E45" s="17">
        <v>53.75</v>
      </c>
      <c r="F45" s="36">
        <f>SUM(E45*2/1000)</f>
        <v>0.1075</v>
      </c>
      <c r="G45" s="36">
        <v>759.98</v>
      </c>
      <c r="H45" s="36">
        <f t="shared" si="6"/>
        <v>8.1697850000000002E-2</v>
      </c>
      <c r="I45" s="13">
        <f t="shared" ref="I45:I52" si="7">F45/2*G45</f>
        <v>40.848925000000001</v>
      </c>
    </row>
    <row r="46" spans="1:9">
      <c r="A46" s="29">
        <v>11</v>
      </c>
      <c r="B46" s="39" t="s">
        <v>36</v>
      </c>
      <c r="C46" s="40" t="s">
        <v>104</v>
      </c>
      <c r="D46" s="39" t="s">
        <v>175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6"/>
        <v>3.4740205760000005</v>
      </c>
      <c r="I46" s="13">
        <f t="shared" si="7"/>
        <v>1737.0102880000002</v>
      </c>
    </row>
    <row r="47" spans="1:9">
      <c r="A47" s="29">
        <v>12</v>
      </c>
      <c r="B47" s="39" t="s">
        <v>37</v>
      </c>
      <c r="C47" s="40" t="s">
        <v>104</v>
      </c>
      <c r="D47" s="39" t="s">
        <v>175</v>
      </c>
      <c r="E47" s="17">
        <v>1860</v>
      </c>
      <c r="F47" s="36">
        <f>SUM(E47*2/1000)</f>
        <v>3.72</v>
      </c>
      <c r="G47" s="36">
        <v>795.82</v>
      </c>
      <c r="H47" s="36">
        <f t="shared" si="6"/>
        <v>2.9604504</v>
      </c>
      <c r="I47" s="13">
        <f t="shared" si="7"/>
        <v>1480.2252000000001</v>
      </c>
    </row>
    <row r="48" spans="1:9">
      <c r="A48" s="29">
        <v>13</v>
      </c>
      <c r="B48" s="39" t="s">
        <v>33</v>
      </c>
      <c r="C48" s="40" t="s">
        <v>34</v>
      </c>
      <c r="D48" s="39" t="s">
        <v>175</v>
      </c>
      <c r="E48" s="17">
        <v>120.5</v>
      </c>
      <c r="F48" s="36">
        <f>SUM(E48*2/100)</f>
        <v>2.41</v>
      </c>
      <c r="G48" s="36">
        <v>95.49</v>
      </c>
      <c r="H48" s="36">
        <f t="shared" si="6"/>
        <v>0.2301309</v>
      </c>
      <c r="I48" s="13">
        <f t="shared" si="7"/>
        <v>115.06545</v>
      </c>
    </row>
    <row r="49" spans="1:9">
      <c r="A49" s="29">
        <v>14</v>
      </c>
      <c r="B49" s="39" t="s">
        <v>56</v>
      </c>
      <c r="C49" s="40" t="s">
        <v>104</v>
      </c>
      <c r="D49" s="39" t="s">
        <v>175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6"/>
        <v>24.298957199999997</v>
      </c>
      <c r="I49" s="13">
        <f>F49/5*G49</f>
        <v>4859.79144</v>
      </c>
    </row>
    <row r="50" spans="1:9" ht="45">
      <c r="A50" s="29">
        <v>15</v>
      </c>
      <c r="B50" s="39" t="s">
        <v>108</v>
      </c>
      <c r="C50" s="40" t="s">
        <v>104</v>
      </c>
      <c r="D50" s="39" t="s">
        <v>175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6"/>
        <v>9.7195828800000008</v>
      </c>
      <c r="I50" s="13">
        <f t="shared" si="7"/>
        <v>4859.79144</v>
      </c>
    </row>
    <row r="51" spans="1:9" ht="30">
      <c r="A51" s="29">
        <v>16</v>
      </c>
      <c r="B51" s="39" t="s">
        <v>124</v>
      </c>
      <c r="C51" s="40" t="s">
        <v>38</v>
      </c>
      <c r="D51" s="39" t="s">
        <v>175</v>
      </c>
      <c r="E51" s="17">
        <v>20</v>
      </c>
      <c r="F51" s="36">
        <f>SUM(E51*2/100)</f>
        <v>0.4</v>
      </c>
      <c r="G51" s="36">
        <v>3581.13</v>
      </c>
      <c r="H51" s="36">
        <f t="shared" si="6"/>
        <v>1.4324520000000003</v>
      </c>
      <c r="I51" s="13">
        <f t="shared" si="7"/>
        <v>716.22600000000011</v>
      </c>
    </row>
    <row r="52" spans="1:9">
      <c r="A52" s="29">
        <v>17</v>
      </c>
      <c r="B52" s="39" t="s">
        <v>39</v>
      </c>
      <c r="C52" s="40" t="s">
        <v>40</v>
      </c>
      <c r="D52" s="39" t="s">
        <v>175</v>
      </c>
      <c r="E52" s="17">
        <v>1</v>
      </c>
      <c r="F52" s="36">
        <v>0.02</v>
      </c>
      <c r="G52" s="36">
        <v>7412.92</v>
      </c>
      <c r="H52" s="36">
        <f t="shared" si="6"/>
        <v>0.14825839999999998</v>
      </c>
      <c r="I52" s="13">
        <f t="shared" si="7"/>
        <v>74.129199999999997</v>
      </c>
    </row>
    <row r="53" spans="1:9">
      <c r="A53" s="29">
        <v>18</v>
      </c>
      <c r="B53" s="39" t="s">
        <v>41</v>
      </c>
      <c r="C53" s="40" t="s">
        <v>89</v>
      </c>
      <c r="D53" s="173">
        <v>43966</v>
      </c>
      <c r="E53" s="17">
        <v>128</v>
      </c>
      <c r="F53" s="36">
        <f>SUM(E53)*3</f>
        <v>384</v>
      </c>
      <c r="G53" s="37">
        <v>86.15</v>
      </c>
      <c r="H53" s="36">
        <f t="shared" si="6"/>
        <v>33.081600000000009</v>
      </c>
      <c r="I53" s="13">
        <f>E53*G53</f>
        <v>11027.2</v>
      </c>
    </row>
    <row r="54" spans="1:9">
      <c r="A54" s="195" t="s">
        <v>130</v>
      </c>
      <c r="B54" s="196"/>
      <c r="C54" s="196"/>
      <c r="D54" s="196"/>
      <c r="E54" s="196"/>
      <c r="F54" s="196"/>
      <c r="G54" s="196"/>
      <c r="H54" s="196"/>
      <c r="I54" s="197"/>
    </row>
    <row r="55" spans="1:9" hidden="1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30" hidden="1">
      <c r="A56" s="29">
        <v>12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 hidden="1">
      <c r="A57" s="29">
        <v>13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</row>
    <row r="59" spans="1:9" hidden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>
      <c r="A60" s="29">
        <v>19</v>
      </c>
      <c r="B60" s="125" t="s">
        <v>90</v>
      </c>
      <c r="C60" s="126" t="s">
        <v>25</v>
      </c>
      <c r="D60" s="125" t="s">
        <v>180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</row>
    <row r="62" spans="1:9" ht="19.5" hidden="1" customHeight="1">
      <c r="A62" s="29">
        <v>27</v>
      </c>
      <c r="B62" s="56" t="s">
        <v>47</v>
      </c>
      <c r="C62" s="40" t="s">
        <v>89</v>
      </c>
      <c r="D62" s="39" t="s">
        <v>176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G62*2</f>
        <v>583.36</v>
      </c>
    </row>
    <row r="63" spans="1:9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</row>
    <row r="64" spans="1:9" hidden="1">
      <c r="A64" s="29">
        <v>28</v>
      </c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f>G64*155.52</f>
        <v>43271.884800000007</v>
      </c>
    </row>
    <row r="65" spans="1:9" hidden="1">
      <c r="A65" s="29">
        <v>29</v>
      </c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f>G65*15.552</f>
        <v>3369.8073600000002</v>
      </c>
    </row>
    <row r="66" spans="1:9" hidden="1">
      <c r="A66" s="29">
        <v>30</v>
      </c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f>24.32*G66</f>
        <v>66173.260800000004</v>
      </c>
    </row>
    <row r="67" spans="1:9" hidden="1">
      <c r="A67" s="29">
        <v>31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f>14.8*G67</f>
        <v>630.62800000000004</v>
      </c>
    </row>
    <row r="68" spans="1:9" ht="30" hidden="1">
      <c r="A68" s="29">
        <v>32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</row>
    <row r="70" spans="1:9">
      <c r="A70" s="29">
        <v>20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</row>
    <row r="71" spans="1:9" hidden="1">
      <c r="A71" s="29">
        <v>15</v>
      </c>
      <c r="B71" s="165" t="s">
        <v>46</v>
      </c>
      <c r="C71" s="45"/>
      <c r="D71" s="39"/>
      <c r="E71" s="17"/>
      <c r="F71" s="127"/>
      <c r="G71" s="36"/>
      <c r="H71" s="114"/>
      <c r="I71" s="13"/>
    </row>
    <row r="72" spans="1:9" ht="30" hidden="1">
      <c r="A72" s="29">
        <v>16</v>
      </c>
      <c r="B72" s="39" t="s">
        <v>148</v>
      </c>
      <c r="C72" s="45" t="s">
        <v>149</v>
      </c>
      <c r="D72" s="39" t="s">
        <v>161</v>
      </c>
      <c r="E72" s="17"/>
      <c r="F72" s="127"/>
      <c r="G72" s="36">
        <v>2.2799999999999998</v>
      </c>
      <c r="H72" s="114"/>
      <c r="I72" s="13">
        <f>36640.8/12*G72</f>
        <v>6961.7519999999995</v>
      </c>
    </row>
    <row r="73" spans="1:9">
      <c r="A73" s="29"/>
      <c r="B73" s="159" t="s">
        <v>74</v>
      </c>
      <c r="C73" s="16"/>
      <c r="D73" s="14"/>
      <c r="E73" s="18"/>
      <c r="F73" s="13"/>
      <c r="G73" s="13"/>
      <c r="H73" s="87" t="s">
        <v>123</v>
      </c>
      <c r="I73" s="79"/>
    </row>
    <row r="74" spans="1:9" hidden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4">
        <f t="shared" ref="H74:H75" si="9">SUM(F74*G74/1000)</f>
        <v>1.0291199999999998</v>
      </c>
      <c r="I74" s="13">
        <v>0</v>
      </c>
    </row>
    <row r="75" spans="1:9" hidden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4">
        <f t="shared" si="9"/>
        <v>0.73499999999999999</v>
      </c>
      <c r="I75" s="13">
        <v>0</v>
      </c>
    </row>
    <row r="76" spans="1:9" hidden="1">
      <c r="A76" s="29">
        <v>36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4">
        <f>SUM(F76*G76/1000)</f>
        <v>0.32893499999999998</v>
      </c>
      <c r="I76" s="13">
        <f>G76*0.2</f>
        <v>131.57400000000001</v>
      </c>
    </row>
    <row r="77" spans="1:9" hidden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4">
        <f>SUM(F77*G77/1000)</f>
        <v>1.1187199999999999</v>
      </c>
      <c r="I77" s="13">
        <v>0</v>
      </c>
    </row>
    <row r="78" spans="1:9" ht="30">
      <c r="A78" s="29">
        <v>21</v>
      </c>
      <c r="B78" s="115" t="s">
        <v>154</v>
      </c>
      <c r="C78" s="116" t="s">
        <v>89</v>
      </c>
      <c r="D78" s="39" t="s">
        <v>175</v>
      </c>
      <c r="E78" s="17">
        <v>2</v>
      </c>
      <c r="F78" s="33">
        <f>E78*12</f>
        <v>24</v>
      </c>
      <c r="G78" s="36">
        <v>53.42</v>
      </c>
      <c r="H78" s="114">
        <f t="shared" ref="H78:H79" si="10">SUM(F78*G78/1000)</f>
        <v>1.2820799999999999</v>
      </c>
      <c r="I78" s="13">
        <f>G78*2</f>
        <v>106.84</v>
      </c>
    </row>
    <row r="79" spans="1:9" ht="30">
      <c r="A79" s="29">
        <v>22</v>
      </c>
      <c r="B79" s="115" t="s">
        <v>155</v>
      </c>
      <c r="C79" s="116" t="s">
        <v>89</v>
      </c>
      <c r="D79" s="39" t="s">
        <v>175</v>
      </c>
      <c r="E79" s="17">
        <v>1</v>
      </c>
      <c r="F79" s="33">
        <f>E79*12</f>
        <v>12</v>
      </c>
      <c r="G79" s="36">
        <v>1194</v>
      </c>
      <c r="H79" s="114">
        <f t="shared" si="10"/>
        <v>14.327999999999999</v>
      </c>
      <c r="I79" s="13">
        <f>G79</f>
        <v>1194</v>
      </c>
    </row>
    <row r="80" spans="1:9" hidden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idden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28.5" hidden="1">
      <c r="A82" s="29"/>
      <c r="B82" s="159" t="s">
        <v>113</v>
      </c>
      <c r="C82" s="90"/>
      <c r="D82" s="31"/>
      <c r="E82" s="32"/>
      <c r="F82" s="91"/>
      <c r="G82" s="91"/>
      <c r="H82" s="92">
        <f>SUM(H56:H81)</f>
        <v>249.26712212000004</v>
      </c>
      <c r="I82" s="77"/>
    </row>
    <row r="83" spans="1:9">
      <c r="A83" s="195" t="s">
        <v>131</v>
      </c>
      <c r="B83" s="196"/>
      <c r="C83" s="196"/>
      <c r="D83" s="196"/>
      <c r="E83" s="196"/>
      <c r="F83" s="196"/>
      <c r="G83" s="196"/>
      <c r="H83" s="196"/>
      <c r="I83" s="197"/>
    </row>
    <row r="84" spans="1:9">
      <c r="A84" s="96">
        <v>23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0">
      <c r="A85" s="29">
        <v>24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I85+I84+I79+I78+I70+I60+I53+I52+I51+I50+I49+I48+I47+I46+I45+I44+I32+I31+I30+I29+I26+I18+I17+I16</f>
        <v>72778.381339666681</v>
      </c>
    </row>
    <row r="87" spans="1:9">
      <c r="A87" s="184" t="s">
        <v>60</v>
      </c>
      <c r="B87" s="185"/>
      <c r="C87" s="185"/>
      <c r="D87" s="185"/>
      <c r="E87" s="185"/>
      <c r="F87" s="185"/>
      <c r="G87" s="185"/>
      <c r="H87" s="185"/>
      <c r="I87" s="186"/>
    </row>
    <row r="88" spans="1:9">
      <c r="A88" s="46">
        <v>25</v>
      </c>
      <c r="B88" s="115" t="s">
        <v>159</v>
      </c>
      <c r="C88" s="116" t="s">
        <v>127</v>
      </c>
      <c r="D88" s="117" t="s">
        <v>260</v>
      </c>
      <c r="E88" s="36"/>
      <c r="F88" s="36">
        <v>13</v>
      </c>
      <c r="G88" s="36">
        <v>284</v>
      </c>
      <c r="H88" s="46"/>
      <c r="I88" s="178">
        <v>0</v>
      </c>
    </row>
    <row r="89" spans="1:9">
      <c r="A89" s="46">
        <v>26</v>
      </c>
      <c r="B89" s="115" t="s">
        <v>200</v>
      </c>
      <c r="C89" s="116" t="s">
        <v>40</v>
      </c>
      <c r="D89" s="117" t="s">
        <v>175</v>
      </c>
      <c r="E89" s="36"/>
      <c r="F89" s="36">
        <v>0.05</v>
      </c>
      <c r="G89" s="36">
        <v>27139.18</v>
      </c>
      <c r="H89" s="46"/>
      <c r="I89" s="178">
        <v>0</v>
      </c>
    </row>
    <row r="90" spans="1:9" ht="30">
      <c r="A90" s="29">
        <v>27</v>
      </c>
      <c r="B90" s="115" t="s">
        <v>217</v>
      </c>
      <c r="C90" s="116" t="s">
        <v>183</v>
      </c>
      <c r="D90" s="117" t="s">
        <v>218</v>
      </c>
      <c r="E90" s="36"/>
      <c r="F90" s="36">
        <v>1</v>
      </c>
      <c r="G90" s="36">
        <v>202.46</v>
      </c>
      <c r="H90" s="46"/>
      <c r="I90" s="178">
        <f>G90*1</f>
        <v>202.46</v>
      </c>
    </row>
    <row r="91" spans="1:9">
      <c r="A91" s="29"/>
      <c r="B91" s="50" t="s">
        <v>52</v>
      </c>
      <c r="C91" s="46"/>
      <c r="D91" s="54"/>
      <c r="E91" s="46">
        <v>1</v>
      </c>
      <c r="F91" s="46"/>
      <c r="G91" s="46"/>
      <c r="H91" s="46"/>
      <c r="I91" s="32">
        <f>SUM(I88:I90)</f>
        <v>202.46</v>
      </c>
    </row>
    <row r="92" spans="1:9">
      <c r="A92" s="29"/>
      <c r="B92" s="52" t="s">
        <v>80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5"/>
      <c r="B93" s="51" t="s">
        <v>141</v>
      </c>
      <c r="C93" s="35"/>
      <c r="D93" s="35"/>
      <c r="E93" s="35"/>
      <c r="F93" s="35"/>
      <c r="G93" s="35"/>
      <c r="H93" s="35"/>
      <c r="I93" s="49">
        <f>I86+I91</f>
        <v>72980.841339666687</v>
      </c>
    </row>
    <row r="94" spans="1:9" ht="15.75">
      <c r="A94" s="187" t="s">
        <v>261</v>
      </c>
      <c r="B94" s="187"/>
      <c r="C94" s="187"/>
      <c r="D94" s="187"/>
      <c r="E94" s="187"/>
      <c r="F94" s="187"/>
      <c r="G94" s="187"/>
      <c r="H94" s="187"/>
      <c r="I94" s="187"/>
    </row>
    <row r="95" spans="1:9" ht="15.75">
      <c r="A95" s="62"/>
      <c r="B95" s="188" t="s">
        <v>262</v>
      </c>
      <c r="C95" s="188"/>
      <c r="D95" s="188"/>
      <c r="E95" s="188"/>
      <c r="F95" s="188"/>
      <c r="G95" s="188"/>
      <c r="H95" s="70"/>
      <c r="I95" s="3"/>
    </row>
    <row r="96" spans="1:9">
      <c r="A96" s="161"/>
      <c r="B96" s="189" t="s">
        <v>6</v>
      </c>
      <c r="C96" s="189"/>
      <c r="D96" s="189"/>
      <c r="E96" s="189"/>
      <c r="F96" s="189"/>
      <c r="G96" s="189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90" t="s">
        <v>7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>
      <c r="A99" s="190" t="s">
        <v>8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>
      <c r="A100" s="191" t="s">
        <v>61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>
      <c r="A101" s="11"/>
    </row>
    <row r="102" spans="1:9" ht="15.75">
      <c r="A102" s="192" t="s">
        <v>9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>
      <c r="A103" s="4"/>
    </row>
    <row r="104" spans="1:9" ht="15.75">
      <c r="B104" s="163" t="s">
        <v>10</v>
      </c>
      <c r="C104" s="193" t="s">
        <v>88</v>
      </c>
      <c r="D104" s="193"/>
      <c r="E104" s="193"/>
      <c r="F104" s="68"/>
      <c r="I104" s="164"/>
    </row>
    <row r="105" spans="1:9">
      <c r="A105" s="161"/>
      <c r="C105" s="189" t="s">
        <v>11</v>
      </c>
      <c r="D105" s="189"/>
      <c r="E105" s="189"/>
      <c r="F105" s="24"/>
      <c r="I105" s="162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163" t="s">
        <v>13</v>
      </c>
      <c r="C107" s="194"/>
      <c r="D107" s="194"/>
      <c r="E107" s="194"/>
      <c r="F107" s="69"/>
      <c r="I107" s="164"/>
    </row>
    <row r="108" spans="1:9">
      <c r="A108" s="161"/>
      <c r="C108" s="183" t="s">
        <v>11</v>
      </c>
      <c r="D108" s="183"/>
      <c r="E108" s="183"/>
      <c r="F108" s="161"/>
      <c r="I108" s="162" t="s">
        <v>12</v>
      </c>
    </row>
    <row r="109" spans="1:9" ht="15.75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2.75" customHeight="1">
      <c r="A111" s="182" t="s">
        <v>16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42" customHeight="1">
      <c r="A112" s="182" t="s">
        <v>17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6" customHeight="1">
      <c r="A113" s="182" t="s">
        <v>21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.75">
      <c r="A114" s="182" t="s">
        <v>20</v>
      </c>
      <c r="B114" s="182"/>
      <c r="C114" s="182"/>
      <c r="D114" s="182"/>
      <c r="E114" s="182"/>
      <c r="F114" s="182"/>
      <c r="G114" s="182"/>
      <c r="H114" s="182"/>
      <c r="I114" s="182"/>
    </row>
  </sheetData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3:I43"/>
    <mergeCell ref="A54:I54"/>
    <mergeCell ref="A83:I83"/>
    <mergeCell ref="A87:I87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1"/>
  <sheetViews>
    <sheetView topLeftCell="A70" workbookViewId="0">
      <selection activeCell="K96" sqref="K96"/>
    </sheetView>
  </sheetViews>
  <sheetFormatPr defaultRowHeight="15"/>
  <cols>
    <col min="1" max="1" width="12.5703125" customWidth="1"/>
    <col min="2" max="2" width="46.140625" customWidth="1"/>
    <col min="3" max="3" width="17.85546875" customWidth="1"/>
    <col min="4" max="4" width="16.85546875" customWidth="1"/>
    <col min="5" max="5" width="0" hidden="1" customWidth="1"/>
    <col min="6" max="6" width="9" hidden="1" customWidth="1"/>
    <col min="7" max="7" width="16.42578125" customWidth="1"/>
    <col min="8" max="8" width="0" hidden="1" customWidth="1"/>
    <col min="9" max="9" width="18.28515625" customWidth="1"/>
  </cols>
  <sheetData>
    <row r="1" spans="1:9" ht="15.75">
      <c r="A1" s="27" t="s">
        <v>165</v>
      </c>
      <c r="I1" s="26"/>
    </row>
    <row r="2" spans="1:9" ht="15.75">
      <c r="A2" s="28" t="s">
        <v>62</v>
      </c>
    </row>
    <row r="3" spans="1:9" ht="15.75">
      <c r="A3" s="198" t="s">
        <v>164</v>
      </c>
      <c r="B3" s="198"/>
      <c r="C3" s="198"/>
      <c r="D3" s="198"/>
      <c r="E3" s="198"/>
      <c r="F3" s="198"/>
      <c r="G3" s="198"/>
      <c r="H3" s="198"/>
      <c r="I3" s="198"/>
    </row>
    <row r="4" spans="1:9" ht="34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9" ht="15.75">
      <c r="A5" s="198" t="s">
        <v>219</v>
      </c>
      <c r="B5" s="200"/>
      <c r="C5" s="200"/>
      <c r="D5" s="200"/>
      <c r="E5" s="200"/>
      <c r="F5" s="200"/>
      <c r="G5" s="200"/>
      <c r="H5" s="200"/>
      <c r="I5" s="200"/>
    </row>
    <row r="6" spans="1:9" ht="15.75">
      <c r="A6" s="2"/>
      <c r="B6" s="167"/>
      <c r="C6" s="167"/>
      <c r="D6" s="167"/>
      <c r="E6" s="167"/>
      <c r="F6" s="167"/>
      <c r="G6" s="167"/>
      <c r="H6" s="167"/>
      <c r="I6" s="30">
        <v>44012</v>
      </c>
    </row>
    <row r="7" spans="1:9" ht="15.75">
      <c r="B7" s="170"/>
      <c r="C7" s="170"/>
      <c r="D7" s="170"/>
      <c r="E7" s="3"/>
      <c r="F7" s="3"/>
      <c r="G7" s="3"/>
      <c r="H7" s="3"/>
    </row>
    <row r="8" spans="1:9" ht="102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</row>
    <row r="9" spans="1:9" ht="15.75">
      <c r="A9" s="4"/>
    </row>
    <row r="10" spans="1:9" ht="48.7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</row>
    <row r="11" spans="1:9" ht="15.75">
      <c r="A11" s="4"/>
    </row>
    <row r="12" spans="1:9" ht="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</row>
    <row r="15" spans="1:9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</row>
    <row r="16" spans="1:9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 ht="17.2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 ht="19.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>
      <c r="A19" s="29">
        <v>4</v>
      </c>
      <c r="B19" s="71" t="s">
        <v>100</v>
      </c>
      <c r="C19" s="72" t="s">
        <v>101</v>
      </c>
      <c r="D19" s="71" t="s">
        <v>220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f>G19*F19</f>
        <v>428.48639999999995</v>
      </c>
    </row>
    <row r="20" spans="1:9">
      <c r="A20" s="29">
        <v>5</v>
      </c>
      <c r="B20" s="71" t="s">
        <v>92</v>
      </c>
      <c r="C20" s="72" t="s">
        <v>93</v>
      </c>
      <c r="D20" s="71" t="s">
        <v>175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>
      <c r="A21" s="29">
        <v>6</v>
      </c>
      <c r="B21" s="71" t="s">
        <v>98</v>
      </c>
      <c r="C21" s="72" t="s">
        <v>93</v>
      </c>
      <c r="D21" s="71" t="s">
        <v>175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>
      <c r="A22" s="29">
        <v>7</v>
      </c>
      <c r="B22" s="71" t="s">
        <v>94</v>
      </c>
      <c r="C22" s="72" t="s">
        <v>53</v>
      </c>
      <c r="D22" s="71" t="s">
        <v>221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f>G22*F22</f>
        <v>17.423999999999999</v>
      </c>
    </row>
    <row r="23" spans="1:9">
      <c r="A23" s="29">
        <v>8</v>
      </c>
      <c r="B23" s="71" t="s">
        <v>95</v>
      </c>
      <c r="C23" s="72" t="s">
        <v>53</v>
      </c>
      <c r="D23" s="71" t="s">
        <v>222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f>G23*F23</f>
        <v>102.224</v>
      </c>
    </row>
    <row r="24" spans="1:9">
      <c r="A24" s="29">
        <v>9</v>
      </c>
      <c r="B24" s="71" t="s">
        <v>96</v>
      </c>
      <c r="C24" s="72" t="s">
        <v>53</v>
      </c>
      <c r="D24" s="71" t="s">
        <v>180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f>G24*F24</f>
        <v>58.059249999999999</v>
      </c>
    </row>
    <row r="25" spans="1:9" ht="30">
      <c r="A25" s="94">
        <v>10</v>
      </c>
      <c r="B25" s="83" t="s">
        <v>99</v>
      </c>
      <c r="C25" s="84" t="s">
        <v>53</v>
      </c>
      <c r="D25" s="83" t="s">
        <v>175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f>G25*F25</f>
        <v>56.688000000000002</v>
      </c>
    </row>
    <row r="26" spans="1:9" ht="14.25" customHeight="1">
      <c r="A26" s="29">
        <v>11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</row>
    <row r="28" spans="1:9" ht="19.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t="16.5" customHeight="1">
      <c r="A29" s="29">
        <v>12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</row>
    <row r="30" spans="1:9" ht="45.75" customHeight="1">
      <c r="A30" s="29">
        <v>13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15</v>
      </c>
      <c r="B31" s="71" t="s">
        <v>27</v>
      </c>
      <c r="C31" s="72" t="s">
        <v>104</v>
      </c>
      <c r="D31" s="71" t="s">
        <v>180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t="21" customHeight="1">
      <c r="A32" s="29">
        <v>14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t="21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</row>
    <row r="34" spans="1:9" ht="24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</row>
    <row r="35" spans="1:9" ht="29.2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</row>
    <row r="36" spans="1:9" ht="29.25" hidden="1" customHeight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0" si="4">F36/6*G36</f>
        <v>1001.5</v>
      </c>
    </row>
    <row r="37" spans="1:9" ht="22.5" hidden="1" customHeight="1">
      <c r="A37" s="29">
        <v>7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</row>
    <row r="38" spans="1:9" ht="24" hidden="1" customHeight="1">
      <c r="A38" s="29">
        <v>8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</row>
    <row r="39" spans="1:9" ht="20.2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</row>
    <row r="40" spans="1:9" ht="20.25" hidden="1" customHeight="1">
      <c r="A40" s="29">
        <v>9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</row>
    <row r="41" spans="1:9" ht="16.5" hidden="1" customHeight="1">
      <c r="A41" s="94">
        <v>10</v>
      </c>
      <c r="B41" s="83" t="s">
        <v>106</v>
      </c>
      <c r="C41" s="84" t="s">
        <v>104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3"/>
        <v>2.2543413749999996</v>
      </c>
      <c r="I41" s="95">
        <f>(F41/7.5*1.5)*G41</f>
        <v>450.86827499999993</v>
      </c>
    </row>
    <row r="42" spans="1:9" ht="15.75" hidden="1" customHeight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3"/>
        <v>0.8773470000000001</v>
      </c>
      <c r="I42" s="95">
        <f>(F42/7.5*1.5)*G42</f>
        <v>175.46940000000004</v>
      </c>
    </row>
    <row r="43" spans="1:9" ht="19.5" hidden="1" customHeight="1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</row>
    <row r="44" spans="1:9" ht="20.25" hidden="1" customHeight="1">
      <c r="A44" s="29">
        <v>18</v>
      </c>
      <c r="B44" s="39" t="s">
        <v>107</v>
      </c>
      <c r="C44" s="40" t="s">
        <v>104</v>
      </c>
      <c r="D44" s="39" t="s">
        <v>42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5">SUM(F44*G44/1000)</f>
        <v>3.4679609999999998</v>
      </c>
      <c r="I44" s="13">
        <f>F44/2*G44</f>
        <v>1733.9804999999999</v>
      </c>
    </row>
    <row r="45" spans="1:9" ht="17.25" hidden="1" customHeight="1">
      <c r="A45" s="29">
        <v>19</v>
      </c>
      <c r="B45" s="39" t="s">
        <v>35</v>
      </c>
      <c r="C45" s="40" t="s">
        <v>104</v>
      </c>
      <c r="D45" s="39" t="s">
        <v>42</v>
      </c>
      <c r="E45" s="17">
        <v>53.75</v>
      </c>
      <c r="F45" s="36">
        <f>SUM(E45*2/1000)</f>
        <v>0.1075</v>
      </c>
      <c r="G45" s="36">
        <v>759.98</v>
      </c>
      <c r="H45" s="36">
        <f t="shared" si="5"/>
        <v>8.1697850000000002E-2</v>
      </c>
      <c r="I45" s="13">
        <f t="shared" ref="I45:I52" si="6">F45/2*G45</f>
        <v>40.848925000000001</v>
      </c>
    </row>
    <row r="46" spans="1:9" ht="20.25" hidden="1" customHeight="1">
      <c r="A46" s="29">
        <v>20</v>
      </c>
      <c r="B46" s="39" t="s">
        <v>36</v>
      </c>
      <c r="C46" s="40" t="s">
        <v>104</v>
      </c>
      <c r="D46" s="39" t="s">
        <v>42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5"/>
        <v>3.4740205760000005</v>
      </c>
      <c r="I46" s="13">
        <f t="shared" si="6"/>
        <v>1737.0102880000002</v>
      </c>
    </row>
    <row r="47" spans="1:9" ht="19.5" hidden="1" customHeight="1">
      <c r="A47" s="29">
        <v>21</v>
      </c>
      <c r="B47" s="39" t="s">
        <v>37</v>
      </c>
      <c r="C47" s="40" t="s">
        <v>104</v>
      </c>
      <c r="D47" s="39" t="s">
        <v>42</v>
      </c>
      <c r="E47" s="17">
        <v>1860</v>
      </c>
      <c r="F47" s="36">
        <f>SUM(E47*2/1000)</f>
        <v>3.72</v>
      </c>
      <c r="G47" s="36">
        <v>795.82</v>
      </c>
      <c r="H47" s="36">
        <f t="shared" si="5"/>
        <v>2.9604504</v>
      </c>
      <c r="I47" s="13">
        <f t="shared" si="6"/>
        <v>1480.2252000000001</v>
      </c>
    </row>
    <row r="48" spans="1:9" ht="18.75" hidden="1" customHeight="1">
      <c r="A48" s="29">
        <v>22</v>
      </c>
      <c r="B48" s="39" t="s">
        <v>33</v>
      </c>
      <c r="C48" s="40" t="s">
        <v>34</v>
      </c>
      <c r="D48" s="39" t="s">
        <v>42</v>
      </c>
      <c r="E48" s="17">
        <v>120.5</v>
      </c>
      <c r="F48" s="36">
        <f>SUM(E48*2/100)</f>
        <v>2.41</v>
      </c>
      <c r="G48" s="36">
        <v>95.49</v>
      </c>
      <c r="H48" s="36">
        <f t="shared" si="5"/>
        <v>0.2301309</v>
      </c>
      <c r="I48" s="13">
        <f t="shared" si="6"/>
        <v>115.06545</v>
      </c>
    </row>
    <row r="49" spans="1:9" ht="19.5" hidden="1" customHeight="1">
      <c r="A49" s="29">
        <v>23</v>
      </c>
      <c r="B49" s="39" t="s">
        <v>56</v>
      </c>
      <c r="C49" s="40" t="s">
        <v>104</v>
      </c>
      <c r="D49" s="39" t="s">
        <v>132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5"/>
        <v>24.298957199999997</v>
      </c>
      <c r="I49" s="13">
        <f>F49/5*G49</f>
        <v>4859.79144</v>
      </c>
    </row>
    <row r="50" spans="1:9" ht="20.25" hidden="1" customHeight="1">
      <c r="A50" s="29">
        <v>24</v>
      </c>
      <c r="B50" s="39" t="s">
        <v>108</v>
      </c>
      <c r="C50" s="40" t="s">
        <v>104</v>
      </c>
      <c r="D50" s="39" t="s">
        <v>42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5"/>
        <v>9.7195828800000008</v>
      </c>
      <c r="I50" s="13">
        <f t="shared" si="6"/>
        <v>4859.79144</v>
      </c>
    </row>
    <row r="51" spans="1:9" ht="21" hidden="1" customHeight="1">
      <c r="A51" s="29">
        <v>25</v>
      </c>
      <c r="B51" s="39" t="s">
        <v>124</v>
      </c>
      <c r="C51" s="40" t="s">
        <v>38</v>
      </c>
      <c r="D51" s="39" t="s">
        <v>42</v>
      </c>
      <c r="E51" s="17">
        <v>20</v>
      </c>
      <c r="F51" s="36">
        <f>SUM(E51*2/100)</f>
        <v>0.4</v>
      </c>
      <c r="G51" s="36">
        <v>3581.13</v>
      </c>
      <c r="H51" s="36">
        <f t="shared" si="5"/>
        <v>1.4324520000000003</v>
      </c>
      <c r="I51" s="13">
        <f t="shared" si="6"/>
        <v>716.22600000000011</v>
      </c>
    </row>
    <row r="52" spans="1:9" ht="24" hidden="1" customHeight="1">
      <c r="A52" s="29">
        <v>26</v>
      </c>
      <c r="B52" s="39" t="s">
        <v>39</v>
      </c>
      <c r="C52" s="40" t="s">
        <v>40</v>
      </c>
      <c r="D52" s="39" t="s">
        <v>42</v>
      </c>
      <c r="E52" s="17">
        <v>1</v>
      </c>
      <c r="F52" s="36">
        <v>0.02</v>
      </c>
      <c r="G52" s="36">
        <v>7412.92</v>
      </c>
      <c r="H52" s="36">
        <f t="shared" si="5"/>
        <v>0.14825839999999998</v>
      </c>
      <c r="I52" s="13">
        <f t="shared" si="6"/>
        <v>74.129199999999997</v>
      </c>
    </row>
    <row r="53" spans="1:9" ht="17.25" hidden="1" customHeight="1">
      <c r="A53" s="29">
        <v>27</v>
      </c>
      <c r="B53" s="39" t="s">
        <v>41</v>
      </c>
      <c r="C53" s="40" t="s">
        <v>89</v>
      </c>
      <c r="D53" s="39" t="s">
        <v>71</v>
      </c>
      <c r="E53" s="17">
        <v>128</v>
      </c>
      <c r="F53" s="36">
        <f>SUM(E53)*3</f>
        <v>384</v>
      </c>
      <c r="G53" s="37">
        <v>86.15</v>
      </c>
      <c r="H53" s="36">
        <f t="shared" si="5"/>
        <v>33.081600000000009</v>
      </c>
      <c r="I53" s="13">
        <f>E53*G53</f>
        <v>11027.2</v>
      </c>
    </row>
    <row r="54" spans="1:9">
      <c r="A54" s="195" t="s">
        <v>134</v>
      </c>
      <c r="B54" s="196"/>
      <c r="C54" s="196"/>
      <c r="D54" s="196"/>
      <c r="E54" s="196"/>
      <c r="F54" s="196"/>
      <c r="G54" s="196"/>
      <c r="H54" s="196"/>
      <c r="I54" s="197"/>
    </row>
    <row r="55" spans="1:9" hidden="1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45" hidden="1">
      <c r="A56" s="29">
        <v>12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 ht="30" hidden="1">
      <c r="A57" s="29">
        <v>13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 ht="16.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</row>
    <row r="59" spans="1:9" hidden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 ht="21.75" customHeight="1">
      <c r="A60" s="29">
        <v>15</v>
      </c>
      <c r="B60" s="125" t="s">
        <v>90</v>
      </c>
      <c r="C60" s="126" t="s">
        <v>25</v>
      </c>
      <c r="D60" s="125" t="s">
        <v>180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 ht="18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</row>
    <row r="62" spans="1:9" ht="16.5" customHeight="1">
      <c r="A62" s="29">
        <v>16</v>
      </c>
      <c r="B62" s="56" t="s">
        <v>47</v>
      </c>
      <c r="C62" s="40" t="s">
        <v>89</v>
      </c>
      <c r="D62" s="39" t="s">
        <v>176</v>
      </c>
      <c r="E62" s="17">
        <v>6</v>
      </c>
      <c r="F62" s="33">
        <f>SUM(E62)</f>
        <v>6</v>
      </c>
      <c r="G62" s="36">
        <v>291.68</v>
      </c>
      <c r="H62" s="114">
        <f t="shared" ref="H62:H71" si="7">SUM(F62*G62/1000)</f>
        <v>1.7500799999999999</v>
      </c>
      <c r="I62" s="13">
        <f>G62*2</f>
        <v>583.36</v>
      </c>
    </row>
    <row r="63" spans="1:9" ht="16.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</row>
    <row r="64" spans="1:9">
      <c r="A64" s="29">
        <v>17</v>
      </c>
      <c r="B64" s="56" t="s">
        <v>49</v>
      </c>
      <c r="C64" s="42" t="s">
        <v>111</v>
      </c>
      <c r="D64" s="39"/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f>G64*155.52</f>
        <v>43271.884800000007</v>
      </c>
    </row>
    <row r="65" spans="1:9">
      <c r="A65" s="29">
        <v>18</v>
      </c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f>G65*15.552</f>
        <v>3369.8073600000002</v>
      </c>
    </row>
    <row r="66" spans="1:9">
      <c r="A66" s="29">
        <v>19</v>
      </c>
      <c r="B66" s="56" t="s">
        <v>51</v>
      </c>
      <c r="C66" s="40" t="s">
        <v>78</v>
      </c>
      <c r="D66" s="39"/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f>24.32*G66</f>
        <v>66173.260800000004</v>
      </c>
    </row>
    <row r="67" spans="1:9">
      <c r="A67" s="29">
        <v>20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f>14.8*G67</f>
        <v>630.62800000000004</v>
      </c>
    </row>
    <row r="68" spans="1:9" ht="30">
      <c r="A68" s="29">
        <v>21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</row>
    <row r="70" spans="1:9">
      <c r="A70" s="29"/>
      <c r="B70" s="179" t="s">
        <v>224</v>
      </c>
      <c r="C70" s="40"/>
      <c r="D70" s="39"/>
      <c r="E70" s="17"/>
      <c r="F70" s="33"/>
      <c r="G70" s="36"/>
      <c r="H70" s="114"/>
      <c r="I70" s="13"/>
    </row>
    <row r="71" spans="1:9" ht="20.25" customHeight="1">
      <c r="A71" s="29">
        <v>22</v>
      </c>
      <c r="B71" s="39" t="s">
        <v>148</v>
      </c>
      <c r="C71" s="45" t="s">
        <v>149</v>
      </c>
      <c r="D71" s="39"/>
      <c r="E71" s="17">
        <f>E49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</row>
    <row r="72" spans="1:9" ht="22.5" customHeight="1">
      <c r="A72" s="29"/>
      <c r="B72" s="166" t="s">
        <v>74</v>
      </c>
      <c r="C72" s="16"/>
      <c r="D72" s="14"/>
      <c r="E72" s="18"/>
      <c r="F72" s="13"/>
      <c r="G72" s="13"/>
      <c r="H72" s="87" t="s">
        <v>123</v>
      </c>
      <c r="I72" s="79"/>
    </row>
    <row r="73" spans="1:9" ht="30" hidden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4">
        <f t="shared" ref="H73:H74" si="8">SUM(F73*G73/1000)</f>
        <v>1.0291199999999998</v>
      </c>
      <c r="I73" s="13">
        <v>0</v>
      </c>
    </row>
    <row r="74" spans="1:9" hidden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4">
        <f t="shared" si="8"/>
        <v>0.73499999999999999</v>
      </c>
      <c r="I74" s="13">
        <v>0</v>
      </c>
    </row>
    <row r="75" spans="1:9" ht="30" hidden="1">
      <c r="A75" s="29">
        <v>36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4">
        <f>SUM(F75*G75/1000)</f>
        <v>0.32893499999999998</v>
      </c>
      <c r="I75" s="13">
        <f>G75*0.2</f>
        <v>131.57400000000001</v>
      </c>
    </row>
    <row r="76" spans="1:9" ht="30" hidden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4">
        <f>SUM(F76*G76/1000)</f>
        <v>1.1187199999999999</v>
      </c>
      <c r="I76" s="13">
        <v>0</v>
      </c>
    </row>
    <row r="77" spans="1:9" ht="30.75" customHeight="1">
      <c r="A77" s="29">
        <v>23</v>
      </c>
      <c r="B77" s="115" t="s">
        <v>154</v>
      </c>
      <c r="C77" s="116" t="s">
        <v>89</v>
      </c>
      <c r="D77" s="39" t="s">
        <v>175</v>
      </c>
      <c r="E77" s="17">
        <v>2</v>
      </c>
      <c r="F77" s="33">
        <f>E77*12</f>
        <v>24</v>
      </c>
      <c r="G77" s="36">
        <v>53.42</v>
      </c>
      <c r="H77" s="114">
        <f t="shared" ref="H77:H78" si="9">SUM(F77*G77/1000)</f>
        <v>1.2820799999999999</v>
      </c>
      <c r="I77" s="13">
        <f>G77*2</f>
        <v>106.84</v>
      </c>
    </row>
    <row r="78" spans="1:9" ht="30.75" customHeight="1">
      <c r="A78" s="29">
        <v>24</v>
      </c>
      <c r="B78" s="115" t="s">
        <v>155</v>
      </c>
      <c r="C78" s="116" t="s">
        <v>89</v>
      </c>
      <c r="D78" s="39" t="s">
        <v>180</v>
      </c>
      <c r="E78" s="17">
        <v>1</v>
      </c>
      <c r="F78" s="33">
        <f>E78*12</f>
        <v>12</v>
      </c>
      <c r="G78" s="36">
        <v>1194</v>
      </c>
      <c r="H78" s="114">
        <f t="shared" si="9"/>
        <v>14.327999999999999</v>
      </c>
      <c r="I78" s="13">
        <f>G78</f>
        <v>1194</v>
      </c>
    </row>
    <row r="79" spans="1:9" hidden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9" hidden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28.5" hidden="1">
      <c r="A81" s="29"/>
      <c r="B81" s="166" t="s">
        <v>113</v>
      </c>
      <c r="C81" s="90"/>
      <c r="D81" s="31"/>
      <c r="E81" s="32"/>
      <c r="F81" s="91"/>
      <c r="G81" s="91"/>
      <c r="H81" s="92">
        <f>SUM(H56:H80)</f>
        <v>249.26712212000004</v>
      </c>
      <c r="I81" s="77"/>
    </row>
    <row r="82" spans="1:9">
      <c r="A82" s="195" t="s">
        <v>135</v>
      </c>
      <c r="B82" s="196"/>
      <c r="C82" s="196"/>
      <c r="D82" s="196"/>
      <c r="E82" s="196"/>
      <c r="F82" s="196"/>
      <c r="G82" s="196"/>
      <c r="H82" s="196"/>
      <c r="I82" s="197"/>
    </row>
    <row r="83" spans="1:9" ht="19.5" customHeight="1">
      <c r="A83" s="96">
        <v>25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41.25" customHeight="1">
      <c r="A84" s="29">
        <v>26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I84+I83+I78+I77+I71+I68+I67+I66+I65+I64+I62+I60+I32+I30+I29+I26+I25+I24+I23+I22+I21+I20+I19+I18+I17+I16</f>
        <v>160352.59356766666</v>
      </c>
    </row>
    <row r="86" spans="1:9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 ht="18" customHeight="1">
      <c r="A87" s="29">
        <v>27</v>
      </c>
      <c r="B87" s="115" t="s">
        <v>200</v>
      </c>
      <c r="C87" s="116" t="s">
        <v>40</v>
      </c>
      <c r="D87" s="117" t="s">
        <v>175</v>
      </c>
      <c r="E87" s="36"/>
      <c r="F87" s="36">
        <v>0.06</v>
      </c>
      <c r="G87" s="36">
        <v>27139.18</v>
      </c>
      <c r="H87" s="89">
        <f t="shared" ref="H87" si="11">G87*F87/1000</f>
        <v>1.6283508</v>
      </c>
      <c r="I87" s="13">
        <v>0</v>
      </c>
    </row>
    <row r="88" spans="1:9" ht="16.5" customHeight="1">
      <c r="A88" s="29"/>
      <c r="B88" s="50" t="s">
        <v>52</v>
      </c>
      <c r="C88" s="46"/>
      <c r="D88" s="54"/>
      <c r="E88" s="46">
        <v>1</v>
      </c>
      <c r="F88" s="46"/>
      <c r="G88" s="46"/>
      <c r="H88" s="46"/>
      <c r="I88" s="32">
        <f>I87</f>
        <v>0</v>
      </c>
    </row>
    <row r="89" spans="1:9">
      <c r="A89" s="29"/>
      <c r="B89" s="52" t="s">
        <v>80</v>
      </c>
      <c r="C89" s="15"/>
      <c r="D89" s="15"/>
      <c r="E89" s="47"/>
      <c r="F89" s="47"/>
      <c r="G89" s="48"/>
      <c r="H89" s="48"/>
      <c r="I89" s="17">
        <v>0</v>
      </c>
    </row>
    <row r="90" spans="1:9">
      <c r="A90" s="55"/>
      <c r="B90" s="51" t="s">
        <v>141</v>
      </c>
      <c r="C90" s="35"/>
      <c r="D90" s="35"/>
      <c r="E90" s="35"/>
      <c r="F90" s="35"/>
      <c r="G90" s="35"/>
      <c r="H90" s="35"/>
      <c r="I90" s="49">
        <f>I85+I88</f>
        <v>160352.59356766666</v>
      </c>
    </row>
    <row r="91" spans="1:9" ht="15.75">
      <c r="A91" s="187" t="s">
        <v>263</v>
      </c>
      <c r="B91" s="187"/>
      <c r="C91" s="187"/>
      <c r="D91" s="187"/>
      <c r="E91" s="187"/>
      <c r="F91" s="187"/>
      <c r="G91" s="187"/>
      <c r="H91" s="187"/>
      <c r="I91" s="187"/>
    </row>
    <row r="92" spans="1:9" ht="15.75">
      <c r="A92" s="62"/>
      <c r="B92" s="188" t="s">
        <v>264</v>
      </c>
      <c r="C92" s="188"/>
      <c r="D92" s="188"/>
      <c r="E92" s="188"/>
      <c r="F92" s="188"/>
      <c r="G92" s="188"/>
      <c r="H92" s="70"/>
      <c r="I92" s="3"/>
    </row>
    <row r="93" spans="1:9">
      <c r="A93" s="168"/>
      <c r="B93" s="189" t="s">
        <v>6</v>
      </c>
      <c r="C93" s="189"/>
      <c r="D93" s="189"/>
      <c r="E93" s="189"/>
      <c r="F93" s="189"/>
      <c r="G93" s="189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90" t="s">
        <v>7</v>
      </c>
      <c r="B95" s="190"/>
      <c r="C95" s="190"/>
      <c r="D95" s="190"/>
      <c r="E95" s="190"/>
      <c r="F95" s="190"/>
      <c r="G95" s="190"/>
      <c r="H95" s="190"/>
      <c r="I95" s="190"/>
    </row>
    <row r="96" spans="1:9" ht="15.75">
      <c r="A96" s="190" t="s">
        <v>8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>
      <c r="A97" s="191" t="s">
        <v>61</v>
      </c>
      <c r="B97" s="191"/>
      <c r="C97" s="191"/>
      <c r="D97" s="191"/>
      <c r="E97" s="191"/>
      <c r="F97" s="191"/>
      <c r="G97" s="191"/>
      <c r="H97" s="191"/>
      <c r="I97" s="191"/>
    </row>
    <row r="98" spans="1:9" ht="15.75">
      <c r="A98" s="11"/>
    </row>
    <row r="99" spans="1:9" ht="15.75">
      <c r="A99" s="192" t="s">
        <v>9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>
      <c r="A100" s="4"/>
    </row>
    <row r="101" spans="1:9" ht="15.75">
      <c r="B101" s="170" t="s">
        <v>10</v>
      </c>
      <c r="C101" s="193" t="s">
        <v>88</v>
      </c>
      <c r="D101" s="193"/>
      <c r="E101" s="193"/>
      <c r="F101" s="68"/>
      <c r="I101" s="171"/>
    </row>
    <row r="102" spans="1:9">
      <c r="A102" s="168"/>
      <c r="C102" s="189" t="s">
        <v>11</v>
      </c>
      <c r="D102" s="189"/>
      <c r="E102" s="189"/>
      <c r="F102" s="24"/>
      <c r="I102" s="169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170" t="s">
        <v>13</v>
      </c>
      <c r="C104" s="194"/>
      <c r="D104" s="194"/>
      <c r="E104" s="194"/>
      <c r="F104" s="69"/>
      <c r="I104" s="171"/>
    </row>
    <row r="105" spans="1:9">
      <c r="A105" s="168"/>
      <c r="C105" s="183" t="s">
        <v>11</v>
      </c>
      <c r="D105" s="183"/>
      <c r="E105" s="183"/>
      <c r="F105" s="168"/>
      <c r="I105" s="169" t="s">
        <v>12</v>
      </c>
    </row>
    <row r="106" spans="1:9" ht="15.75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15.75">
      <c r="A108" s="182" t="s">
        <v>16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>
      <c r="A109" s="182" t="s">
        <v>17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5.75">
      <c r="A110" s="182" t="s">
        <v>21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182" t="s">
        <v>20</v>
      </c>
      <c r="B111" s="182"/>
      <c r="C111" s="182"/>
      <c r="D111" s="182"/>
      <c r="E111" s="182"/>
      <c r="F111" s="182"/>
      <c r="G111" s="182"/>
      <c r="H111" s="182"/>
      <c r="I111" s="182"/>
    </row>
  </sheetData>
  <mergeCells count="28">
    <mergeCell ref="A107:I107"/>
    <mergeCell ref="A108:I108"/>
    <mergeCell ref="A109:I109"/>
    <mergeCell ref="A110:I110"/>
    <mergeCell ref="A111:I111"/>
    <mergeCell ref="C105:E10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6:I86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2:I82"/>
  </mergeCells>
  <pageMargins left="0.7" right="0.7" top="0.75" bottom="0.75" header="0.3" footer="0.3"/>
  <pageSetup paperSize="9" scale="6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85" zoomScale="60" workbookViewId="0">
      <selection activeCell="D26" sqref="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4257812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136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225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44043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180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hidden="1" customHeight="1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  <c r="J43" s="23"/>
      <c r="L43" s="19"/>
      <c r="M43" s="20"/>
      <c r="N43" s="21"/>
    </row>
    <row r="44" spans="1:14" ht="15.75" hidden="1" customHeight="1">
      <c r="A44" s="96"/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hidden="1" customHeight="1">
      <c r="A53" s="29">
        <v>16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5" t="s">
        <v>134</v>
      </c>
      <c r="B54" s="206"/>
      <c r="C54" s="206"/>
      <c r="D54" s="206"/>
      <c r="E54" s="206"/>
      <c r="F54" s="206"/>
      <c r="G54" s="206"/>
      <c r="H54" s="206"/>
      <c r="I54" s="207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8</v>
      </c>
      <c r="B57" s="71" t="s">
        <v>125</v>
      </c>
      <c r="C57" s="72" t="s">
        <v>126</v>
      </c>
      <c r="D57" s="14"/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8</v>
      </c>
      <c r="B60" s="125" t="s">
        <v>90</v>
      </c>
      <c r="C60" s="126" t="s">
        <v>25</v>
      </c>
      <c r="D60" s="125" t="s">
        <v>180</v>
      </c>
      <c r="E60" s="123">
        <v>200</v>
      </c>
      <c r="F60" s="33">
        <f>E60*12</f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customHeight="1">
      <c r="A62" s="29">
        <v>9</v>
      </c>
      <c r="B62" s="56" t="s">
        <v>47</v>
      </c>
      <c r="C62" s="40" t="s">
        <v>89</v>
      </c>
      <c r="D62" s="39" t="s">
        <v>178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G62*6</f>
        <v>1750.08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83"/>
      <c r="S69" s="183"/>
      <c r="T69" s="183"/>
      <c r="U69" s="183"/>
    </row>
    <row r="70" spans="1:22" ht="15.75" customHeight="1">
      <c r="A70" s="29">
        <v>10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11</v>
      </c>
      <c r="B72" s="39" t="s">
        <v>150</v>
      </c>
      <c r="C72" s="40" t="s">
        <v>151</v>
      </c>
      <c r="D72" s="39" t="s">
        <v>231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f>G72*1</f>
        <v>1029.1199999999999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5" hidden="1" customHeight="1">
      <c r="A74" s="29">
        <v>13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G74*0.4</f>
        <v>263.14800000000002</v>
      </c>
    </row>
    <row r="75" spans="1:22" ht="14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12</v>
      </c>
      <c r="B76" s="115" t="s">
        <v>154</v>
      </c>
      <c r="C76" s="116" t="s">
        <v>89</v>
      </c>
      <c r="D76" s="39" t="s">
        <v>175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13</v>
      </c>
      <c r="B77" s="115" t="s">
        <v>155</v>
      </c>
      <c r="C77" s="116" t="s">
        <v>89</v>
      </c>
      <c r="D77" s="39" t="s">
        <v>180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5" t="s">
        <v>135</v>
      </c>
      <c r="B82" s="196"/>
      <c r="C82" s="196"/>
      <c r="D82" s="196"/>
      <c r="E82" s="196"/>
      <c r="F82" s="196"/>
      <c r="G82" s="196"/>
      <c r="H82" s="196"/>
      <c r="I82" s="197"/>
    </row>
    <row r="83" spans="1:9" ht="15.75" customHeight="1">
      <c r="A83" s="96">
        <v>14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15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I84+I83+I77+I76+I70+I62+I60+I32+I30+I29+I26+I18+I17+I16+I72</f>
        <v>47654.830125666667</v>
      </c>
    </row>
    <row r="86" spans="1:9" ht="15.75" customHeight="1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 ht="36" customHeight="1">
      <c r="A87" s="29">
        <v>16</v>
      </c>
      <c r="B87" s="115" t="s">
        <v>226</v>
      </c>
      <c r="C87" s="116" t="s">
        <v>97</v>
      </c>
      <c r="D87" s="117" t="s">
        <v>228</v>
      </c>
      <c r="E87" s="36"/>
      <c r="F87" s="36">
        <v>1</v>
      </c>
      <c r="G87" s="36">
        <v>587.65</v>
      </c>
      <c r="H87" s="114">
        <f>F87*G87/1000</f>
        <v>0.58765000000000001</v>
      </c>
      <c r="I87" s="13">
        <f>G87*1</f>
        <v>587.65</v>
      </c>
    </row>
    <row r="88" spans="1:9" ht="15.75" customHeight="1">
      <c r="A88" s="29">
        <v>17</v>
      </c>
      <c r="B88" s="115" t="s">
        <v>82</v>
      </c>
      <c r="C88" s="116" t="s">
        <v>89</v>
      </c>
      <c r="D88" s="117"/>
      <c r="E88" s="36"/>
      <c r="F88" s="36">
        <v>5</v>
      </c>
      <c r="G88" s="36">
        <v>215.85</v>
      </c>
      <c r="H88" s="114">
        <f t="shared" ref="H88:H89" si="11">F88*G88/1000</f>
        <v>1.07925</v>
      </c>
      <c r="I88" s="13">
        <f>G88*3</f>
        <v>647.54999999999995</v>
      </c>
    </row>
    <row r="89" spans="1:9" ht="17.25" customHeight="1">
      <c r="A89" s="29">
        <v>18</v>
      </c>
      <c r="B89" s="115" t="s">
        <v>200</v>
      </c>
      <c r="C89" s="116" t="s">
        <v>40</v>
      </c>
      <c r="D89" s="117" t="s">
        <v>175</v>
      </c>
      <c r="E89" s="36"/>
      <c r="F89" s="36">
        <v>7.0000000000000007E-2</v>
      </c>
      <c r="G89" s="36">
        <v>27139.18</v>
      </c>
      <c r="H89" s="114">
        <f t="shared" si="11"/>
        <v>1.8997426000000002</v>
      </c>
      <c r="I89" s="13">
        <v>0</v>
      </c>
    </row>
    <row r="90" spans="1:9" ht="33.75" customHeight="1">
      <c r="A90" s="29">
        <v>19</v>
      </c>
      <c r="B90" s="115" t="s">
        <v>265</v>
      </c>
      <c r="C90" s="116" t="s">
        <v>38</v>
      </c>
      <c r="D90" s="117" t="s">
        <v>175</v>
      </c>
      <c r="E90" s="36"/>
      <c r="F90" s="36">
        <v>0.02</v>
      </c>
      <c r="G90" s="36">
        <v>4070.89</v>
      </c>
      <c r="H90" s="114"/>
      <c r="I90" s="13">
        <v>0</v>
      </c>
    </row>
    <row r="91" spans="1:9" ht="17.25" customHeight="1">
      <c r="A91" s="29">
        <v>20</v>
      </c>
      <c r="B91" s="175" t="s">
        <v>227</v>
      </c>
      <c r="C91" s="45" t="s">
        <v>101</v>
      </c>
      <c r="D91" s="117" t="s">
        <v>229</v>
      </c>
      <c r="E91" s="36"/>
      <c r="F91" s="36">
        <v>0.06</v>
      </c>
      <c r="G91" s="36">
        <v>3730.99</v>
      </c>
      <c r="H91" s="114"/>
      <c r="I91" s="13">
        <f>G91*0.06</f>
        <v>223.85939999999997</v>
      </c>
    </row>
    <row r="92" spans="1:9" ht="33" customHeight="1">
      <c r="A92" s="29">
        <v>21</v>
      </c>
      <c r="B92" s="115" t="s">
        <v>169</v>
      </c>
      <c r="C92" s="116" t="s">
        <v>170</v>
      </c>
      <c r="D92" s="117" t="s">
        <v>230</v>
      </c>
      <c r="E92" s="36"/>
      <c r="F92" s="36">
        <v>1</v>
      </c>
      <c r="G92" s="36">
        <v>61.58</v>
      </c>
      <c r="H92" s="114"/>
      <c r="I92" s="13">
        <f>G92*1</f>
        <v>61.58</v>
      </c>
    </row>
    <row r="93" spans="1:9" ht="15.75" customHeight="1">
      <c r="A93" s="29"/>
      <c r="B93" s="50" t="s">
        <v>52</v>
      </c>
      <c r="C93" s="46"/>
      <c r="D93" s="54"/>
      <c r="E93" s="46">
        <v>1</v>
      </c>
      <c r="F93" s="46"/>
      <c r="G93" s="46"/>
      <c r="H93" s="46"/>
      <c r="I93" s="32">
        <f>SUM(I87:I92)</f>
        <v>1520.6393999999998</v>
      </c>
    </row>
    <row r="94" spans="1:9" ht="15.75" customHeight="1">
      <c r="A94" s="29"/>
      <c r="B94" s="52" t="s">
        <v>80</v>
      </c>
      <c r="C94" s="15"/>
      <c r="D94" s="15"/>
      <c r="E94" s="47"/>
      <c r="F94" s="47"/>
      <c r="G94" s="48"/>
      <c r="H94" s="48"/>
      <c r="I94" s="17">
        <v>0</v>
      </c>
    </row>
    <row r="95" spans="1:9" ht="15.75" customHeight="1">
      <c r="A95" s="55"/>
      <c r="B95" s="51" t="s">
        <v>141</v>
      </c>
      <c r="C95" s="35"/>
      <c r="D95" s="35"/>
      <c r="E95" s="35"/>
      <c r="F95" s="35"/>
      <c r="G95" s="35"/>
      <c r="H95" s="35"/>
      <c r="I95" s="49">
        <f>I85+I93</f>
        <v>49175.469525666667</v>
      </c>
    </row>
    <row r="96" spans="1:9" ht="15.75">
      <c r="A96" s="187" t="s">
        <v>266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>
      <c r="A97" s="62"/>
      <c r="B97" s="188" t="s">
        <v>267</v>
      </c>
      <c r="C97" s="188"/>
      <c r="D97" s="188"/>
      <c r="E97" s="188"/>
      <c r="F97" s="188"/>
      <c r="G97" s="188"/>
      <c r="H97" s="70"/>
      <c r="I97" s="3"/>
    </row>
    <row r="98" spans="1:9">
      <c r="A98" s="60"/>
      <c r="B98" s="189" t="s">
        <v>6</v>
      </c>
      <c r="C98" s="189"/>
      <c r="D98" s="189"/>
      <c r="E98" s="189"/>
      <c r="F98" s="189"/>
      <c r="G98" s="189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0" t="s">
        <v>7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90" t="s">
        <v>8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91" t="s">
        <v>61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 customHeight="1">
      <c r="A103" s="11"/>
    </row>
    <row r="104" spans="1:9" ht="15.75" customHeight="1">
      <c r="A104" s="192" t="s">
        <v>9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15.75" customHeight="1">
      <c r="A105" s="4"/>
    </row>
    <row r="106" spans="1:9" ht="15.75" customHeight="1">
      <c r="B106" s="61" t="s">
        <v>10</v>
      </c>
      <c r="C106" s="193" t="s">
        <v>88</v>
      </c>
      <c r="D106" s="193"/>
      <c r="E106" s="193"/>
      <c r="F106" s="68"/>
      <c r="I106" s="64"/>
    </row>
    <row r="107" spans="1:9" ht="15.75" customHeight="1">
      <c r="A107" s="60"/>
      <c r="C107" s="189" t="s">
        <v>11</v>
      </c>
      <c r="D107" s="189"/>
      <c r="E107" s="189"/>
      <c r="F107" s="24"/>
      <c r="I107" s="63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61" t="s">
        <v>13</v>
      </c>
      <c r="C109" s="194"/>
      <c r="D109" s="194"/>
      <c r="E109" s="194"/>
      <c r="F109" s="69"/>
      <c r="I109" s="64"/>
    </row>
    <row r="110" spans="1:9" ht="15.75" customHeight="1">
      <c r="A110" s="60"/>
      <c r="C110" s="183" t="s">
        <v>11</v>
      </c>
      <c r="D110" s="183"/>
      <c r="E110" s="183"/>
      <c r="F110" s="60"/>
      <c r="I110" s="63" t="s">
        <v>12</v>
      </c>
    </row>
    <row r="111" spans="1:9" ht="15.75" customHeight="1">
      <c r="A111" s="4" t="s">
        <v>14</v>
      </c>
    </row>
    <row r="112" spans="1:9">
      <c r="A112" s="181" t="s">
        <v>15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45" customHeight="1">
      <c r="A113" s="182" t="s">
        <v>16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17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30" customHeight="1">
      <c r="A115" s="182" t="s">
        <v>21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15" customHeight="1">
      <c r="A116" s="182" t="s">
        <v>20</v>
      </c>
      <c r="B116" s="182"/>
      <c r="C116" s="182"/>
      <c r="D116" s="182"/>
      <c r="E116" s="182"/>
      <c r="F116" s="182"/>
      <c r="G116" s="182"/>
      <c r="H116" s="182"/>
      <c r="I116" s="182"/>
    </row>
  </sheetData>
  <autoFilter ref="I12:I64"/>
  <mergeCells count="29">
    <mergeCell ref="A112:I112"/>
    <mergeCell ref="A113:I113"/>
    <mergeCell ref="A114:I114"/>
    <mergeCell ref="A115:I115"/>
    <mergeCell ref="A116:I116"/>
    <mergeCell ref="R69:U69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topLeftCell="A82" workbookViewId="0">
      <selection activeCell="C103" sqref="C103:E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137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232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44074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180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.75" customHeight="1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  <c r="J43" s="23"/>
      <c r="L43" s="19"/>
      <c r="M43" s="20"/>
      <c r="N43" s="21"/>
    </row>
    <row r="44" spans="1:14" ht="15.75" hidden="1" customHeight="1">
      <c r="A44" s="96"/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15.75" customHeight="1">
      <c r="A53" s="29">
        <v>8</v>
      </c>
      <c r="B53" s="34" t="s">
        <v>41</v>
      </c>
      <c r="C53" s="44" t="s">
        <v>89</v>
      </c>
      <c r="D53" s="174">
        <v>44064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5" t="s">
        <v>130</v>
      </c>
      <c r="B54" s="206"/>
      <c r="C54" s="206"/>
      <c r="D54" s="206"/>
      <c r="E54" s="206"/>
      <c r="F54" s="206"/>
      <c r="G54" s="206"/>
      <c r="H54" s="206"/>
      <c r="I54" s="207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10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9</v>
      </c>
      <c r="B60" s="125" t="s">
        <v>90</v>
      </c>
      <c r="C60" s="126" t="s">
        <v>25</v>
      </c>
      <c r="D60" s="125" t="s">
        <v>175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7.25" customHeight="1">
      <c r="A62" s="29">
        <v>10</v>
      </c>
      <c r="B62" s="56" t="s">
        <v>47</v>
      </c>
      <c r="C62" s="40" t="s">
        <v>89</v>
      </c>
      <c r="D62" s="39" t="s">
        <v>176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G62*2</f>
        <v>583.36</v>
      </c>
      <c r="J62" s="23"/>
      <c r="L62" s="19"/>
    </row>
    <row r="63" spans="1:14" ht="20.2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  <c r="J63" s="23"/>
      <c r="L63" s="19"/>
    </row>
    <row r="64" spans="1:14" ht="17.2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8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21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0.2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8.7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7.2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83"/>
      <c r="S69" s="183"/>
      <c r="T69" s="183"/>
      <c r="U69" s="183"/>
    </row>
    <row r="70" spans="1:22" ht="15.75" customHeight="1">
      <c r="A70" s="29">
        <v>11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.75" customHeight="1">
      <c r="A74" s="29"/>
      <c r="B74" s="39" t="s">
        <v>75</v>
      </c>
      <c r="C74" s="40" t="s">
        <v>76</v>
      </c>
      <c r="D74" s="39" t="s">
        <v>233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G74*0.4</f>
        <v>263.14800000000002</v>
      </c>
    </row>
    <row r="75" spans="1:22" ht="15.7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12</v>
      </c>
      <c r="B76" s="115" t="s">
        <v>154</v>
      </c>
      <c r="C76" s="116" t="s">
        <v>89</v>
      </c>
      <c r="D76" s="39" t="s">
        <v>175</v>
      </c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13</v>
      </c>
      <c r="B77" s="115" t="s">
        <v>155</v>
      </c>
      <c r="C77" s="116" t="s">
        <v>89</v>
      </c>
      <c r="D77" s="39" t="s">
        <v>180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5" t="s">
        <v>131</v>
      </c>
      <c r="B82" s="196"/>
      <c r="C82" s="196"/>
      <c r="D82" s="196"/>
      <c r="E82" s="196"/>
      <c r="F82" s="196"/>
      <c r="G82" s="196"/>
      <c r="H82" s="196"/>
      <c r="I82" s="197"/>
    </row>
    <row r="83" spans="1:9" ht="15.75" customHeight="1">
      <c r="A83" s="96">
        <v>14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15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I84+I83+I77+I76+I74+I70+I62+I60+I53+I32+I30+I29+I26+I18+I17+I16</f>
        <v>56749.338125666669</v>
      </c>
    </row>
    <row r="86" spans="1:9" ht="15.75" customHeight="1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 ht="17.25" customHeight="1">
      <c r="A87" s="29">
        <v>16</v>
      </c>
      <c r="B87" s="115" t="s">
        <v>234</v>
      </c>
      <c r="C87" s="116" t="s">
        <v>167</v>
      </c>
      <c r="D87" s="117" t="s">
        <v>235</v>
      </c>
      <c r="E87" s="36"/>
      <c r="F87" s="36">
        <v>1</v>
      </c>
      <c r="G87" s="36">
        <v>222.63</v>
      </c>
      <c r="H87" s="114">
        <f>F87*G87/1000</f>
        <v>0.22262999999999999</v>
      </c>
      <c r="I87" s="13">
        <f>G87*1</f>
        <v>222.63</v>
      </c>
    </row>
    <row r="88" spans="1:9" ht="28.5" customHeight="1">
      <c r="A88" s="29">
        <v>17</v>
      </c>
      <c r="B88" s="115" t="s">
        <v>171</v>
      </c>
      <c r="C88" s="116" t="s">
        <v>38</v>
      </c>
      <c r="D88" s="117" t="s">
        <v>268</v>
      </c>
      <c r="E88" s="36"/>
      <c r="F88" s="36">
        <v>0.05</v>
      </c>
      <c r="G88" s="36">
        <v>4070.89</v>
      </c>
      <c r="H88" s="114"/>
      <c r="I88" s="13">
        <v>0</v>
      </c>
    </row>
    <row r="89" spans="1:9" ht="30.75" customHeight="1">
      <c r="A89" s="29">
        <v>18</v>
      </c>
      <c r="B89" s="115" t="s">
        <v>236</v>
      </c>
      <c r="C89" s="116" t="s">
        <v>89</v>
      </c>
      <c r="D89" s="39" t="s">
        <v>237</v>
      </c>
      <c r="E89" s="36"/>
      <c r="F89" s="36">
        <v>1</v>
      </c>
      <c r="G89" s="36">
        <v>6057.87</v>
      </c>
      <c r="H89" s="114"/>
      <c r="I89" s="13">
        <f>G89*1</f>
        <v>6057.87</v>
      </c>
    </row>
    <row r="90" spans="1:9" ht="15.75" customHeight="1">
      <c r="A90" s="29"/>
      <c r="B90" s="50" t="s">
        <v>52</v>
      </c>
      <c r="C90" s="46"/>
      <c r="D90" s="54"/>
      <c r="E90" s="46">
        <v>1</v>
      </c>
      <c r="F90" s="46"/>
      <c r="G90" s="46"/>
      <c r="H90" s="46"/>
      <c r="I90" s="32">
        <f>SUM(I87:I89)</f>
        <v>6280.5</v>
      </c>
    </row>
    <row r="91" spans="1:9" ht="15.75" customHeight="1">
      <c r="A91" s="29"/>
      <c r="B91" s="52" t="s">
        <v>80</v>
      </c>
      <c r="C91" s="15"/>
      <c r="D91" s="15"/>
      <c r="E91" s="47"/>
      <c r="F91" s="47"/>
      <c r="G91" s="48"/>
      <c r="H91" s="48"/>
      <c r="I91" s="17">
        <v>0</v>
      </c>
    </row>
    <row r="92" spans="1:9" ht="15.75" customHeight="1">
      <c r="A92" s="55"/>
      <c r="B92" s="51" t="s">
        <v>141</v>
      </c>
      <c r="C92" s="35"/>
      <c r="D92" s="35"/>
      <c r="E92" s="35"/>
      <c r="F92" s="35"/>
      <c r="G92" s="35"/>
      <c r="H92" s="35"/>
      <c r="I92" s="49">
        <f>I85+I90</f>
        <v>63029.838125666669</v>
      </c>
    </row>
    <row r="93" spans="1:9" ht="15.75">
      <c r="A93" s="187" t="s">
        <v>269</v>
      </c>
      <c r="B93" s="187"/>
      <c r="C93" s="187"/>
      <c r="D93" s="187"/>
      <c r="E93" s="187"/>
      <c r="F93" s="187"/>
      <c r="G93" s="187"/>
      <c r="H93" s="187"/>
      <c r="I93" s="187"/>
    </row>
    <row r="94" spans="1:9" ht="15.75">
      <c r="A94" s="62"/>
      <c r="B94" s="188" t="s">
        <v>270</v>
      </c>
      <c r="C94" s="188"/>
      <c r="D94" s="188"/>
      <c r="E94" s="188"/>
      <c r="F94" s="188"/>
      <c r="G94" s="188"/>
      <c r="H94" s="70"/>
      <c r="I94" s="3"/>
    </row>
    <row r="95" spans="1:9">
      <c r="A95" s="60"/>
      <c r="B95" s="189" t="s">
        <v>6</v>
      </c>
      <c r="C95" s="189"/>
      <c r="D95" s="189"/>
      <c r="E95" s="189"/>
      <c r="F95" s="189"/>
      <c r="G95" s="189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90" t="s">
        <v>7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90" t="s">
        <v>8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 customHeight="1">
      <c r="A99" s="191" t="s">
        <v>61</v>
      </c>
      <c r="B99" s="191"/>
      <c r="C99" s="191"/>
      <c r="D99" s="191"/>
      <c r="E99" s="191"/>
      <c r="F99" s="191"/>
      <c r="G99" s="191"/>
      <c r="H99" s="191"/>
      <c r="I99" s="191"/>
    </row>
    <row r="100" spans="1:9" ht="15.75" customHeight="1">
      <c r="A100" s="11"/>
    </row>
    <row r="101" spans="1:9" ht="15.75" customHeight="1">
      <c r="A101" s="192" t="s">
        <v>9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15.75" customHeight="1">
      <c r="A102" s="4"/>
    </row>
    <row r="103" spans="1:9" ht="15.75" customHeight="1">
      <c r="B103" s="61" t="s">
        <v>10</v>
      </c>
      <c r="C103" s="193" t="s">
        <v>88</v>
      </c>
      <c r="D103" s="193"/>
      <c r="E103" s="193"/>
      <c r="F103" s="68"/>
      <c r="I103" s="64"/>
    </row>
    <row r="104" spans="1:9" ht="15.75" customHeight="1">
      <c r="A104" s="60"/>
      <c r="C104" s="189" t="s">
        <v>11</v>
      </c>
      <c r="D104" s="189"/>
      <c r="E104" s="189"/>
      <c r="F104" s="24"/>
      <c r="I104" s="63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61" t="s">
        <v>13</v>
      </c>
      <c r="C106" s="194"/>
      <c r="D106" s="194"/>
      <c r="E106" s="194"/>
      <c r="F106" s="69"/>
      <c r="I106" s="64"/>
    </row>
    <row r="107" spans="1:9" ht="15.75" customHeight="1">
      <c r="A107" s="60"/>
      <c r="C107" s="183" t="s">
        <v>11</v>
      </c>
      <c r="D107" s="183"/>
      <c r="E107" s="183"/>
      <c r="F107" s="60"/>
      <c r="I107" s="63" t="s">
        <v>12</v>
      </c>
    </row>
    <row r="108" spans="1:9" ht="15.75" customHeight="1">
      <c r="A108" s="4" t="s">
        <v>14</v>
      </c>
    </row>
    <row r="109" spans="1:9">
      <c r="A109" s="181" t="s">
        <v>15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45" customHeight="1">
      <c r="A110" s="182" t="s">
        <v>16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30" customHeight="1">
      <c r="A111" s="182" t="s">
        <v>17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30" customHeight="1">
      <c r="A112" s="182" t="s">
        <v>21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15" customHeight="1">
      <c r="A113" s="182" t="s">
        <v>20</v>
      </c>
      <c r="B113" s="182"/>
      <c r="C113" s="182"/>
      <c r="D113" s="182"/>
      <c r="E113" s="182"/>
      <c r="F113" s="182"/>
      <c r="G113" s="182"/>
      <c r="H113" s="182"/>
      <c r="I113" s="182"/>
    </row>
  </sheetData>
  <autoFilter ref="I12:I64"/>
  <mergeCells count="29">
    <mergeCell ref="A109:I109"/>
    <mergeCell ref="A110:I110"/>
    <mergeCell ref="A111:I111"/>
    <mergeCell ref="A112:I112"/>
    <mergeCell ref="A113:I113"/>
    <mergeCell ref="R69:U69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topLeftCell="A74" workbookViewId="0">
      <selection activeCell="D26" sqref="D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14062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165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8" t="s">
        <v>138</v>
      </c>
      <c r="B3" s="198"/>
      <c r="C3" s="198"/>
      <c r="D3" s="198"/>
      <c r="E3" s="198"/>
      <c r="F3" s="198"/>
      <c r="G3" s="198"/>
      <c r="H3" s="198"/>
      <c r="I3" s="198"/>
      <c r="J3" s="3"/>
      <c r="K3" s="3"/>
      <c r="L3" s="3"/>
    </row>
    <row r="4" spans="1:13" ht="31.5" customHeight="1">
      <c r="A4" s="199" t="s">
        <v>117</v>
      </c>
      <c r="B4" s="199"/>
      <c r="C4" s="199"/>
      <c r="D4" s="199"/>
      <c r="E4" s="199"/>
      <c r="F4" s="199"/>
      <c r="G4" s="199"/>
      <c r="H4" s="199"/>
      <c r="I4" s="199"/>
    </row>
    <row r="5" spans="1:13" ht="15.75" customHeight="1">
      <c r="A5" s="198" t="s">
        <v>238</v>
      </c>
      <c r="B5" s="200"/>
      <c r="C5" s="200"/>
      <c r="D5" s="200"/>
      <c r="E5" s="200"/>
      <c r="F5" s="200"/>
      <c r="G5" s="200"/>
      <c r="H5" s="200"/>
      <c r="I5" s="20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44104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1" t="s">
        <v>166</v>
      </c>
      <c r="B8" s="201"/>
      <c r="C8" s="201"/>
      <c r="D8" s="201"/>
      <c r="E8" s="201"/>
      <c r="F8" s="201"/>
      <c r="G8" s="201"/>
      <c r="H8" s="201"/>
      <c r="I8" s="20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158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3" t="s">
        <v>59</v>
      </c>
      <c r="B14" s="203"/>
      <c r="C14" s="203"/>
      <c r="D14" s="203"/>
      <c r="E14" s="203"/>
      <c r="F14" s="203"/>
      <c r="G14" s="203"/>
      <c r="H14" s="203"/>
      <c r="I14" s="203"/>
      <c r="J14" s="8"/>
      <c r="K14" s="8"/>
      <c r="L14" s="8"/>
      <c r="M14" s="8"/>
    </row>
    <row r="15" spans="1:13" ht="15.75" customHeight="1">
      <c r="A15" s="204" t="s">
        <v>4</v>
      </c>
      <c r="B15" s="204"/>
      <c r="C15" s="204"/>
      <c r="D15" s="204"/>
      <c r="E15" s="204"/>
      <c r="F15" s="204"/>
      <c r="G15" s="204"/>
      <c r="H15" s="204"/>
      <c r="I15" s="204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173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175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1" t="s">
        <v>92</v>
      </c>
      <c r="C20" s="72" t="s">
        <v>93</v>
      </c>
      <c r="D20" s="71" t="s">
        <v>175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customHeight="1">
      <c r="A21" s="29">
        <v>5</v>
      </c>
      <c r="B21" s="71" t="s">
        <v>98</v>
      </c>
      <c r="C21" s="72" t="s">
        <v>93</v>
      </c>
      <c r="D21" s="71" t="s">
        <v>175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34" t="s">
        <v>172</v>
      </c>
      <c r="C26" s="44" t="s">
        <v>25</v>
      </c>
      <c r="D26" s="34" t="s">
        <v>223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4" t="s">
        <v>140</v>
      </c>
      <c r="B27" s="204"/>
      <c r="C27" s="204"/>
      <c r="D27" s="204"/>
      <c r="E27" s="204"/>
      <c r="F27" s="204"/>
      <c r="G27" s="204"/>
      <c r="H27" s="204"/>
      <c r="I27" s="204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7</v>
      </c>
      <c r="B29" s="71" t="s">
        <v>103</v>
      </c>
      <c r="C29" s="72" t="s">
        <v>104</v>
      </c>
      <c r="D29" s="71" t="s">
        <v>174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8</v>
      </c>
      <c r="B30" s="71" t="s">
        <v>128</v>
      </c>
      <c r="C30" s="72" t="s">
        <v>104</v>
      </c>
      <c r="D30" s="71" t="s">
        <v>173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9</v>
      </c>
      <c r="B32" s="71" t="s">
        <v>143</v>
      </c>
      <c r="C32" s="72" t="s">
        <v>40</v>
      </c>
      <c r="D32" s="71" t="s">
        <v>177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customHeight="1">
      <c r="A43" s="195" t="s">
        <v>129</v>
      </c>
      <c r="B43" s="196"/>
      <c r="C43" s="196"/>
      <c r="D43" s="196"/>
      <c r="E43" s="196"/>
      <c r="F43" s="196"/>
      <c r="G43" s="196"/>
      <c r="H43" s="196"/>
      <c r="I43" s="197"/>
      <c r="J43" s="23"/>
      <c r="L43" s="19"/>
      <c r="M43" s="20"/>
      <c r="N43" s="21"/>
    </row>
    <row r="44" spans="1:14" ht="15.75" customHeight="1">
      <c r="A44" s="96">
        <v>10</v>
      </c>
      <c r="B44" s="34" t="s">
        <v>107</v>
      </c>
      <c r="C44" s="44" t="s">
        <v>104</v>
      </c>
      <c r="D44" s="34" t="s">
        <v>175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customHeight="1">
      <c r="A45" s="29">
        <v>11</v>
      </c>
      <c r="B45" s="34" t="s">
        <v>35</v>
      </c>
      <c r="C45" s="44" t="s">
        <v>104</v>
      </c>
      <c r="D45" s="34" t="s">
        <v>175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customHeight="1">
      <c r="A46" s="29">
        <v>12</v>
      </c>
      <c r="B46" s="34" t="s">
        <v>36</v>
      </c>
      <c r="C46" s="44" t="s">
        <v>104</v>
      </c>
      <c r="D46" s="34" t="s">
        <v>175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customHeight="1">
      <c r="A47" s="29">
        <v>13</v>
      </c>
      <c r="B47" s="34" t="s">
        <v>37</v>
      </c>
      <c r="C47" s="44" t="s">
        <v>104</v>
      </c>
      <c r="D47" s="34" t="s">
        <v>175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customHeight="1">
      <c r="A48" s="29">
        <v>14</v>
      </c>
      <c r="B48" s="34" t="s">
        <v>33</v>
      </c>
      <c r="C48" s="44" t="s">
        <v>34</v>
      </c>
      <c r="D48" s="34" t="s">
        <v>175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customHeight="1">
      <c r="A49" s="29">
        <v>15</v>
      </c>
      <c r="B49" s="34" t="s">
        <v>56</v>
      </c>
      <c r="C49" s="44" t="s">
        <v>104</v>
      </c>
      <c r="D49" s="34" t="s">
        <v>175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customHeight="1">
      <c r="A50" s="29">
        <v>16</v>
      </c>
      <c r="B50" s="34" t="s">
        <v>108</v>
      </c>
      <c r="C50" s="44" t="s">
        <v>104</v>
      </c>
      <c r="D50" s="34" t="s">
        <v>175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customHeight="1">
      <c r="A51" s="29">
        <v>17</v>
      </c>
      <c r="B51" s="34" t="s">
        <v>124</v>
      </c>
      <c r="C51" s="44" t="s">
        <v>38</v>
      </c>
      <c r="D51" s="34" t="s">
        <v>175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customHeight="1">
      <c r="A52" s="29">
        <v>18</v>
      </c>
      <c r="B52" s="34" t="s">
        <v>39</v>
      </c>
      <c r="C52" s="44" t="s">
        <v>40</v>
      </c>
      <c r="D52" s="34" t="s">
        <v>175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hidden="1" customHeight="1">
      <c r="A53" s="29">
        <v>18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5" t="s">
        <v>130</v>
      </c>
      <c r="B54" s="206"/>
      <c r="C54" s="206"/>
      <c r="D54" s="206"/>
      <c r="E54" s="206"/>
      <c r="F54" s="206"/>
      <c r="G54" s="206"/>
      <c r="H54" s="206"/>
      <c r="I54" s="207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19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19</v>
      </c>
      <c r="B60" s="125" t="s">
        <v>90</v>
      </c>
      <c r="C60" s="126" t="s">
        <v>25</v>
      </c>
      <c r="D60" s="125" t="s">
        <v>175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customHeight="1">
      <c r="A62" s="29">
        <v>20</v>
      </c>
      <c r="B62" s="56" t="s">
        <v>47</v>
      </c>
      <c r="C62" s="40" t="s">
        <v>89</v>
      </c>
      <c r="D62" s="39" t="s">
        <v>182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G62*3</f>
        <v>875.04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customHeight="1">
      <c r="A69" s="29">
        <v>21</v>
      </c>
      <c r="B69" s="39" t="s">
        <v>57</v>
      </c>
      <c r="C69" s="40" t="s">
        <v>58</v>
      </c>
      <c r="D69" s="39" t="s">
        <v>180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83"/>
      <c r="S69" s="183"/>
      <c r="T69" s="183"/>
      <c r="U69" s="183"/>
    </row>
    <row r="70" spans="1:22" ht="15.75" customHeight="1">
      <c r="A70" s="29">
        <v>22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6.5" customHeight="1">
      <c r="A74" s="29">
        <v>23</v>
      </c>
      <c r="B74" s="39" t="s">
        <v>75</v>
      </c>
      <c r="C74" s="40" t="s">
        <v>76</v>
      </c>
      <c r="D74" s="39" t="s">
        <v>175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G74*0.1</f>
        <v>65.787000000000006</v>
      </c>
    </row>
    <row r="75" spans="1:22" ht="17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24</v>
      </c>
      <c r="B76" s="115" t="s">
        <v>154</v>
      </c>
      <c r="C76" s="116" t="s">
        <v>89</v>
      </c>
      <c r="D76" s="39" t="s">
        <v>175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25</v>
      </c>
      <c r="B77" s="115" t="s">
        <v>155</v>
      </c>
      <c r="C77" s="116" t="s">
        <v>89</v>
      </c>
      <c r="D77" s="39" t="s">
        <v>180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5" t="s">
        <v>131</v>
      </c>
      <c r="B82" s="196"/>
      <c r="C82" s="196"/>
      <c r="D82" s="196"/>
      <c r="E82" s="196"/>
      <c r="F82" s="196"/>
      <c r="G82" s="196"/>
      <c r="H82" s="196"/>
      <c r="I82" s="197"/>
    </row>
    <row r="83" spans="1:9" ht="15.75" customHeight="1">
      <c r="A83" s="96">
        <v>26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27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I84+I83+I77+I76+I74+I70+I69+I62+I60+I52+I51+I50+I49+I48+I47+I46+I45+I44+I32+I30+I29+I26+I21+I20+I18+I17+I16</f>
        <v>61798.954400666662</v>
      </c>
    </row>
    <row r="86" spans="1:9" ht="15.75" customHeight="1">
      <c r="A86" s="184" t="s">
        <v>60</v>
      </c>
      <c r="B86" s="185"/>
      <c r="C86" s="185"/>
      <c r="D86" s="185"/>
      <c r="E86" s="185"/>
      <c r="F86" s="185"/>
      <c r="G86" s="185"/>
      <c r="H86" s="185"/>
      <c r="I86" s="186"/>
    </row>
    <row r="87" spans="1:9" ht="16.5" customHeight="1">
      <c r="A87" s="29">
        <v>28</v>
      </c>
      <c r="B87" s="115" t="s">
        <v>186</v>
      </c>
      <c r="C87" s="116" t="s">
        <v>97</v>
      </c>
      <c r="D87" s="117"/>
      <c r="E87" s="36"/>
      <c r="F87" s="36">
        <v>2</v>
      </c>
      <c r="G87" s="36">
        <v>331.57</v>
      </c>
      <c r="H87" s="114">
        <f>F87*G87/1000</f>
        <v>0.66313999999999995</v>
      </c>
      <c r="I87" s="13">
        <f>G87*1</f>
        <v>331.57</v>
      </c>
    </row>
    <row r="88" spans="1:9" ht="45.75" customHeight="1">
      <c r="A88" s="29">
        <v>29</v>
      </c>
      <c r="B88" s="115" t="s">
        <v>87</v>
      </c>
      <c r="C88" s="116" t="s">
        <v>97</v>
      </c>
      <c r="D88" s="39" t="s">
        <v>239</v>
      </c>
      <c r="E88" s="36"/>
      <c r="F88" s="36">
        <v>4</v>
      </c>
      <c r="G88" s="36">
        <v>670.51</v>
      </c>
      <c r="H88" s="114"/>
      <c r="I88" s="13">
        <f>G88*4</f>
        <v>2682.04</v>
      </c>
    </row>
    <row r="89" spans="1:9" ht="15.75" customHeight="1">
      <c r="A89" s="29"/>
      <c r="B89" s="50" t="s">
        <v>52</v>
      </c>
      <c r="C89" s="46"/>
      <c r="D89" s="54"/>
      <c r="E89" s="46">
        <v>1</v>
      </c>
      <c r="F89" s="46"/>
      <c r="G89" s="46"/>
      <c r="H89" s="46"/>
      <c r="I89" s="32">
        <f>SUM(I87:I88)</f>
        <v>3013.61</v>
      </c>
    </row>
    <row r="90" spans="1:9" ht="15.75" customHeight="1">
      <c r="A90" s="29"/>
      <c r="B90" s="52" t="s">
        <v>80</v>
      </c>
      <c r="C90" s="15"/>
      <c r="D90" s="15"/>
      <c r="E90" s="47"/>
      <c r="F90" s="47"/>
      <c r="G90" s="48"/>
      <c r="H90" s="48"/>
      <c r="I90" s="17">
        <v>0</v>
      </c>
    </row>
    <row r="91" spans="1:9" ht="15.75" customHeight="1">
      <c r="A91" s="55"/>
      <c r="B91" s="51" t="s">
        <v>141</v>
      </c>
      <c r="C91" s="35"/>
      <c r="D91" s="35"/>
      <c r="E91" s="35"/>
      <c r="F91" s="35"/>
      <c r="G91" s="35"/>
      <c r="H91" s="35"/>
      <c r="I91" s="49">
        <f>I85+I89</f>
        <v>64812.564400666663</v>
      </c>
    </row>
    <row r="92" spans="1:9" ht="15.75">
      <c r="A92" s="187" t="s">
        <v>240</v>
      </c>
      <c r="B92" s="187"/>
      <c r="C92" s="187"/>
      <c r="D92" s="187"/>
      <c r="E92" s="187"/>
      <c r="F92" s="187"/>
      <c r="G92" s="187"/>
      <c r="H92" s="187"/>
      <c r="I92" s="187"/>
    </row>
    <row r="93" spans="1:9" ht="15.75">
      <c r="A93" s="62"/>
      <c r="B93" s="188" t="s">
        <v>241</v>
      </c>
      <c r="C93" s="188"/>
      <c r="D93" s="188"/>
      <c r="E93" s="188"/>
      <c r="F93" s="188"/>
      <c r="G93" s="188"/>
      <c r="H93" s="70"/>
      <c r="I93" s="3"/>
    </row>
    <row r="94" spans="1:9">
      <c r="A94" s="60"/>
      <c r="B94" s="189" t="s">
        <v>6</v>
      </c>
      <c r="C94" s="189"/>
      <c r="D94" s="189"/>
      <c r="E94" s="189"/>
      <c r="F94" s="189"/>
      <c r="G94" s="189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90" t="s">
        <v>7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 customHeight="1">
      <c r="A97" s="190" t="s">
        <v>8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91" t="s">
        <v>61</v>
      </c>
      <c r="B98" s="191"/>
      <c r="C98" s="191"/>
      <c r="D98" s="191"/>
      <c r="E98" s="191"/>
      <c r="F98" s="191"/>
      <c r="G98" s="191"/>
      <c r="H98" s="191"/>
      <c r="I98" s="191"/>
    </row>
    <row r="99" spans="1:9" ht="15.75" customHeight="1">
      <c r="A99" s="11"/>
    </row>
    <row r="100" spans="1:9" ht="15.75" customHeight="1">
      <c r="A100" s="192" t="s">
        <v>9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 customHeight="1">
      <c r="A101" s="4"/>
    </row>
    <row r="102" spans="1:9" ht="15.75" customHeight="1">
      <c r="B102" s="61" t="s">
        <v>10</v>
      </c>
      <c r="C102" s="193" t="s">
        <v>88</v>
      </c>
      <c r="D102" s="193"/>
      <c r="E102" s="193"/>
      <c r="F102" s="68"/>
      <c r="I102" s="64"/>
    </row>
    <row r="103" spans="1:9" ht="15.75" customHeight="1">
      <c r="A103" s="60"/>
      <c r="C103" s="189" t="s">
        <v>11</v>
      </c>
      <c r="D103" s="189"/>
      <c r="E103" s="189"/>
      <c r="F103" s="24"/>
      <c r="I103" s="63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61" t="s">
        <v>13</v>
      </c>
      <c r="C105" s="194"/>
      <c r="D105" s="194"/>
      <c r="E105" s="194"/>
      <c r="F105" s="69"/>
      <c r="I105" s="64"/>
    </row>
    <row r="106" spans="1:9" ht="15.75" customHeight="1">
      <c r="A106" s="60"/>
      <c r="C106" s="183" t="s">
        <v>11</v>
      </c>
      <c r="D106" s="183"/>
      <c r="E106" s="183"/>
      <c r="F106" s="60"/>
      <c r="I106" s="63" t="s">
        <v>12</v>
      </c>
    </row>
    <row r="107" spans="1:9" ht="15.75" customHeight="1">
      <c r="A107" s="4" t="s">
        <v>14</v>
      </c>
    </row>
    <row r="108" spans="1:9">
      <c r="A108" s="181" t="s">
        <v>15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45" customHeight="1">
      <c r="A109" s="182" t="s">
        <v>16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30" customHeight="1">
      <c r="A110" s="182" t="s">
        <v>17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30" customHeight="1">
      <c r="A111" s="182" t="s">
        <v>21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15" customHeight="1">
      <c r="A112" s="182" t="s">
        <v>20</v>
      </c>
      <c r="B112" s="182"/>
      <c r="C112" s="182"/>
      <c r="D112" s="182"/>
      <c r="E112" s="182"/>
      <c r="F112" s="182"/>
      <c r="G112" s="182"/>
      <c r="H112" s="182"/>
      <c r="I112" s="182"/>
    </row>
  </sheetData>
  <autoFilter ref="I12:I64"/>
  <mergeCells count="29">
    <mergeCell ref="A108:I108"/>
    <mergeCell ref="A109:I109"/>
    <mergeCell ref="A110:I110"/>
    <mergeCell ref="A111:I111"/>
    <mergeCell ref="A112:I112"/>
    <mergeCell ref="R69:U69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2021-02-05T06:21:43Z</cp:lastPrinted>
  <dcterms:created xsi:type="dcterms:W3CDTF">2016-03-25T08:33:47Z</dcterms:created>
  <dcterms:modified xsi:type="dcterms:W3CDTF">2021-02-05T06:24:05Z</dcterms:modified>
</cp:coreProperties>
</file>