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480" yWindow="225" windowWidth="16695" windowHeight="7845"/>
  </bookViews>
  <sheets>
    <sheet name="Окт.,49" sheetId="1" r:id="rId1"/>
  </sheets>
  <definedNames>
    <definedName name="_xlnm.Print_Area" localSheetId="0">'Окт.,49'!$A$1:$U$121</definedName>
  </definedNames>
  <calcPr calcId="124519"/>
</workbook>
</file>

<file path=xl/calcChain.xml><?xml version="1.0" encoding="utf-8"?>
<calcChain xmlns="http://schemas.openxmlformats.org/spreadsheetml/2006/main">
  <c r="U109" i="1"/>
  <c r="H109"/>
  <c r="F108"/>
  <c r="T108"/>
  <c r="U108" s="1"/>
  <c r="F102"/>
  <c r="N102" s="1"/>
  <c r="U102" s="1"/>
  <c r="L38"/>
  <c r="K38"/>
  <c r="F38"/>
  <c r="T107"/>
  <c r="U107" s="1"/>
  <c r="H107"/>
  <c r="C119"/>
  <c r="C116"/>
  <c r="H108" l="1"/>
  <c r="H102"/>
  <c r="R55"/>
  <c r="R101"/>
  <c r="F101"/>
  <c r="S93"/>
  <c r="T88"/>
  <c r="S88"/>
  <c r="R88"/>
  <c r="Q88"/>
  <c r="R90"/>
  <c r="R72"/>
  <c r="R106"/>
  <c r="U106" s="1"/>
  <c r="H106"/>
  <c r="S105" l="1"/>
  <c r="F105"/>
  <c r="R60"/>
  <c r="R104"/>
  <c r="R105"/>
  <c r="R95"/>
  <c r="H105"/>
  <c r="U105"/>
  <c r="U55" l="1"/>
  <c r="U57"/>
  <c r="U61"/>
  <c r="U70"/>
  <c r="U71"/>
  <c r="U73"/>
  <c r="U76"/>
  <c r="U29"/>
  <c r="U30"/>
  <c r="P88"/>
  <c r="Q60"/>
  <c r="Q104"/>
  <c r="U104" s="1"/>
  <c r="H104"/>
  <c r="S78" l="1"/>
  <c r="U78" s="1"/>
  <c r="F103"/>
  <c r="H103" s="1"/>
  <c r="O103" l="1"/>
  <c r="U103" s="1"/>
  <c r="N101"/>
  <c r="U101" s="1"/>
  <c r="H101"/>
  <c r="O88" l="1"/>
  <c r="N88"/>
  <c r="N72"/>
  <c r="U72" s="1"/>
  <c r="P60"/>
  <c r="O60"/>
  <c r="O95"/>
  <c r="N100"/>
  <c r="U100" s="1"/>
  <c r="H100"/>
  <c r="P74"/>
  <c r="O74"/>
  <c r="N74"/>
  <c r="M74"/>
  <c r="Q51"/>
  <c r="O51"/>
  <c r="M51"/>
  <c r="I51"/>
  <c r="U51" s="1"/>
  <c r="K94" l="1"/>
  <c r="U94" s="1"/>
  <c r="H94"/>
  <c r="H99"/>
  <c r="M99"/>
  <c r="U99" s="1"/>
  <c r="M98"/>
  <c r="U98" s="1"/>
  <c r="H98"/>
  <c r="M88" l="1"/>
  <c r="L74"/>
  <c r="L88"/>
  <c r="L90"/>
  <c r="L93"/>
  <c r="K93"/>
  <c r="U93" s="1"/>
  <c r="H93"/>
  <c r="K90"/>
  <c r="K74"/>
  <c r="K88"/>
  <c r="K92"/>
  <c r="U92" s="1"/>
  <c r="M97"/>
  <c r="U97" s="1"/>
  <c r="H97"/>
  <c r="L95"/>
  <c r="U95" s="1"/>
  <c r="H95"/>
  <c r="L96" l="1"/>
  <c r="U96" s="1"/>
  <c r="J91"/>
  <c r="U91" s="1"/>
  <c r="H91"/>
  <c r="J74"/>
  <c r="J88"/>
  <c r="J90"/>
  <c r="U90" s="1"/>
  <c r="H90"/>
  <c r="J89"/>
  <c r="U89" s="1"/>
  <c r="H89"/>
  <c r="I88" l="1"/>
  <c r="I74"/>
  <c r="I60"/>
  <c r="U60" s="1"/>
  <c r="T74"/>
  <c r="S74"/>
  <c r="R74"/>
  <c r="Q74"/>
  <c r="S50"/>
  <c r="U88" l="1"/>
  <c r="C118" s="1"/>
  <c r="U74"/>
  <c r="T39"/>
  <c r="F74" l="1"/>
  <c r="H74" s="1"/>
  <c r="H71" l="1"/>
  <c r="F70"/>
  <c r="H70" s="1"/>
  <c r="F68"/>
  <c r="M68" l="1"/>
  <c r="P68"/>
  <c r="N68"/>
  <c r="O68"/>
  <c r="L68"/>
  <c r="J68"/>
  <c r="K68"/>
  <c r="I68"/>
  <c r="T68"/>
  <c r="S68"/>
  <c r="H68"/>
  <c r="R68"/>
  <c r="Q68"/>
  <c r="U68" l="1"/>
  <c r="F61"/>
  <c r="F60"/>
  <c r="F58"/>
  <c r="H55"/>
  <c r="F43"/>
  <c r="H39"/>
  <c r="E27"/>
  <c r="P58" l="1"/>
  <c r="N58"/>
  <c r="O58"/>
  <c r="M58"/>
  <c r="K58"/>
  <c r="I58"/>
  <c r="L58"/>
  <c r="J58"/>
  <c r="T58"/>
  <c r="S58"/>
  <c r="R58"/>
  <c r="H58"/>
  <c r="Q58"/>
  <c r="U58" l="1"/>
  <c r="L50"/>
  <c r="U50" s="1"/>
  <c r="H92"/>
  <c r="S39" l="1"/>
  <c r="T34"/>
  <c r="S34"/>
  <c r="Q67"/>
  <c r="U67" s="1"/>
  <c r="F27"/>
  <c r="H27" s="1"/>
  <c r="L39"/>
  <c r="L34"/>
  <c r="K39"/>
  <c r="K34"/>
  <c r="H78"/>
  <c r="H96"/>
  <c r="J39"/>
  <c r="J34"/>
  <c r="I34"/>
  <c r="U34" s="1"/>
  <c r="I39"/>
  <c r="U39" l="1"/>
  <c r="Q27"/>
  <c r="M27"/>
  <c r="P27"/>
  <c r="R27"/>
  <c r="N27"/>
  <c r="O27"/>
  <c r="H88"/>
  <c r="F57"/>
  <c r="M43"/>
  <c r="F37"/>
  <c r="H37" s="1"/>
  <c r="F35"/>
  <c r="H35" s="1"/>
  <c r="F16"/>
  <c r="Q16" s="1"/>
  <c r="F15"/>
  <c r="Q15" s="1"/>
  <c r="F20"/>
  <c r="H20" s="1"/>
  <c r="F46"/>
  <c r="M46" s="1"/>
  <c r="U27" l="1"/>
  <c r="M20"/>
  <c r="U20" s="1"/>
  <c r="M16"/>
  <c r="U16" s="1"/>
  <c r="M15"/>
  <c r="U15" s="1"/>
  <c r="H46"/>
  <c r="Q46"/>
  <c r="U46" s="1"/>
  <c r="I37"/>
  <c r="S37"/>
  <c r="L37"/>
  <c r="K37"/>
  <c r="J37"/>
  <c r="T37"/>
  <c r="S35"/>
  <c r="T35"/>
  <c r="L35"/>
  <c r="K35"/>
  <c r="J35"/>
  <c r="Q43"/>
  <c r="U43" s="1"/>
  <c r="I35"/>
  <c r="U35" l="1"/>
  <c r="U37"/>
  <c r="H73"/>
  <c r="F14" l="1"/>
  <c r="M14" s="1"/>
  <c r="U14" s="1"/>
  <c r="F17"/>
  <c r="F18"/>
  <c r="F19"/>
  <c r="M18" l="1"/>
  <c r="U18" s="1"/>
  <c r="M19"/>
  <c r="U19" s="1"/>
  <c r="M17"/>
  <c r="U17" s="1"/>
  <c r="H57"/>
  <c r="F112" l="1"/>
  <c r="H111"/>
  <c r="E81"/>
  <c r="H84" s="1"/>
  <c r="F79"/>
  <c r="H76"/>
  <c r="H72"/>
  <c r="H67"/>
  <c r="F66"/>
  <c r="F65"/>
  <c r="F64"/>
  <c r="F63"/>
  <c r="F62"/>
  <c r="H61"/>
  <c r="H60"/>
  <c r="F54"/>
  <c r="H51"/>
  <c r="H50"/>
  <c r="F49"/>
  <c r="F48"/>
  <c r="L48" s="1"/>
  <c r="F47"/>
  <c r="F45"/>
  <c r="M45" s="1"/>
  <c r="F44"/>
  <c r="M44" s="1"/>
  <c r="H43"/>
  <c r="F42"/>
  <c r="M42" s="1"/>
  <c r="H38"/>
  <c r="F36"/>
  <c r="H36" s="1"/>
  <c r="H34"/>
  <c r="F31"/>
  <c r="H30"/>
  <c r="H29"/>
  <c r="F28"/>
  <c r="F26"/>
  <c r="H26" s="1"/>
  <c r="F25"/>
  <c r="H25" s="1"/>
  <c r="F24"/>
  <c r="H24" s="1"/>
  <c r="F21"/>
  <c r="M21" s="1"/>
  <c r="U21" s="1"/>
  <c r="H18"/>
  <c r="H17"/>
  <c r="H14"/>
  <c r="E13"/>
  <c r="F13" s="1"/>
  <c r="F12"/>
  <c r="F11"/>
  <c r="S48" l="1"/>
  <c r="U48" s="1"/>
  <c r="L49"/>
  <c r="S49"/>
  <c r="I13"/>
  <c r="S13"/>
  <c r="R13"/>
  <c r="P13"/>
  <c r="N13"/>
  <c r="T13"/>
  <c r="Q13"/>
  <c r="O13"/>
  <c r="M13"/>
  <c r="L13"/>
  <c r="K13"/>
  <c r="J13"/>
  <c r="R25"/>
  <c r="P25"/>
  <c r="N25"/>
  <c r="Q25"/>
  <c r="O25"/>
  <c r="M25"/>
  <c r="I12"/>
  <c r="S12"/>
  <c r="Q12"/>
  <c r="O12"/>
  <c r="M12"/>
  <c r="L12"/>
  <c r="K12"/>
  <c r="J12"/>
  <c r="T12"/>
  <c r="R12"/>
  <c r="P12"/>
  <c r="N12"/>
  <c r="P24"/>
  <c r="O24"/>
  <c r="M24"/>
  <c r="R24"/>
  <c r="Q24"/>
  <c r="N24"/>
  <c r="M26"/>
  <c r="U26" s="1"/>
  <c r="I28"/>
  <c r="S28"/>
  <c r="R28"/>
  <c r="P28"/>
  <c r="N28"/>
  <c r="L28"/>
  <c r="K28"/>
  <c r="J28"/>
  <c r="T28"/>
  <c r="Q28"/>
  <c r="O28"/>
  <c r="M28"/>
  <c r="H45"/>
  <c r="Q45"/>
  <c r="U45" s="1"/>
  <c r="H48"/>
  <c r="T54"/>
  <c r="L54"/>
  <c r="J54"/>
  <c r="S54"/>
  <c r="K54"/>
  <c r="H63"/>
  <c r="M63"/>
  <c r="U63" s="1"/>
  <c r="H65"/>
  <c r="M65"/>
  <c r="U65" s="1"/>
  <c r="I11"/>
  <c r="S11"/>
  <c r="R11"/>
  <c r="P11"/>
  <c r="N11"/>
  <c r="T11"/>
  <c r="Q11"/>
  <c r="O11"/>
  <c r="M11"/>
  <c r="L11"/>
  <c r="K11"/>
  <c r="J11"/>
  <c r="H21"/>
  <c r="S31"/>
  <c r="Q31"/>
  <c r="O31"/>
  <c r="M31"/>
  <c r="T31"/>
  <c r="R31"/>
  <c r="P31"/>
  <c r="N31"/>
  <c r="L31"/>
  <c r="K31"/>
  <c r="J31"/>
  <c r="S36"/>
  <c r="T36"/>
  <c r="L36"/>
  <c r="K36"/>
  <c r="J36"/>
  <c r="H42"/>
  <c r="Q42"/>
  <c r="U42" s="1"/>
  <c r="H44"/>
  <c r="Q44"/>
  <c r="U44" s="1"/>
  <c r="I47"/>
  <c r="T47"/>
  <c r="Q47"/>
  <c r="M47"/>
  <c r="J47"/>
  <c r="H49"/>
  <c r="H62"/>
  <c r="M62"/>
  <c r="U62" s="1"/>
  <c r="H64"/>
  <c r="M64"/>
  <c r="U64" s="1"/>
  <c r="H66"/>
  <c r="M66"/>
  <c r="U66" s="1"/>
  <c r="I79"/>
  <c r="T79"/>
  <c r="Q79"/>
  <c r="O79"/>
  <c r="M79"/>
  <c r="S79"/>
  <c r="R79"/>
  <c r="P79"/>
  <c r="N79"/>
  <c r="L79"/>
  <c r="K79"/>
  <c r="J79"/>
  <c r="H31"/>
  <c r="I31"/>
  <c r="U31" s="1"/>
  <c r="H54"/>
  <c r="H77" s="1"/>
  <c r="I54"/>
  <c r="U54" s="1"/>
  <c r="I36"/>
  <c r="U36" s="1"/>
  <c r="U38"/>
  <c r="H79"/>
  <c r="H80" s="1"/>
  <c r="H28"/>
  <c r="H47"/>
  <c r="H11"/>
  <c r="H12"/>
  <c r="H16"/>
  <c r="H13"/>
  <c r="H15"/>
  <c r="F81"/>
  <c r="H19"/>
  <c r="H40"/>
  <c r="U49" l="1"/>
  <c r="U79"/>
  <c r="U47"/>
  <c r="U11"/>
  <c r="U28"/>
  <c r="U25"/>
  <c r="U24"/>
  <c r="U12"/>
  <c r="U13"/>
  <c r="H52"/>
  <c r="U52"/>
  <c r="I81"/>
  <c r="T81"/>
  <c r="T112" s="1"/>
  <c r="R81"/>
  <c r="P81"/>
  <c r="N81"/>
  <c r="L81"/>
  <c r="L112" s="1"/>
  <c r="K81"/>
  <c r="J81"/>
  <c r="J112" s="1"/>
  <c r="S81"/>
  <c r="Q81"/>
  <c r="O81"/>
  <c r="M81"/>
  <c r="M112" s="1"/>
  <c r="H32"/>
  <c r="U77"/>
  <c r="U80"/>
  <c r="K112"/>
  <c r="N112"/>
  <c r="R112"/>
  <c r="O112"/>
  <c r="P112"/>
  <c r="S112"/>
  <c r="U40"/>
  <c r="H81"/>
  <c r="H82" s="1"/>
  <c r="H22"/>
  <c r="U81" l="1"/>
  <c r="Q112"/>
  <c r="U82"/>
  <c r="U32"/>
  <c r="U22"/>
  <c r="I112"/>
  <c r="H83"/>
  <c r="H85" s="1"/>
  <c r="G112" s="1"/>
  <c r="H112" s="1"/>
  <c r="U83" l="1"/>
  <c r="U112" s="1"/>
  <c r="C117" l="1"/>
  <c r="C121" s="1"/>
</calcChain>
</file>

<file path=xl/sharedStrings.xml><?xml version="1.0" encoding="utf-8"?>
<sst xmlns="http://schemas.openxmlformats.org/spreadsheetml/2006/main" count="331" uniqueCount="246">
  <si>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</si>
  <si>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</si>
  <si>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</si>
  <si>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</si>
  <si>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</si>
  <si>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</si>
  <si>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</si>
  <si>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</si>
  <si>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</si>
  <si>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</si>
  <si>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</si>
  <si>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</si>
  <si>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</si>
  <si>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</si>
  <si>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</si>
  <si>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</si>
  <si>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</si>
  <si>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</si>
  <si>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</si>
  <si>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</si>
  <si>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</si>
  <si>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</si>
  <si>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</si>
  <si>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</si>
  <si>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</si>
  <si>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</si>
  <si>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</si>
  <si>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</si>
  <si>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</si>
  <si>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</si>
  <si>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</si>
  <si>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</si>
  <si>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</si>
  <si>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</si>
  <si>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</si>
  <si>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</si>
  <si>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</si>
  <si>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</si>
  <si>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</si>
  <si>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</si>
  <si>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</si>
  <si>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</si>
  <si>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</si>
  <si>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</si>
  <si>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</si>
  <si>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</si>
  <si>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</si>
  <si>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</si>
  <si>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</si>
  <si>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</si>
  <si>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</si>
  <si>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</si>
  <si>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</si>
  <si>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</si>
  <si>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</si>
  <si>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</si>
  <si>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</si>
  <si>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</si>
  <si>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</si>
  <si>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</si>
  <si>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</si>
  <si>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</si>
  <si>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</si>
  <si>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</si>
  <si>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</si>
  <si>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</si>
  <si>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</si>
  <si>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</si>
  <si>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</si>
  <si>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</si>
  <si>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</si>
  <si>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</si>
  <si>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</si>
  <si>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</si>
  <si>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</si>
  <si>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</si>
  <si>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</si>
  <si>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</si>
  <si>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</si>
  <si>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</si>
  <si>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</si>
  <si>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</si>
  <si>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</si>
  <si>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</si>
  <si>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</si>
  <si>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</si>
  <si>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</si>
  <si>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</si>
  <si>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</si>
  <si>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</si>
  <si>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</si>
  <si>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</si>
  <si>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</si>
  <si>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</si>
  <si>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</si>
  <si>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</si>
  <si>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Очистка чердака, подвала от мусора</t>
  </si>
  <si>
    <t>30 раз за сезон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</si>
  <si>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</si>
  <si>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</si>
  <si>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</si>
  <si>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</si>
  <si>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</si>
  <si>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</si>
  <si>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24 раз за сезон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</si>
  <si>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</si>
  <si>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</si>
  <si>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</si>
  <si>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</si>
  <si>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</si>
  <si>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</si>
  <si>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</si>
  <si>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</si>
  <si>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</si>
  <si>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</si>
  <si>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</si>
  <si>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</si>
  <si>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</si>
  <si>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 xml:space="preserve">Смена сгонов у трубопроводов диаметром до 20 мм </t>
  </si>
  <si>
    <t>1 сгон</t>
  </si>
  <si>
    <t>Стоимость (руб.)</t>
  </si>
  <si>
    <t>3 этажа, 3 подъезда</t>
  </si>
  <si>
    <t>договор</t>
  </si>
  <si>
    <t>ТО внутридомового газ.оборудования</t>
  </si>
  <si>
    <t>калькуляция</t>
  </si>
  <si>
    <t>Работа автовышки</t>
  </si>
  <si>
    <t>счёт</t>
  </si>
  <si>
    <t xml:space="preserve">Погрузка травы, ветвей </t>
  </si>
  <si>
    <t xml:space="preserve"> - Уборка газонов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</si>
  <si>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</si>
  <si>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</si>
  <si>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Ремонт групповых щитков на лестничной клетке без ремонта автоматов</t>
  </si>
  <si>
    <t xml:space="preserve"> - Подметание территории с усовершенствованным покрытием асф.: крыльца, контейнерн. пл., проезд, тротуар</t>
  </si>
  <si>
    <t>Вывоз смета, травы, ветвей и т.п.- м/ч</t>
  </si>
  <si>
    <t>Осмотр шиферной кровли</t>
  </si>
  <si>
    <t>Влажное подметание лестничных клеток 2-3 этажа</t>
  </si>
  <si>
    <t>Мытье лестничных  площадок и маршей 1-3 этаж.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</si>
  <si>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</si>
  <si>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</si>
  <si>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</si>
  <si>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</si>
  <si>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</si>
  <si>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</si>
  <si>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</si>
  <si>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</si>
  <si>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</si>
  <si>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</si>
  <si>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</si>
  <si>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</si>
  <si>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</si>
  <si>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</si>
  <si>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</si>
  <si>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</si>
  <si>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</si>
  <si>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</si>
  <si>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</si>
  <si>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</si>
  <si>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</si>
  <si>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</si>
  <si>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</si>
  <si>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</si>
  <si>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</si>
  <si>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</si>
  <si>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</si>
  <si>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</si>
  <si>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</si>
  <si>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</si>
  <si>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</si>
  <si>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</si>
  <si>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</si>
  <si>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</si>
  <si>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</si>
  <si>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</si>
  <si>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</si>
  <si>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</si>
  <si>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</si>
  <si>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33-037</t>
  </si>
  <si>
    <t>ТЕР 33-030</t>
  </si>
  <si>
    <t xml:space="preserve">2 раза в месяц  24 раза в год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</si>
  <si>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</si>
  <si>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</si>
  <si>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</si>
  <si>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Пескопосыпка территории: крыльца и вход.площади</t>
  </si>
  <si>
    <t>1 раз в месяц (5 раз за год)</t>
  </si>
  <si>
    <t>маш-час</t>
  </si>
  <si>
    <t>Дератизация</t>
  </si>
  <si>
    <t>м2</t>
  </si>
  <si>
    <t>12 раз в год</t>
  </si>
  <si>
    <t>ТО внутренних сетей водопровода и канализации</t>
  </si>
  <si>
    <t>руб/м2 в мес.</t>
  </si>
  <si>
    <t>пр.ТЕР 33-024</t>
  </si>
  <si>
    <t>Смена светодиодных светильников</t>
  </si>
  <si>
    <t>1 шт.</t>
  </si>
  <si>
    <t>Стоимость светодиодного светильника</t>
  </si>
  <si>
    <t>руб.</t>
  </si>
  <si>
    <t>ТЭР 33-037</t>
  </si>
  <si>
    <t>1 раз в месяц</t>
  </si>
  <si>
    <t>Снятие показаний с общедомовых приборов учёта электрической энергии</t>
  </si>
  <si>
    <t>ТЕР 31-009</t>
  </si>
  <si>
    <t>Баланс выполненных работ на 01.01.2017 г. ( -долг за предприятием, +долг за населением)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</si>
  <si>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Октябрьская, 49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</si>
  <si>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</si>
  <si>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</si>
  <si>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</si>
  <si>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</si>
  <si>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</si>
  <si>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</si>
  <si>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</si>
  <si>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ТЕР 33-060</t>
  </si>
  <si>
    <t>Подключение и отключение сварочного аппарата</t>
  </si>
  <si>
    <t>Элемент питания для СПТ TL-2300</t>
  </si>
  <si>
    <t>ТЕР 32-027</t>
  </si>
  <si>
    <t>Смена арматуры - вентилей и клапанов обратных муфтовых диаметром до 20 мм</t>
  </si>
  <si>
    <t>1 шт</t>
  </si>
  <si>
    <t>пр.ТЕР 32-098</t>
  </si>
  <si>
    <t>Установка хомута диаметром до 50 мм</t>
  </si>
  <si>
    <t>место</t>
  </si>
  <si>
    <t>Осмотр элекгросетей, арматуры и электрооборудования на чердаках и подвалах</t>
  </si>
  <si>
    <t>1 мЗ</t>
  </si>
  <si>
    <t>Засыпка обочины дороги щебнем</t>
  </si>
  <si>
    <t>Работа гона</t>
  </si>
  <si>
    <t>маш/час</t>
  </si>
  <si>
    <t>Поверка средств измерений: Счетчики горячей воды ВСТ</t>
  </si>
  <si>
    <t xml:space="preserve">пр.ТЕР 31-010 </t>
  </si>
  <si>
    <t>Смена подводки (муфт) у трубопроводов диаметром до 32 мм</t>
  </si>
  <si>
    <t>ТЕР 17-006</t>
  </si>
  <si>
    <t>Ремонт отдельных мест покрытия из асбоцементных листов обыкновенного профиля</t>
  </si>
  <si>
    <t>10 м2</t>
  </si>
  <si>
    <t>10 м</t>
  </si>
  <si>
    <t>пр.ТЕР 17-054</t>
  </si>
  <si>
    <t>Смена обделок из листовой стали, коньков, сандриков, отливов, карнизов, шириной до 0,4 м</t>
  </si>
  <si>
    <t>Дезинфекция подвала</t>
  </si>
  <si>
    <t>пр.ТЕР 32-101</t>
  </si>
  <si>
    <t>Прочистка засоров канализации</t>
  </si>
  <si>
    <t>3м</t>
  </si>
  <si>
    <t>ТЕР 33-034</t>
  </si>
  <si>
    <r>
      <t>Смена отдельных участков наружной проводки (кабель АВВГ 2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2,5 мм</t>
    </r>
    <r>
      <rPr>
        <sz val="10"/>
        <rFont val="Calibri"/>
        <family val="2"/>
        <charset val="204"/>
      </rPr>
      <t>²</t>
    </r>
    <r>
      <rPr>
        <sz val="10"/>
        <rFont val="Arial"/>
        <family val="2"/>
        <charset val="204"/>
      </rPr>
      <t>)</t>
    </r>
  </si>
  <si>
    <t>м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</si>
  <si>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</si>
  <si>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</si>
  <si>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1 м</t>
  </si>
  <si>
    <t>пр.ТЕР 32-086</t>
  </si>
  <si>
    <t>Смена внутренних трубопроводов из стальных труб диаметром до 25 мм (без стоимости материалов)</t>
  </si>
  <si>
    <t>15 раз за сезон</t>
  </si>
  <si>
    <t>Сверхнормативы по ОДП за 1 полугодие</t>
  </si>
  <si>
    <t>Сверхнормативы по ОДП за 2 полугодие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</si>
</sst>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5" borderId="19" xfId="0" applyFont="1" applyFill="1" applyBorder="1"/>
    <xf numFmtId="0" fontId="1" fillId="4" borderId="18" xfId="0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22" xfId="0" applyNumberFormat="1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65" fontId="1" fillId="4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5"/>
  <sheetViews>
    <sheetView tabSelected="1" view="pageBreakPreview" zoomScaleNormal="75" zoomScaleSheetLayoutView="100" workbookViewId="0">
      <pane ySplit="7" topLeftCell="A117" activePane="bottomLeft" state="frozen"/>
      <selection activeCell="B1" sqref="B1"/>
      <selection pane="bottomLeft" activeCell="B122" sqref="B122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  <col min="22" max="23" width="9.140625" style="141"/>
  </cols>
  <sheetData>
    <row r="1" spans="1:21" ht="14.25" customHeight="1">
      <c r="A1" s="135"/>
    </row>
    <row r="3" spans="1:21" ht="18">
      <c r="A3" s="121"/>
      <c r="B3" s="157" t="s">
        <v>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65"/>
      <c r="N3" s="65"/>
      <c r="O3" s="65"/>
      <c r="P3" s="65"/>
      <c r="Q3" s="65"/>
      <c r="R3" s="65"/>
      <c r="S3" s="65"/>
      <c r="T3" s="65"/>
      <c r="U3" s="65"/>
    </row>
    <row r="4" spans="1:21" ht="34.5" customHeight="1">
      <c r="A4" s="65"/>
      <c r="B4" s="158" t="s">
        <v>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65"/>
      <c r="N4" s="65"/>
      <c r="O4" s="65"/>
      <c r="P4" s="65"/>
      <c r="Q4" s="65"/>
      <c r="R4" s="65"/>
      <c r="S4" s="65"/>
      <c r="T4" s="65"/>
      <c r="U4" s="65"/>
    </row>
    <row r="5" spans="1:21" ht="18">
      <c r="A5" s="65"/>
      <c r="B5" s="158" t="s">
        <v>200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65"/>
      <c r="N5" s="65"/>
      <c r="O5" s="65"/>
      <c r="P5" s="65"/>
      <c r="Q5" s="65"/>
      <c r="R5" s="65"/>
      <c r="S5" s="65"/>
      <c r="T5" s="65"/>
      <c r="U5" s="65"/>
    </row>
    <row r="6" spans="1:21" ht="15">
      <c r="A6" s="65"/>
      <c r="B6" s="159" t="s">
        <v>121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65"/>
      <c r="N6" s="65"/>
      <c r="O6" s="65"/>
      <c r="P6" s="65"/>
      <c r="Q6" s="65"/>
      <c r="R6" s="65"/>
      <c r="S6" s="65"/>
      <c r="T6" s="65"/>
      <c r="U6" s="65"/>
    </row>
    <row r="7" spans="1:21" ht="48.75" customHeight="1">
      <c r="A7" s="125" t="s">
        <v>2</v>
      </c>
      <c r="B7" s="126" t="s">
        <v>3</v>
      </c>
      <c r="C7" s="126" t="s">
        <v>4</v>
      </c>
      <c r="D7" s="126" t="s">
        <v>5</v>
      </c>
      <c r="E7" s="126" t="s">
        <v>6</v>
      </c>
      <c r="F7" s="126" t="s">
        <v>7</v>
      </c>
      <c r="G7" s="126" t="s">
        <v>8</v>
      </c>
      <c r="H7" s="127" t="s">
        <v>9</v>
      </c>
      <c r="I7" s="22" t="s">
        <v>105</v>
      </c>
      <c r="J7" s="22" t="s">
        <v>106</v>
      </c>
      <c r="K7" s="22" t="s">
        <v>107</v>
      </c>
      <c r="L7" s="22" t="s">
        <v>108</v>
      </c>
      <c r="M7" s="22" t="s">
        <v>109</v>
      </c>
      <c r="N7" s="22" t="s">
        <v>110</v>
      </c>
      <c r="O7" s="22" t="s">
        <v>111</v>
      </c>
      <c r="P7" s="22" t="s">
        <v>112</v>
      </c>
      <c r="Q7" s="22" t="s">
        <v>113</v>
      </c>
      <c r="R7" s="22" t="s">
        <v>114</v>
      </c>
      <c r="S7" s="22" t="s">
        <v>115</v>
      </c>
      <c r="T7" s="22" t="s">
        <v>116</v>
      </c>
      <c r="U7" s="22" t="s">
        <v>120</v>
      </c>
    </row>
    <row r="8" spans="1:21">
      <c r="A8" s="128">
        <v>1</v>
      </c>
      <c r="B8" s="7">
        <v>2</v>
      </c>
      <c r="C8" s="23">
        <v>3</v>
      </c>
      <c r="D8" s="7">
        <v>4</v>
      </c>
      <c r="E8" s="7">
        <v>5</v>
      </c>
      <c r="F8" s="23">
        <v>6</v>
      </c>
      <c r="G8" s="23">
        <v>7</v>
      </c>
      <c r="H8" s="24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5">
        <v>21</v>
      </c>
    </row>
    <row r="9" spans="1:21" ht="38.25">
      <c r="A9" s="128"/>
      <c r="B9" s="9" t="s">
        <v>10</v>
      </c>
      <c r="C9" s="23"/>
      <c r="D9" s="10"/>
      <c r="E9" s="10"/>
      <c r="F9" s="23"/>
      <c r="G9" s="23"/>
      <c r="H9" s="26"/>
      <c r="I9" s="27"/>
      <c r="J9" s="27"/>
      <c r="K9" s="27"/>
      <c r="L9" s="27"/>
      <c r="M9" s="28"/>
      <c r="N9" s="29"/>
      <c r="O9" s="29"/>
      <c r="P9" s="29"/>
      <c r="Q9" s="29"/>
      <c r="R9" s="29"/>
      <c r="S9" s="29"/>
      <c r="T9" s="29"/>
      <c r="U9" s="29"/>
    </row>
    <row r="10" spans="1:21">
      <c r="A10" s="128"/>
      <c r="B10" s="9" t="s">
        <v>11</v>
      </c>
      <c r="C10" s="23"/>
      <c r="D10" s="10"/>
      <c r="E10" s="10"/>
      <c r="F10" s="23"/>
      <c r="G10" s="23"/>
      <c r="H10" s="26"/>
      <c r="I10" s="27"/>
      <c r="J10" s="27"/>
      <c r="K10" s="27"/>
      <c r="L10" s="27"/>
      <c r="M10" s="28"/>
      <c r="N10" s="29"/>
      <c r="O10" s="29"/>
      <c r="P10" s="29"/>
      <c r="Q10" s="29"/>
      <c r="R10" s="29"/>
      <c r="S10" s="29"/>
      <c r="T10" s="29"/>
      <c r="U10" s="29"/>
    </row>
    <row r="11" spans="1:21" ht="25.5">
      <c r="A11" s="128" t="s">
        <v>137</v>
      </c>
      <c r="B11" s="10" t="s">
        <v>12</v>
      </c>
      <c r="C11" s="23" t="s">
        <v>13</v>
      </c>
      <c r="D11" s="10" t="s">
        <v>14</v>
      </c>
      <c r="E11" s="30">
        <v>54.9</v>
      </c>
      <c r="F11" s="31">
        <f>SUM(E11*156/100)</f>
        <v>85.643999999999991</v>
      </c>
      <c r="G11" s="31">
        <v>218.21</v>
      </c>
      <c r="H11" s="32">
        <f t="shared" ref="H11:H21" si="0">SUM(F11*G11/1000)</f>
        <v>18.688377239999998</v>
      </c>
      <c r="I11" s="33">
        <f>F11/12*G11</f>
        <v>1557.3647699999999</v>
      </c>
      <c r="J11" s="33">
        <f>F11/12*G11</f>
        <v>1557.3647699999999</v>
      </c>
      <c r="K11" s="33">
        <f>F11/12*G11</f>
        <v>1557.3647699999999</v>
      </c>
      <c r="L11" s="33">
        <f>F11/12*G11</f>
        <v>1557.3647699999999</v>
      </c>
      <c r="M11" s="33">
        <f>F11/12*G11</f>
        <v>1557.3647699999999</v>
      </c>
      <c r="N11" s="33">
        <f>F11/12*G11</f>
        <v>1557.3647699999999</v>
      </c>
      <c r="O11" s="33">
        <f>F11/12*G11</f>
        <v>1557.3647699999999</v>
      </c>
      <c r="P11" s="33">
        <f>F11/12*G11</f>
        <v>1557.3647699999999</v>
      </c>
      <c r="Q11" s="33">
        <f>F11/12*G11</f>
        <v>1557.3647699999999</v>
      </c>
      <c r="R11" s="33">
        <f>F11/12*G11</f>
        <v>1557.3647699999999</v>
      </c>
      <c r="S11" s="33">
        <f>F11/12*G11</f>
        <v>1557.3647699999999</v>
      </c>
      <c r="T11" s="33">
        <f>F11/12*G11</f>
        <v>1557.3647699999999</v>
      </c>
      <c r="U11" s="33">
        <f>SUM(I11:T11)</f>
        <v>18688.377239999998</v>
      </c>
    </row>
    <row r="12" spans="1:21" ht="25.5">
      <c r="A12" s="128" t="s">
        <v>137</v>
      </c>
      <c r="B12" s="10" t="s">
        <v>135</v>
      </c>
      <c r="C12" s="23" t="s">
        <v>13</v>
      </c>
      <c r="D12" s="10" t="s">
        <v>15</v>
      </c>
      <c r="E12" s="30">
        <v>109.8</v>
      </c>
      <c r="F12" s="31">
        <f>SUM(E12*104/100)</f>
        <v>114.19199999999999</v>
      </c>
      <c r="G12" s="31">
        <v>218.21</v>
      </c>
      <c r="H12" s="32">
        <f t="shared" si="0"/>
        <v>24.917836319999999</v>
      </c>
      <c r="I12" s="33">
        <f>F12/12*G12</f>
        <v>2076.4863599999999</v>
      </c>
      <c r="J12" s="33">
        <f>F12/12*G12</f>
        <v>2076.4863599999999</v>
      </c>
      <c r="K12" s="33">
        <f>F12/12*G12</f>
        <v>2076.4863599999999</v>
      </c>
      <c r="L12" s="33">
        <f>F12/12*G12</f>
        <v>2076.4863599999999</v>
      </c>
      <c r="M12" s="33">
        <f>F12/12*G12</f>
        <v>2076.4863599999999</v>
      </c>
      <c r="N12" s="33">
        <f>F12/12*G12</f>
        <v>2076.4863599999999</v>
      </c>
      <c r="O12" s="33">
        <f>F12/12*G12</f>
        <v>2076.4863599999999</v>
      </c>
      <c r="P12" s="33">
        <f>F12/12*G12</f>
        <v>2076.4863599999999</v>
      </c>
      <c r="Q12" s="33">
        <f>F12/12*G12</f>
        <v>2076.4863599999999</v>
      </c>
      <c r="R12" s="33">
        <f>F12/12*G12</f>
        <v>2076.4863599999999</v>
      </c>
      <c r="S12" s="33">
        <f>F12/12*G12</f>
        <v>2076.4863599999999</v>
      </c>
      <c r="T12" s="33">
        <f>F12/12*G12</f>
        <v>2076.4863599999999</v>
      </c>
      <c r="U12" s="33">
        <f t="shared" ref="U12:U21" si="1">SUM(I12:T12)</f>
        <v>24917.836319999991</v>
      </c>
    </row>
    <row r="13" spans="1:21" ht="25.5">
      <c r="A13" s="128" t="s">
        <v>138</v>
      </c>
      <c r="B13" s="10" t="s">
        <v>136</v>
      </c>
      <c r="C13" s="23" t="s">
        <v>13</v>
      </c>
      <c r="D13" s="10" t="s">
        <v>178</v>
      </c>
      <c r="E13" s="30">
        <f>SUM(E11+E12)</f>
        <v>164.7</v>
      </c>
      <c r="F13" s="31">
        <f>SUM(E13*24/100)</f>
        <v>39.527999999999999</v>
      </c>
      <c r="G13" s="31">
        <v>627.77</v>
      </c>
      <c r="H13" s="32">
        <f t="shared" si="0"/>
        <v>24.814492559999998</v>
      </c>
      <c r="I13" s="33">
        <f>F13/12*G13</f>
        <v>2067.8743799999997</v>
      </c>
      <c r="J13" s="33">
        <f>F13/12*G13</f>
        <v>2067.8743799999997</v>
      </c>
      <c r="K13" s="33">
        <f>F13/12*G13</f>
        <v>2067.8743799999997</v>
      </c>
      <c r="L13" s="33">
        <f>F13/12*G13</f>
        <v>2067.8743799999997</v>
      </c>
      <c r="M13" s="33">
        <f>F13/12*G13</f>
        <v>2067.8743799999997</v>
      </c>
      <c r="N13" s="33">
        <f>F13/12*G13</f>
        <v>2067.8743799999997</v>
      </c>
      <c r="O13" s="33">
        <f>F13/12*G13</f>
        <v>2067.8743799999997</v>
      </c>
      <c r="P13" s="33">
        <f>F13/12*G13</f>
        <v>2067.8743799999997</v>
      </c>
      <c r="Q13" s="33">
        <f>F13/12*G13</f>
        <v>2067.8743799999997</v>
      </c>
      <c r="R13" s="33">
        <f>F13/12*G13</f>
        <v>2067.8743799999997</v>
      </c>
      <c r="S13" s="33">
        <f>F13/12*G13</f>
        <v>2067.8743799999997</v>
      </c>
      <c r="T13" s="33">
        <f>F13/12*G13</f>
        <v>2067.8743799999997</v>
      </c>
      <c r="U13" s="33">
        <f t="shared" si="1"/>
        <v>24814.492560000002</v>
      </c>
    </row>
    <row r="14" spans="1:21">
      <c r="A14" s="128" t="s">
        <v>139</v>
      </c>
      <c r="B14" s="10" t="s">
        <v>16</v>
      </c>
      <c r="C14" s="23" t="s">
        <v>17</v>
      </c>
      <c r="D14" s="10" t="s">
        <v>93</v>
      </c>
      <c r="E14" s="30">
        <v>21.6</v>
      </c>
      <c r="F14" s="31">
        <f>SUM(E14/10)</f>
        <v>2.16</v>
      </c>
      <c r="G14" s="31">
        <v>211.74</v>
      </c>
      <c r="H14" s="32">
        <f t="shared" si="0"/>
        <v>0.45735840000000005</v>
      </c>
      <c r="I14" s="33">
        <v>0</v>
      </c>
      <c r="J14" s="33">
        <v>0</v>
      </c>
      <c r="K14" s="33">
        <v>0</v>
      </c>
      <c r="L14" s="33">
        <v>0</v>
      </c>
      <c r="M14" s="33">
        <f>F14/2*G14</f>
        <v>228.67920000000004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f t="shared" si="1"/>
        <v>228.67920000000004</v>
      </c>
    </row>
    <row r="15" spans="1:21">
      <c r="A15" s="128" t="s">
        <v>140</v>
      </c>
      <c r="B15" s="10" t="s">
        <v>18</v>
      </c>
      <c r="C15" s="23" t="s">
        <v>13</v>
      </c>
      <c r="D15" s="10" t="s">
        <v>48</v>
      </c>
      <c r="E15" s="30">
        <v>9.18</v>
      </c>
      <c r="F15" s="31">
        <f>SUM(E15*2/100)</f>
        <v>0.18359999999999999</v>
      </c>
      <c r="G15" s="31">
        <v>271.12</v>
      </c>
      <c r="H15" s="32">
        <f t="shared" si="0"/>
        <v>4.9777631999999995E-2</v>
      </c>
      <c r="I15" s="33">
        <v>0</v>
      </c>
      <c r="J15" s="33">
        <v>0</v>
      </c>
      <c r="K15" s="33">
        <v>0</v>
      </c>
      <c r="L15" s="33">
        <v>0</v>
      </c>
      <c r="M15" s="33">
        <f>F15/2*G15</f>
        <v>24.888815999999998</v>
      </c>
      <c r="N15" s="33">
        <v>0</v>
      </c>
      <c r="O15" s="33">
        <v>0</v>
      </c>
      <c r="P15" s="33">
        <v>0</v>
      </c>
      <c r="Q15" s="33">
        <f>F15/2*G15</f>
        <v>24.888815999999998</v>
      </c>
      <c r="R15" s="33">
        <v>0</v>
      </c>
      <c r="S15" s="33">
        <v>0</v>
      </c>
      <c r="T15" s="33">
        <v>0</v>
      </c>
      <c r="U15" s="33">
        <f t="shared" si="1"/>
        <v>49.777631999999997</v>
      </c>
    </row>
    <row r="16" spans="1:21">
      <c r="A16" s="128" t="s">
        <v>141</v>
      </c>
      <c r="B16" s="10" t="s">
        <v>19</v>
      </c>
      <c r="C16" s="23" t="s">
        <v>13</v>
      </c>
      <c r="D16" s="10" t="s">
        <v>48</v>
      </c>
      <c r="E16" s="30">
        <v>8.1</v>
      </c>
      <c r="F16" s="31">
        <f>SUM(E16*2/100)</f>
        <v>0.16200000000000001</v>
      </c>
      <c r="G16" s="31">
        <v>268.92</v>
      </c>
      <c r="H16" s="32">
        <f t="shared" si="0"/>
        <v>4.3565040000000006E-2</v>
      </c>
      <c r="I16" s="33">
        <v>0</v>
      </c>
      <c r="J16" s="33">
        <v>0</v>
      </c>
      <c r="K16" s="33">
        <v>0</v>
      </c>
      <c r="L16" s="33">
        <v>0</v>
      </c>
      <c r="M16" s="33">
        <f>F16/2*G16</f>
        <v>21.782520000000002</v>
      </c>
      <c r="N16" s="33">
        <v>0</v>
      </c>
      <c r="O16" s="33">
        <v>0</v>
      </c>
      <c r="P16" s="33">
        <v>0</v>
      </c>
      <c r="Q16" s="33">
        <f>F16/2*G16</f>
        <v>21.782520000000002</v>
      </c>
      <c r="R16" s="33">
        <v>0</v>
      </c>
      <c r="S16" s="33">
        <v>0</v>
      </c>
      <c r="T16" s="33">
        <v>0</v>
      </c>
      <c r="U16" s="33">
        <f t="shared" si="1"/>
        <v>43.565040000000003</v>
      </c>
    </row>
    <row r="17" spans="1:23">
      <c r="A17" s="128" t="s">
        <v>142</v>
      </c>
      <c r="B17" s="10" t="s">
        <v>20</v>
      </c>
      <c r="C17" s="23" t="s">
        <v>21</v>
      </c>
      <c r="D17" s="10" t="s">
        <v>93</v>
      </c>
      <c r="E17" s="30">
        <v>220.32</v>
      </c>
      <c r="F17" s="31">
        <f>SUM(E17/100)</f>
        <v>2.2031999999999998</v>
      </c>
      <c r="G17" s="31">
        <v>335.05</v>
      </c>
      <c r="H17" s="32">
        <f t="shared" si="0"/>
        <v>0.73818215999999992</v>
      </c>
      <c r="I17" s="33">
        <v>0</v>
      </c>
      <c r="J17" s="33">
        <v>0</v>
      </c>
      <c r="K17" s="33">
        <v>0</v>
      </c>
      <c r="L17" s="33">
        <v>0</v>
      </c>
      <c r="M17" s="33">
        <f>F17*G17</f>
        <v>738.18215999999995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f t="shared" si="1"/>
        <v>738.18215999999995</v>
      </c>
    </row>
    <row r="18" spans="1:23">
      <c r="A18" s="128" t="s">
        <v>143</v>
      </c>
      <c r="B18" s="10" t="s">
        <v>22</v>
      </c>
      <c r="C18" s="23" t="s">
        <v>21</v>
      </c>
      <c r="D18" s="10" t="s">
        <v>93</v>
      </c>
      <c r="E18" s="35">
        <v>17.64</v>
      </c>
      <c r="F18" s="31">
        <f>SUM(E18/100)</f>
        <v>0.1764</v>
      </c>
      <c r="G18" s="31">
        <v>55.1</v>
      </c>
      <c r="H18" s="32">
        <f t="shared" si="0"/>
        <v>9.7196399999999999E-3</v>
      </c>
      <c r="I18" s="33">
        <v>0</v>
      </c>
      <c r="J18" s="33">
        <v>0</v>
      </c>
      <c r="K18" s="33">
        <v>0</v>
      </c>
      <c r="L18" s="33">
        <v>0</v>
      </c>
      <c r="M18" s="33">
        <f t="shared" ref="M18:M21" si="2">F18*G18</f>
        <v>9.7196400000000001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f t="shared" si="1"/>
        <v>9.7196400000000001</v>
      </c>
    </row>
    <row r="19" spans="1:23">
      <c r="A19" s="128" t="s">
        <v>144</v>
      </c>
      <c r="B19" s="10" t="s">
        <v>23</v>
      </c>
      <c r="C19" s="23" t="s">
        <v>21</v>
      </c>
      <c r="D19" s="10" t="s">
        <v>94</v>
      </c>
      <c r="E19" s="30">
        <v>7.2</v>
      </c>
      <c r="F19" s="31">
        <f>E19/100</f>
        <v>7.2000000000000008E-2</v>
      </c>
      <c r="G19" s="31">
        <v>484.94</v>
      </c>
      <c r="H19" s="32">
        <f t="shared" si="0"/>
        <v>3.4915680000000004E-2</v>
      </c>
      <c r="I19" s="33">
        <v>0</v>
      </c>
      <c r="J19" s="33">
        <v>0</v>
      </c>
      <c r="K19" s="33">
        <v>0</v>
      </c>
      <c r="L19" s="33">
        <v>0</v>
      </c>
      <c r="M19" s="33">
        <f t="shared" si="2"/>
        <v>34.915680000000002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f t="shared" si="1"/>
        <v>34.915680000000002</v>
      </c>
    </row>
    <row r="20" spans="1:23" ht="25.5">
      <c r="A20" s="128" t="s">
        <v>145</v>
      </c>
      <c r="B20" s="10" t="s">
        <v>95</v>
      </c>
      <c r="C20" s="23" t="s">
        <v>21</v>
      </c>
      <c r="D20" s="10" t="s">
        <v>31</v>
      </c>
      <c r="E20" s="30">
        <v>9.4499999999999993</v>
      </c>
      <c r="F20" s="31">
        <f>E20/100</f>
        <v>9.4499999999999987E-2</v>
      </c>
      <c r="G20" s="31">
        <v>268.92</v>
      </c>
      <c r="H20" s="32">
        <f t="shared" si="0"/>
        <v>2.5412939999999998E-2</v>
      </c>
      <c r="I20" s="33">
        <v>0</v>
      </c>
      <c r="J20" s="33">
        <v>0</v>
      </c>
      <c r="K20" s="33">
        <v>0</v>
      </c>
      <c r="L20" s="33">
        <v>0</v>
      </c>
      <c r="M20" s="33">
        <f t="shared" si="2"/>
        <v>25.412939999999999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f t="shared" si="1"/>
        <v>25.412939999999999</v>
      </c>
    </row>
    <row r="21" spans="1:23">
      <c r="A21" s="128" t="s">
        <v>146</v>
      </c>
      <c r="B21" s="10" t="s">
        <v>24</v>
      </c>
      <c r="C21" s="23" t="s">
        <v>21</v>
      </c>
      <c r="D21" s="10" t="s">
        <v>93</v>
      </c>
      <c r="E21" s="30">
        <v>10.8</v>
      </c>
      <c r="F21" s="31">
        <f>SUM(E21/100)</f>
        <v>0.10800000000000001</v>
      </c>
      <c r="G21" s="31">
        <v>684.05</v>
      </c>
      <c r="H21" s="32">
        <f t="shared" si="0"/>
        <v>7.387740000000001E-2</v>
      </c>
      <c r="I21" s="33">
        <v>0</v>
      </c>
      <c r="J21" s="33">
        <v>0</v>
      </c>
      <c r="K21" s="33">
        <v>0</v>
      </c>
      <c r="L21" s="33">
        <v>0</v>
      </c>
      <c r="M21" s="33">
        <f t="shared" si="2"/>
        <v>73.877400000000009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f t="shared" si="1"/>
        <v>73.877400000000009</v>
      </c>
    </row>
    <row r="22" spans="1:23" s="19" customFormat="1">
      <c r="A22" s="129"/>
      <c r="B22" s="20" t="s">
        <v>25</v>
      </c>
      <c r="C22" s="36"/>
      <c r="D22" s="20"/>
      <c r="E22" s="37"/>
      <c r="F22" s="38"/>
      <c r="G22" s="38"/>
      <c r="H22" s="39">
        <f>SUM(H11:H21)</f>
        <v>69.853515012000003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>
        <f>SUM(U11:U21)</f>
        <v>69624.835811999976</v>
      </c>
      <c r="V22" s="141"/>
      <c r="W22" s="141"/>
    </row>
    <row r="23" spans="1:23">
      <c r="A23" s="128"/>
      <c r="B23" s="12" t="s">
        <v>26</v>
      </c>
      <c r="C23" s="23"/>
      <c r="D23" s="10"/>
      <c r="E23" s="30"/>
      <c r="F23" s="31"/>
      <c r="G23" s="31"/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3" ht="25.5" customHeight="1">
      <c r="A24" s="128" t="s">
        <v>147</v>
      </c>
      <c r="B24" s="10" t="s">
        <v>128</v>
      </c>
      <c r="C24" s="23" t="s">
        <v>28</v>
      </c>
      <c r="D24" s="10" t="s">
        <v>27</v>
      </c>
      <c r="E24" s="31">
        <v>61.5</v>
      </c>
      <c r="F24" s="31">
        <f>SUM(E24*52/1000)</f>
        <v>3.198</v>
      </c>
      <c r="G24" s="31">
        <v>193.97</v>
      </c>
      <c r="H24" s="32">
        <f t="shared" ref="H24:H31" si="3">SUM(F24*G24/1000)</f>
        <v>0.62031605999999995</v>
      </c>
      <c r="I24" s="33">
        <v>0</v>
      </c>
      <c r="J24" s="33">
        <v>0</v>
      </c>
      <c r="K24" s="33">
        <v>0</v>
      </c>
      <c r="L24" s="33">
        <v>0</v>
      </c>
      <c r="M24" s="33">
        <f>F24/6*G24</f>
        <v>103.38601</v>
      </c>
      <c r="N24" s="33">
        <f>F24/6*G24</f>
        <v>103.38601</v>
      </c>
      <c r="O24" s="33">
        <f>F24/6*G24</f>
        <v>103.38601</v>
      </c>
      <c r="P24" s="33">
        <f>F24/6*G24</f>
        <v>103.38601</v>
      </c>
      <c r="Q24" s="33">
        <f>F24/6*G24</f>
        <v>103.38601</v>
      </c>
      <c r="R24" s="33">
        <f>F24/6*G24</f>
        <v>103.38601</v>
      </c>
      <c r="S24" s="33">
        <v>0</v>
      </c>
      <c r="T24" s="33">
        <v>0</v>
      </c>
      <c r="U24" s="33">
        <f t="shared" ref="U24:U31" si="4">SUM(I24:T24)</f>
        <v>620.31605999999988</v>
      </c>
    </row>
    <row r="25" spans="1:23" ht="38.25" customHeight="1">
      <c r="A25" s="128" t="s">
        <v>148</v>
      </c>
      <c r="B25" s="10" t="s">
        <v>132</v>
      </c>
      <c r="C25" s="23" t="s">
        <v>28</v>
      </c>
      <c r="D25" s="10" t="s">
        <v>29</v>
      </c>
      <c r="E25" s="31">
        <v>35.299999999999997</v>
      </c>
      <c r="F25" s="31">
        <f>SUM(E25*78/1000)</f>
        <v>2.7533999999999996</v>
      </c>
      <c r="G25" s="31">
        <v>321.82</v>
      </c>
      <c r="H25" s="32">
        <f t="shared" si="3"/>
        <v>0.88609918799999987</v>
      </c>
      <c r="I25" s="33">
        <v>0</v>
      </c>
      <c r="J25" s="33">
        <v>0</v>
      </c>
      <c r="K25" s="33">
        <v>0</v>
      </c>
      <c r="L25" s="33">
        <v>0</v>
      </c>
      <c r="M25" s="33">
        <f>F25/6*G25</f>
        <v>147.68319799999998</v>
      </c>
      <c r="N25" s="33">
        <f>F25/6*G25</f>
        <v>147.68319799999998</v>
      </c>
      <c r="O25" s="33">
        <f>F25/6*G25</f>
        <v>147.68319799999998</v>
      </c>
      <c r="P25" s="33">
        <f>F25/6*G25</f>
        <v>147.68319799999998</v>
      </c>
      <c r="Q25" s="33">
        <f>F25/6*G25</f>
        <v>147.68319799999998</v>
      </c>
      <c r="R25" s="33">
        <f>F25/6*G25</f>
        <v>147.68319799999998</v>
      </c>
      <c r="S25" s="33">
        <v>0</v>
      </c>
      <c r="T25" s="33">
        <v>0</v>
      </c>
      <c r="U25" s="33">
        <f t="shared" si="4"/>
        <v>886.0991879999998</v>
      </c>
    </row>
    <row r="26" spans="1:23">
      <c r="A26" s="128" t="s">
        <v>149</v>
      </c>
      <c r="B26" s="10" t="s">
        <v>30</v>
      </c>
      <c r="C26" s="23" t="s">
        <v>28</v>
      </c>
      <c r="D26" s="10" t="s">
        <v>31</v>
      </c>
      <c r="E26" s="31">
        <v>61.5</v>
      </c>
      <c r="F26" s="31">
        <f>SUM(E26/1000)</f>
        <v>6.1499999999999999E-2</v>
      </c>
      <c r="G26" s="31">
        <v>3758.28</v>
      </c>
      <c r="H26" s="32">
        <f t="shared" si="3"/>
        <v>0.23113422</v>
      </c>
      <c r="I26" s="33">
        <v>0</v>
      </c>
      <c r="J26" s="33">
        <v>0</v>
      </c>
      <c r="K26" s="33">
        <v>0</v>
      </c>
      <c r="L26" s="33">
        <v>0</v>
      </c>
      <c r="M26" s="33">
        <f>F26*G26</f>
        <v>231.13422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f t="shared" si="4"/>
        <v>231.13422</v>
      </c>
    </row>
    <row r="27" spans="1:23">
      <c r="A27" s="128" t="s">
        <v>150</v>
      </c>
      <c r="B27" s="10" t="s">
        <v>32</v>
      </c>
      <c r="C27" s="23" t="s">
        <v>33</v>
      </c>
      <c r="D27" s="10" t="s">
        <v>34</v>
      </c>
      <c r="E27" s="42">
        <f>1/3</f>
        <v>0.33333333333333331</v>
      </c>
      <c r="F27" s="31">
        <f>155/3</f>
        <v>51.666666666666664</v>
      </c>
      <c r="G27" s="31">
        <v>70.540000000000006</v>
      </c>
      <c r="H27" s="32">
        <f t="shared" si="3"/>
        <v>3.6445666666666665</v>
      </c>
      <c r="I27" s="33">
        <v>0</v>
      </c>
      <c r="J27" s="33">
        <v>0</v>
      </c>
      <c r="K27" s="33">
        <v>0</v>
      </c>
      <c r="L27" s="33">
        <v>0</v>
      </c>
      <c r="M27" s="33">
        <f>F27/6*G27</f>
        <v>607.42777777777781</v>
      </c>
      <c r="N27" s="33">
        <f>F27/6*G27</f>
        <v>607.42777777777781</v>
      </c>
      <c r="O27" s="33">
        <f>F27/6*G27</f>
        <v>607.42777777777781</v>
      </c>
      <c r="P27" s="33">
        <f>F27/6*G27</f>
        <v>607.42777777777781</v>
      </c>
      <c r="Q27" s="33">
        <f>F27/6*G27</f>
        <v>607.42777777777781</v>
      </c>
      <c r="R27" s="33">
        <f>F27/6*G27</f>
        <v>607.42777777777781</v>
      </c>
      <c r="S27" s="33">
        <v>0</v>
      </c>
      <c r="T27" s="33">
        <v>0</v>
      </c>
      <c r="U27" s="33">
        <f t="shared" si="4"/>
        <v>3644.5666666666671</v>
      </c>
    </row>
    <row r="28" spans="1:23" ht="12.75" customHeight="1">
      <c r="A28" s="128" t="s">
        <v>151</v>
      </c>
      <c r="B28" s="10" t="s">
        <v>35</v>
      </c>
      <c r="C28" s="23" t="s">
        <v>36</v>
      </c>
      <c r="D28" s="10" t="s">
        <v>37</v>
      </c>
      <c r="E28" s="43">
        <v>0.1</v>
      </c>
      <c r="F28" s="31">
        <f>SUM(E28*365)</f>
        <v>36.5</v>
      </c>
      <c r="G28" s="31">
        <v>182.96</v>
      </c>
      <c r="H28" s="32">
        <f t="shared" si="3"/>
        <v>6.6780400000000002</v>
      </c>
      <c r="I28" s="33">
        <f>F28/12*G28</f>
        <v>556.50333333333333</v>
      </c>
      <c r="J28" s="33">
        <f>F28/12*G28</f>
        <v>556.50333333333333</v>
      </c>
      <c r="K28" s="33">
        <f>F28/12*G28</f>
        <v>556.50333333333333</v>
      </c>
      <c r="L28" s="33">
        <f>F28/12*G28</f>
        <v>556.50333333333333</v>
      </c>
      <c r="M28" s="33">
        <f>F28/12*G28</f>
        <v>556.50333333333333</v>
      </c>
      <c r="N28" s="33">
        <f>F28/12*G28</f>
        <v>556.50333333333333</v>
      </c>
      <c r="O28" s="33">
        <f>F28/12*G28</f>
        <v>556.50333333333333</v>
      </c>
      <c r="P28" s="33">
        <f>F28/12*G28</f>
        <v>556.50333333333333</v>
      </c>
      <c r="Q28" s="33">
        <f>F28/12*G28</f>
        <v>556.50333333333333</v>
      </c>
      <c r="R28" s="33">
        <f>F28/12*G28</f>
        <v>556.50333333333333</v>
      </c>
      <c r="S28" s="33">
        <f>F28/12*G28</f>
        <v>556.50333333333333</v>
      </c>
      <c r="T28" s="33">
        <f>F28/12*G28</f>
        <v>556.50333333333333</v>
      </c>
      <c r="U28" s="33">
        <f t="shared" si="4"/>
        <v>6678.0399999999981</v>
      </c>
    </row>
    <row r="29" spans="1:23" ht="12.75" customHeight="1">
      <c r="A29" s="128" t="s">
        <v>152</v>
      </c>
      <c r="B29" s="10" t="s">
        <v>127</v>
      </c>
      <c r="C29" s="23" t="s">
        <v>36</v>
      </c>
      <c r="D29" s="10" t="s">
        <v>38</v>
      </c>
      <c r="E29" s="30"/>
      <c r="F29" s="31">
        <v>1</v>
      </c>
      <c r="G29" s="31">
        <v>238.07</v>
      </c>
      <c r="H29" s="32">
        <f t="shared" si="3"/>
        <v>0.23807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f t="shared" si="4"/>
        <v>0</v>
      </c>
    </row>
    <row r="30" spans="1:23" ht="12.75" customHeight="1">
      <c r="A30" s="128" t="s">
        <v>124</v>
      </c>
      <c r="B30" s="10" t="s">
        <v>133</v>
      </c>
      <c r="C30" s="23" t="s">
        <v>39</v>
      </c>
      <c r="D30" s="10" t="s">
        <v>38</v>
      </c>
      <c r="E30" s="30"/>
      <c r="F30" s="31">
        <v>1</v>
      </c>
      <c r="G30" s="31">
        <v>1413.96</v>
      </c>
      <c r="H30" s="32">
        <f t="shared" si="3"/>
        <v>1.4139600000000001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f t="shared" si="4"/>
        <v>0</v>
      </c>
    </row>
    <row r="31" spans="1:23">
      <c r="A31" s="128"/>
      <c r="B31" s="44" t="s">
        <v>40</v>
      </c>
      <c r="C31" s="23" t="s">
        <v>41</v>
      </c>
      <c r="D31" s="44" t="s">
        <v>42</v>
      </c>
      <c r="E31" s="30">
        <v>1536.4</v>
      </c>
      <c r="F31" s="31">
        <f>SUM(E31*12)</f>
        <v>18436.800000000003</v>
      </c>
      <c r="G31" s="31">
        <v>4.5599999999999996</v>
      </c>
      <c r="H31" s="32">
        <f t="shared" si="3"/>
        <v>84.071808000000004</v>
      </c>
      <c r="I31" s="33">
        <f>F31/12*G31</f>
        <v>7005.9840000000013</v>
      </c>
      <c r="J31" s="33">
        <f>F31/12*G31</f>
        <v>7005.9840000000013</v>
      </c>
      <c r="K31" s="33">
        <f>F31/12*G31</f>
        <v>7005.9840000000013</v>
      </c>
      <c r="L31" s="33">
        <f>F31/12*G31</f>
        <v>7005.9840000000013</v>
      </c>
      <c r="M31" s="33">
        <f>F31/12*G31</f>
        <v>7005.9840000000013</v>
      </c>
      <c r="N31" s="33">
        <f>F31/12*G31</f>
        <v>7005.9840000000013</v>
      </c>
      <c r="O31" s="33">
        <f>F31/12*G31</f>
        <v>7005.9840000000013</v>
      </c>
      <c r="P31" s="33">
        <f>F31/12*G31</f>
        <v>7005.9840000000013</v>
      </c>
      <c r="Q31" s="33">
        <f>F31/12*G31</f>
        <v>7005.9840000000013</v>
      </c>
      <c r="R31" s="33">
        <f>F31/12*G31</f>
        <v>7005.9840000000013</v>
      </c>
      <c r="S31" s="33">
        <f>F31/12*G31</f>
        <v>7005.9840000000013</v>
      </c>
      <c r="T31" s="33">
        <f>F31/12*G31</f>
        <v>7005.9840000000013</v>
      </c>
      <c r="U31" s="33">
        <f t="shared" si="4"/>
        <v>84071.808000000019</v>
      </c>
    </row>
    <row r="32" spans="1:23" s="19" customFormat="1">
      <c r="A32" s="129"/>
      <c r="B32" s="20" t="s">
        <v>25</v>
      </c>
      <c r="C32" s="36"/>
      <c r="D32" s="20"/>
      <c r="E32" s="37"/>
      <c r="F32" s="38"/>
      <c r="G32" s="38"/>
      <c r="H32" s="45">
        <f>SUM(H24:H31)</f>
        <v>97.783994134666671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>
        <f>SUM(U24:U31)</f>
        <v>96131.96413466669</v>
      </c>
      <c r="V32" s="141"/>
      <c r="W32" s="141"/>
    </row>
    <row r="33" spans="1:23">
      <c r="A33" s="128"/>
      <c r="B33" s="12" t="s">
        <v>43</v>
      </c>
      <c r="C33" s="23"/>
      <c r="D33" s="10"/>
      <c r="E33" s="30"/>
      <c r="F33" s="31"/>
      <c r="G33" s="31"/>
      <c r="H33" s="32" t="s">
        <v>42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3" ht="12.75" customHeight="1">
      <c r="A34" s="128" t="s">
        <v>124</v>
      </c>
      <c r="B34" s="13" t="s">
        <v>44</v>
      </c>
      <c r="C34" s="23" t="s">
        <v>39</v>
      </c>
      <c r="D34" s="10"/>
      <c r="E34" s="30"/>
      <c r="F34" s="31">
        <v>3</v>
      </c>
      <c r="G34" s="31">
        <v>1900.37</v>
      </c>
      <c r="H34" s="32">
        <f t="shared" ref="H34:H39" si="5">SUM(F34*G34/1000)</f>
        <v>5.7011099999999999</v>
      </c>
      <c r="I34" s="33">
        <f t="shared" ref="I34:I39" si="6">F34/6*G34</f>
        <v>950.18499999999995</v>
      </c>
      <c r="J34" s="33">
        <f t="shared" ref="J34:J39" si="7">F34/6*G34</f>
        <v>950.18499999999995</v>
      </c>
      <c r="K34" s="33">
        <f t="shared" ref="K34:K39" si="8">F34/6*G34</f>
        <v>950.18499999999995</v>
      </c>
      <c r="L34" s="33">
        <f t="shared" ref="L34:L39" si="9">F34/6*G34</f>
        <v>950.18499999999995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f t="shared" ref="S34:S39" si="10">F34/6*G34</f>
        <v>950.18499999999995</v>
      </c>
      <c r="T34" s="33">
        <f t="shared" ref="T34:T39" si="11">F34/6*G34</f>
        <v>950.18499999999995</v>
      </c>
      <c r="U34" s="33">
        <f t="shared" ref="U34:U39" si="12">SUM(I34:T34)</f>
        <v>5701.1099999999988</v>
      </c>
    </row>
    <row r="35" spans="1:23" ht="25.5">
      <c r="A35" s="130" t="s">
        <v>153</v>
      </c>
      <c r="B35" s="13" t="s">
        <v>179</v>
      </c>
      <c r="C35" s="47" t="s">
        <v>45</v>
      </c>
      <c r="D35" s="10" t="s">
        <v>97</v>
      </c>
      <c r="E35" s="30">
        <v>35.299999999999997</v>
      </c>
      <c r="F35" s="46">
        <f>E35*30/1000</f>
        <v>1.0589999999999999</v>
      </c>
      <c r="G35" s="31">
        <v>2616.4899999999998</v>
      </c>
      <c r="H35" s="32">
        <f t="shared" si="5"/>
        <v>2.77086291</v>
      </c>
      <c r="I35" s="33">
        <f t="shared" si="6"/>
        <v>461.81048499999991</v>
      </c>
      <c r="J35" s="33">
        <f t="shared" si="7"/>
        <v>461.81048499999991</v>
      </c>
      <c r="K35" s="33">
        <f t="shared" si="8"/>
        <v>461.81048499999991</v>
      </c>
      <c r="L35" s="33">
        <f t="shared" si="9"/>
        <v>461.81048499999991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f t="shared" si="10"/>
        <v>461.81048499999991</v>
      </c>
      <c r="T35" s="33">
        <f t="shared" si="11"/>
        <v>461.81048499999991</v>
      </c>
      <c r="U35" s="33">
        <f t="shared" si="12"/>
        <v>2770.8629099999994</v>
      </c>
    </row>
    <row r="36" spans="1:23" ht="12.75" customHeight="1">
      <c r="A36" s="128" t="s">
        <v>154</v>
      </c>
      <c r="B36" s="10" t="s">
        <v>180</v>
      </c>
      <c r="C36" s="23" t="s">
        <v>45</v>
      </c>
      <c r="D36" s="10" t="s">
        <v>46</v>
      </c>
      <c r="E36" s="30">
        <v>35.299999999999997</v>
      </c>
      <c r="F36" s="46">
        <f>SUM(E36*155/1000)</f>
        <v>5.4714999999999998</v>
      </c>
      <c r="G36" s="31">
        <v>436.45</v>
      </c>
      <c r="H36" s="32">
        <f t="shared" si="5"/>
        <v>2.3880361749999999</v>
      </c>
      <c r="I36" s="33">
        <f t="shared" si="6"/>
        <v>398.00602916666662</v>
      </c>
      <c r="J36" s="33">
        <f t="shared" si="7"/>
        <v>398.00602916666662</v>
      </c>
      <c r="K36" s="33">
        <f t="shared" si="8"/>
        <v>398.00602916666662</v>
      </c>
      <c r="L36" s="33">
        <f t="shared" si="9"/>
        <v>398.00602916666662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f t="shared" si="10"/>
        <v>398.00602916666662</v>
      </c>
      <c r="T36" s="33">
        <f t="shared" si="11"/>
        <v>398.00602916666662</v>
      </c>
      <c r="U36" s="33">
        <f t="shared" si="12"/>
        <v>2388.0361749999997</v>
      </c>
    </row>
    <row r="37" spans="1:23" ht="51" customHeight="1">
      <c r="A37" s="128" t="s">
        <v>155</v>
      </c>
      <c r="B37" s="10" t="s">
        <v>181</v>
      </c>
      <c r="C37" s="23" t="s">
        <v>28</v>
      </c>
      <c r="D37" s="10" t="s">
        <v>104</v>
      </c>
      <c r="E37" s="30">
        <v>35.299999999999997</v>
      </c>
      <c r="F37" s="46">
        <f>SUM(E37*24/1000)</f>
        <v>0.84719999999999995</v>
      </c>
      <c r="G37" s="31">
        <v>7221.21</v>
      </c>
      <c r="H37" s="32">
        <f t="shared" si="5"/>
        <v>6.1178091119999998</v>
      </c>
      <c r="I37" s="33">
        <f t="shared" si="6"/>
        <v>1019.6348519999999</v>
      </c>
      <c r="J37" s="33">
        <f t="shared" si="7"/>
        <v>1019.6348519999999</v>
      </c>
      <c r="K37" s="33">
        <f t="shared" si="8"/>
        <v>1019.6348519999999</v>
      </c>
      <c r="L37" s="33">
        <f t="shared" si="9"/>
        <v>1019.6348519999999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f t="shared" si="10"/>
        <v>1019.6348519999999</v>
      </c>
      <c r="T37" s="33">
        <f t="shared" si="11"/>
        <v>1019.6348519999999</v>
      </c>
      <c r="U37" s="33">
        <f t="shared" si="12"/>
        <v>6117.8091119999999</v>
      </c>
    </row>
    <row r="38" spans="1:23" ht="25.5" customHeight="1">
      <c r="A38" s="128" t="s">
        <v>156</v>
      </c>
      <c r="B38" s="10" t="s">
        <v>182</v>
      </c>
      <c r="C38" s="23" t="s">
        <v>28</v>
      </c>
      <c r="D38" s="10" t="s">
        <v>243</v>
      </c>
      <c r="E38" s="30">
        <v>35.299999999999997</v>
      </c>
      <c r="F38" s="46">
        <f>SUM(E38*15/1000)</f>
        <v>0.52949999999999997</v>
      </c>
      <c r="G38" s="31">
        <v>533.45000000000005</v>
      </c>
      <c r="H38" s="32">
        <f t="shared" si="5"/>
        <v>0.28246177499999997</v>
      </c>
      <c r="I38" s="33">
        <v>0</v>
      </c>
      <c r="J38" s="33">
        <v>0</v>
      </c>
      <c r="K38" s="33">
        <f>F38/2*G38</f>
        <v>141.23088749999999</v>
      </c>
      <c r="L38" s="33">
        <f>F38/2*G38</f>
        <v>141.23088749999999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f t="shared" si="12"/>
        <v>282.46177499999999</v>
      </c>
    </row>
    <row r="39" spans="1:23" s="1" customFormat="1">
      <c r="A39" s="130"/>
      <c r="B39" s="13" t="s">
        <v>129</v>
      </c>
      <c r="C39" s="47" t="s">
        <v>36</v>
      </c>
      <c r="D39" s="13"/>
      <c r="E39" s="43"/>
      <c r="F39" s="46">
        <v>0.3</v>
      </c>
      <c r="G39" s="46">
        <v>992.97</v>
      </c>
      <c r="H39" s="32">
        <f t="shared" si="5"/>
        <v>0.29789100000000002</v>
      </c>
      <c r="I39" s="48">
        <f t="shared" si="6"/>
        <v>49.648499999999999</v>
      </c>
      <c r="J39" s="48">
        <f t="shared" si="7"/>
        <v>49.648499999999999</v>
      </c>
      <c r="K39" s="48">
        <f t="shared" si="8"/>
        <v>49.648499999999999</v>
      </c>
      <c r="L39" s="48">
        <f t="shared" si="9"/>
        <v>49.648499999999999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f t="shared" si="10"/>
        <v>49.648499999999999</v>
      </c>
      <c r="T39" s="33">
        <f t="shared" si="11"/>
        <v>49.648499999999999</v>
      </c>
      <c r="U39" s="33">
        <f t="shared" si="12"/>
        <v>297.89100000000002</v>
      </c>
      <c r="V39" s="141"/>
      <c r="W39" s="141"/>
    </row>
    <row r="40" spans="1:23" s="19" customFormat="1">
      <c r="A40" s="129"/>
      <c r="B40" s="20" t="s">
        <v>25</v>
      </c>
      <c r="C40" s="36"/>
      <c r="D40" s="20"/>
      <c r="E40" s="37"/>
      <c r="F40" s="38" t="s">
        <v>42</v>
      </c>
      <c r="G40" s="38"/>
      <c r="H40" s="45">
        <f>SUM(H34:H39)</f>
        <v>17.558170971999999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>
        <f>SUM(U34:U39)</f>
        <v>17558.170971999996</v>
      </c>
      <c r="V40" s="141"/>
      <c r="W40" s="141"/>
    </row>
    <row r="41" spans="1:23">
      <c r="A41" s="128"/>
      <c r="B41" s="14" t="s">
        <v>47</v>
      </c>
      <c r="C41" s="23"/>
      <c r="D41" s="10"/>
      <c r="E41" s="30"/>
      <c r="F41" s="31"/>
      <c r="G41" s="31"/>
      <c r="H41" s="32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3">
      <c r="A42" s="128" t="s">
        <v>157</v>
      </c>
      <c r="B42" s="10" t="s">
        <v>134</v>
      </c>
      <c r="C42" s="23" t="s">
        <v>28</v>
      </c>
      <c r="D42" s="10" t="s">
        <v>48</v>
      </c>
      <c r="E42" s="30">
        <v>907.4</v>
      </c>
      <c r="F42" s="31">
        <f>SUM(E42*2/1000)</f>
        <v>1.8148</v>
      </c>
      <c r="G42" s="49">
        <v>1283.46</v>
      </c>
      <c r="H42" s="32">
        <f t="shared" ref="H42:H51" si="13">SUM(F42*G42/1000)</f>
        <v>2.3292232079999997</v>
      </c>
      <c r="I42" s="33">
        <v>0</v>
      </c>
      <c r="J42" s="33">
        <v>0</v>
      </c>
      <c r="K42" s="33">
        <v>0</v>
      </c>
      <c r="L42" s="33">
        <v>0</v>
      </c>
      <c r="M42" s="33">
        <f>F42/2*G42</f>
        <v>1164.6116039999999</v>
      </c>
      <c r="N42" s="33">
        <v>0</v>
      </c>
      <c r="O42" s="33">
        <v>0</v>
      </c>
      <c r="P42" s="33">
        <v>0</v>
      </c>
      <c r="Q42" s="33">
        <f>F42/2*G42</f>
        <v>1164.6116039999999</v>
      </c>
      <c r="R42" s="33">
        <v>0</v>
      </c>
      <c r="S42" s="33">
        <v>0</v>
      </c>
      <c r="T42" s="33">
        <v>0</v>
      </c>
      <c r="U42" s="33">
        <f t="shared" ref="U42:U51" si="14">SUM(I42:T42)</f>
        <v>2329.2232079999999</v>
      </c>
    </row>
    <row r="43" spans="1:23">
      <c r="A43" s="128" t="s">
        <v>158</v>
      </c>
      <c r="B43" s="10" t="s">
        <v>49</v>
      </c>
      <c r="C43" s="23" t="s">
        <v>28</v>
      </c>
      <c r="D43" s="10" t="s">
        <v>48</v>
      </c>
      <c r="E43" s="30">
        <v>27</v>
      </c>
      <c r="F43" s="31">
        <f>SUM(E43*2/1000)</f>
        <v>5.3999999999999999E-2</v>
      </c>
      <c r="G43" s="49">
        <v>4192.6400000000003</v>
      </c>
      <c r="H43" s="32">
        <f t="shared" si="13"/>
        <v>0.22640256000000003</v>
      </c>
      <c r="I43" s="33">
        <v>0</v>
      </c>
      <c r="J43" s="33">
        <v>0</v>
      </c>
      <c r="K43" s="33">
        <v>0</v>
      </c>
      <c r="L43" s="33">
        <v>0</v>
      </c>
      <c r="M43" s="33">
        <f t="shared" ref="M43:M46" si="15">F43/2*G43</f>
        <v>113.20128000000001</v>
      </c>
      <c r="N43" s="33">
        <v>0</v>
      </c>
      <c r="O43" s="33">
        <v>0</v>
      </c>
      <c r="P43" s="33">
        <v>0</v>
      </c>
      <c r="Q43" s="33">
        <f>F43/2*G43</f>
        <v>113.20128000000001</v>
      </c>
      <c r="R43" s="33">
        <v>0</v>
      </c>
      <c r="S43" s="33">
        <v>0</v>
      </c>
      <c r="T43" s="33">
        <v>0</v>
      </c>
      <c r="U43" s="33">
        <f t="shared" si="14"/>
        <v>226.40256000000002</v>
      </c>
    </row>
    <row r="44" spans="1:23" ht="12.75" customHeight="1">
      <c r="A44" s="128" t="s">
        <v>159</v>
      </c>
      <c r="B44" s="10" t="s">
        <v>50</v>
      </c>
      <c r="C44" s="23" t="s">
        <v>28</v>
      </c>
      <c r="D44" s="10" t="s">
        <v>48</v>
      </c>
      <c r="E44" s="30">
        <v>772</v>
      </c>
      <c r="F44" s="31">
        <f>SUM(E44*2/1000)</f>
        <v>1.544</v>
      </c>
      <c r="G44" s="49">
        <v>1711.28</v>
      </c>
      <c r="H44" s="32">
        <f t="shared" si="13"/>
        <v>2.6422163200000002</v>
      </c>
      <c r="I44" s="33">
        <v>0</v>
      </c>
      <c r="J44" s="33">
        <v>0</v>
      </c>
      <c r="K44" s="33">
        <v>0</v>
      </c>
      <c r="L44" s="33">
        <v>0</v>
      </c>
      <c r="M44" s="33">
        <f t="shared" si="15"/>
        <v>1321.10816</v>
      </c>
      <c r="N44" s="33">
        <v>0</v>
      </c>
      <c r="O44" s="33">
        <v>0</v>
      </c>
      <c r="P44" s="33">
        <v>0</v>
      </c>
      <c r="Q44" s="33">
        <f>F44/2*G44</f>
        <v>1321.10816</v>
      </c>
      <c r="R44" s="33">
        <v>0</v>
      </c>
      <c r="S44" s="33">
        <v>0</v>
      </c>
      <c r="T44" s="33">
        <v>0</v>
      </c>
      <c r="U44" s="33">
        <f t="shared" si="14"/>
        <v>2642.21632</v>
      </c>
    </row>
    <row r="45" spans="1:23">
      <c r="A45" s="128" t="s">
        <v>160</v>
      </c>
      <c r="B45" s="10" t="s">
        <v>51</v>
      </c>
      <c r="C45" s="23" t="s">
        <v>28</v>
      </c>
      <c r="D45" s="10" t="s">
        <v>48</v>
      </c>
      <c r="E45" s="30">
        <v>959.4</v>
      </c>
      <c r="F45" s="31">
        <f>SUM(E45*2/1000)</f>
        <v>1.9188000000000001</v>
      </c>
      <c r="G45" s="49">
        <v>1179.73</v>
      </c>
      <c r="H45" s="32">
        <f t="shared" si="13"/>
        <v>2.2636659240000001</v>
      </c>
      <c r="I45" s="33">
        <v>0</v>
      </c>
      <c r="J45" s="33">
        <v>0</v>
      </c>
      <c r="K45" s="33">
        <v>0</v>
      </c>
      <c r="L45" s="33">
        <v>0</v>
      </c>
      <c r="M45" s="33">
        <f t="shared" si="15"/>
        <v>1131.832962</v>
      </c>
      <c r="N45" s="33">
        <v>0</v>
      </c>
      <c r="O45" s="33">
        <v>0</v>
      </c>
      <c r="P45" s="33">
        <v>0</v>
      </c>
      <c r="Q45" s="33">
        <f>F45/2*G45</f>
        <v>1131.832962</v>
      </c>
      <c r="R45" s="33">
        <v>0</v>
      </c>
      <c r="S45" s="33">
        <v>0</v>
      </c>
      <c r="T45" s="33">
        <v>0</v>
      </c>
      <c r="U45" s="33">
        <f t="shared" si="14"/>
        <v>2263.6659239999999</v>
      </c>
    </row>
    <row r="46" spans="1:23">
      <c r="A46" s="128" t="s">
        <v>161</v>
      </c>
      <c r="B46" s="10" t="s">
        <v>102</v>
      </c>
      <c r="C46" s="23" t="s">
        <v>103</v>
      </c>
      <c r="D46" s="10" t="s">
        <v>48</v>
      </c>
      <c r="E46" s="30">
        <v>66.02</v>
      </c>
      <c r="F46" s="31">
        <f>SUM(E46*2/100)</f>
        <v>1.3204</v>
      </c>
      <c r="G46" s="49">
        <v>90.61</v>
      </c>
      <c r="H46" s="32">
        <f t="shared" si="13"/>
        <v>0.11964144400000001</v>
      </c>
      <c r="I46" s="33">
        <v>0</v>
      </c>
      <c r="J46" s="33">
        <v>0</v>
      </c>
      <c r="K46" s="33">
        <v>0</v>
      </c>
      <c r="L46" s="33">
        <v>0</v>
      </c>
      <c r="M46" s="33">
        <f t="shared" si="15"/>
        <v>59.820722000000004</v>
      </c>
      <c r="N46" s="33">
        <v>0</v>
      </c>
      <c r="O46" s="33">
        <v>0</v>
      </c>
      <c r="P46" s="33">
        <v>0</v>
      </c>
      <c r="Q46" s="33">
        <f>F46/2*G46</f>
        <v>59.820722000000004</v>
      </c>
      <c r="R46" s="33">
        <v>0</v>
      </c>
      <c r="S46" s="33">
        <v>0</v>
      </c>
      <c r="T46" s="33">
        <v>0</v>
      </c>
      <c r="U46" s="33">
        <f t="shared" si="14"/>
        <v>119.64144400000001</v>
      </c>
    </row>
    <row r="47" spans="1:23" ht="25.5">
      <c r="A47" s="128" t="s">
        <v>162</v>
      </c>
      <c r="B47" s="10" t="s">
        <v>52</v>
      </c>
      <c r="C47" s="23" t="s">
        <v>28</v>
      </c>
      <c r="D47" s="10" t="s">
        <v>183</v>
      </c>
      <c r="E47" s="30">
        <v>1536.4</v>
      </c>
      <c r="F47" s="31">
        <f>SUM(E47*5/1000)</f>
        <v>7.6820000000000004</v>
      </c>
      <c r="G47" s="49">
        <v>1711.28</v>
      </c>
      <c r="H47" s="32">
        <f t="shared" si="13"/>
        <v>13.14605296</v>
      </c>
      <c r="I47" s="33">
        <f>F47/5*G47</f>
        <v>2629.2105919999999</v>
      </c>
      <c r="J47" s="33">
        <f>F47/5*G47</f>
        <v>2629.2105919999999</v>
      </c>
      <c r="K47" s="33">
        <v>0</v>
      </c>
      <c r="L47" s="33">
        <v>0</v>
      </c>
      <c r="M47" s="33">
        <f>F47/5*G47</f>
        <v>2629.2105919999999</v>
      </c>
      <c r="N47" s="33">
        <v>0</v>
      </c>
      <c r="O47" s="33">
        <v>0</v>
      </c>
      <c r="P47" s="33">
        <v>0</v>
      </c>
      <c r="Q47" s="33">
        <f>F47/5*G47</f>
        <v>2629.2105919999999</v>
      </c>
      <c r="R47" s="33">
        <v>0</v>
      </c>
      <c r="S47" s="33">
        <v>0</v>
      </c>
      <c r="T47" s="33">
        <f>F47/5*G47</f>
        <v>2629.2105919999999</v>
      </c>
      <c r="U47" s="33">
        <f t="shared" si="14"/>
        <v>13146.052959999999</v>
      </c>
    </row>
    <row r="48" spans="1:23" ht="38.25" customHeight="1">
      <c r="A48" s="128" t="s">
        <v>163</v>
      </c>
      <c r="B48" s="10" t="s">
        <v>53</v>
      </c>
      <c r="C48" s="23" t="s">
        <v>28</v>
      </c>
      <c r="D48" s="10" t="s">
        <v>48</v>
      </c>
      <c r="E48" s="30">
        <v>1536.4</v>
      </c>
      <c r="F48" s="31">
        <f>SUM(E48*2/1000)</f>
        <v>3.0728</v>
      </c>
      <c r="G48" s="49">
        <v>1510.06</v>
      </c>
      <c r="H48" s="32">
        <f t="shared" si="13"/>
        <v>4.6401123680000005</v>
      </c>
      <c r="I48" s="33">
        <v>0</v>
      </c>
      <c r="J48" s="33">
        <v>0</v>
      </c>
      <c r="K48" s="33">
        <v>0</v>
      </c>
      <c r="L48" s="33">
        <f>F48/2*G48</f>
        <v>2320.056184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f>F48/2*G48</f>
        <v>2320.056184</v>
      </c>
      <c r="T48" s="33">
        <v>0</v>
      </c>
      <c r="U48" s="33">
        <f t="shared" si="14"/>
        <v>4640.1123680000001</v>
      </c>
    </row>
    <row r="49" spans="1:23" ht="25.5" customHeight="1">
      <c r="A49" s="128" t="s">
        <v>164</v>
      </c>
      <c r="B49" s="10" t="s">
        <v>54</v>
      </c>
      <c r="C49" s="23" t="s">
        <v>55</v>
      </c>
      <c r="D49" s="10" t="s">
        <v>48</v>
      </c>
      <c r="E49" s="30">
        <v>9</v>
      </c>
      <c r="F49" s="31">
        <f>SUM(E49*2/100)</f>
        <v>0.18</v>
      </c>
      <c r="G49" s="49">
        <v>3850.4</v>
      </c>
      <c r="H49" s="32">
        <f t="shared" si="13"/>
        <v>0.69307200000000002</v>
      </c>
      <c r="I49" s="33">
        <v>0</v>
      </c>
      <c r="J49" s="33">
        <v>0</v>
      </c>
      <c r="K49" s="33">
        <v>0</v>
      </c>
      <c r="L49" s="33">
        <f>F49/2*G49</f>
        <v>346.536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f t="shared" ref="S49:S50" si="16">F49/2*G49</f>
        <v>346.536</v>
      </c>
      <c r="T49" s="33">
        <v>0</v>
      </c>
      <c r="U49" s="33">
        <f t="shared" si="14"/>
        <v>693.072</v>
      </c>
    </row>
    <row r="50" spans="1:23">
      <c r="A50" s="128" t="s">
        <v>165</v>
      </c>
      <c r="B50" s="10" t="s">
        <v>56</v>
      </c>
      <c r="C50" s="23" t="s">
        <v>57</v>
      </c>
      <c r="D50" s="10" t="s">
        <v>48</v>
      </c>
      <c r="E50" s="30">
        <v>1</v>
      </c>
      <c r="F50" s="31">
        <v>0.02</v>
      </c>
      <c r="G50" s="49">
        <v>7033.13</v>
      </c>
      <c r="H50" s="32">
        <f t="shared" si="13"/>
        <v>0.1406626</v>
      </c>
      <c r="I50" s="33">
        <v>0</v>
      </c>
      <c r="J50" s="33">
        <v>0</v>
      </c>
      <c r="K50" s="33">
        <v>0</v>
      </c>
      <c r="L50" s="33">
        <f>F50/2*G50</f>
        <v>70.331299999999999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f t="shared" si="16"/>
        <v>70.331299999999999</v>
      </c>
      <c r="T50" s="33">
        <v>0</v>
      </c>
      <c r="U50" s="33">
        <f t="shared" si="14"/>
        <v>140.6626</v>
      </c>
    </row>
    <row r="51" spans="1:23" ht="13.5" customHeight="1">
      <c r="A51" s="128" t="s">
        <v>59</v>
      </c>
      <c r="B51" s="10" t="s">
        <v>60</v>
      </c>
      <c r="C51" s="23" t="s">
        <v>58</v>
      </c>
      <c r="D51" s="10" t="s">
        <v>31</v>
      </c>
      <c r="E51" s="30">
        <v>53</v>
      </c>
      <c r="F51" s="31">
        <v>53</v>
      </c>
      <c r="G51" s="50">
        <v>81.73</v>
      </c>
      <c r="H51" s="32">
        <f t="shared" si="13"/>
        <v>4.3316900000000009</v>
      </c>
      <c r="I51" s="33">
        <f>E51*G51</f>
        <v>4331.6900000000005</v>
      </c>
      <c r="J51" s="33">
        <v>0</v>
      </c>
      <c r="K51" s="33">
        <v>0</v>
      </c>
      <c r="L51" s="33">
        <v>0</v>
      </c>
      <c r="M51" s="33">
        <f>E51*G51</f>
        <v>4331.6900000000005</v>
      </c>
      <c r="N51" s="33">
        <v>0</v>
      </c>
      <c r="O51" s="33">
        <f>0</f>
        <v>0</v>
      </c>
      <c r="P51" s="33">
        <v>0</v>
      </c>
      <c r="Q51" s="33">
        <f>E51*G51</f>
        <v>4331.6900000000005</v>
      </c>
      <c r="R51" s="33">
        <v>0</v>
      </c>
      <c r="S51" s="33">
        <v>0</v>
      </c>
      <c r="T51" s="33">
        <v>0</v>
      </c>
      <c r="U51" s="33">
        <f t="shared" si="14"/>
        <v>12995.070000000002</v>
      </c>
    </row>
    <row r="52" spans="1:23" s="21" customFormat="1">
      <c r="A52" s="129"/>
      <c r="B52" s="20" t="s">
        <v>25</v>
      </c>
      <c r="C52" s="51"/>
      <c r="D52" s="20"/>
      <c r="E52" s="52"/>
      <c r="F52" s="53"/>
      <c r="G52" s="53"/>
      <c r="H52" s="45">
        <f>SUM(H42:H51)</f>
        <v>30.532739384000003</v>
      </c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>
        <f>SUM(U42:U51)</f>
        <v>39196.119384000005</v>
      </c>
      <c r="V52" s="141"/>
      <c r="W52" s="141"/>
    </row>
    <row r="53" spans="1:23">
      <c r="A53" s="128"/>
      <c r="B53" s="12" t="s">
        <v>61</v>
      </c>
      <c r="C53" s="23"/>
      <c r="D53" s="10"/>
      <c r="E53" s="30"/>
      <c r="F53" s="31"/>
      <c r="G53" s="31"/>
      <c r="H53" s="32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3" ht="38.25" customHeight="1">
      <c r="A54" s="128" t="s">
        <v>166</v>
      </c>
      <c r="B54" s="10" t="s">
        <v>130</v>
      </c>
      <c r="C54" s="23" t="s">
        <v>13</v>
      </c>
      <c r="D54" s="10" t="s">
        <v>62</v>
      </c>
      <c r="E54" s="30">
        <v>11.5</v>
      </c>
      <c r="F54" s="31">
        <f>SUM(E54*6/100)</f>
        <v>0.69</v>
      </c>
      <c r="G54" s="49">
        <v>2306.62</v>
      </c>
      <c r="H54" s="32">
        <f>SUM(F54*G54/1000)</f>
        <v>1.5915677999999998</v>
      </c>
      <c r="I54" s="33">
        <f>F54/6*G54</f>
        <v>265.26129999999995</v>
      </c>
      <c r="J54" s="33">
        <f>F54/6*G54</f>
        <v>265.26129999999995</v>
      </c>
      <c r="K54" s="33">
        <f>F54/6*G54</f>
        <v>265.26129999999995</v>
      </c>
      <c r="L54" s="33">
        <f>F54/6*G54</f>
        <v>265.26129999999995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f>F54/6*G54</f>
        <v>265.26129999999995</v>
      </c>
      <c r="T54" s="33">
        <f>F54/6*G54</f>
        <v>265.26129999999995</v>
      </c>
      <c r="U54" s="33">
        <f t="shared" ref="U54:U81" si="17">SUM(I54:T54)</f>
        <v>1591.5677999999996</v>
      </c>
    </row>
    <row r="55" spans="1:23" ht="12.75" customHeight="1">
      <c r="A55" s="128" t="s">
        <v>124</v>
      </c>
      <c r="B55" s="10" t="s">
        <v>125</v>
      </c>
      <c r="C55" s="23" t="s">
        <v>184</v>
      </c>
      <c r="D55" s="10" t="s">
        <v>38</v>
      </c>
      <c r="E55" s="30"/>
      <c r="F55" s="31">
        <v>2</v>
      </c>
      <c r="G55" s="137">
        <v>1501</v>
      </c>
      <c r="H55" s="32">
        <f>SUM(F55*G55/1000)</f>
        <v>3.0019999999999998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f>G55*(4+1)</f>
        <v>7505</v>
      </c>
      <c r="S55" s="33">
        <v>0</v>
      </c>
      <c r="T55" s="33">
        <v>0</v>
      </c>
      <c r="U55" s="33">
        <f t="shared" si="17"/>
        <v>7505</v>
      </c>
    </row>
    <row r="56" spans="1:23">
      <c r="A56" s="128"/>
      <c r="B56" s="11" t="s">
        <v>63</v>
      </c>
      <c r="C56" s="23"/>
      <c r="D56" s="10"/>
      <c r="E56" s="30"/>
      <c r="F56" s="31"/>
      <c r="G56" s="138"/>
      <c r="H56" s="32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3">
      <c r="A57" s="128" t="s">
        <v>167</v>
      </c>
      <c r="B57" s="10" t="s">
        <v>96</v>
      </c>
      <c r="C57" s="23" t="s">
        <v>13</v>
      </c>
      <c r="D57" s="10" t="s">
        <v>31</v>
      </c>
      <c r="E57" s="30">
        <v>148</v>
      </c>
      <c r="F57" s="32">
        <f>E57/100</f>
        <v>1.48</v>
      </c>
      <c r="G57" s="49">
        <v>987.51</v>
      </c>
      <c r="H57" s="56">
        <f>F57*G57/1000</f>
        <v>1.4615148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f t="shared" si="17"/>
        <v>0</v>
      </c>
    </row>
    <row r="58" spans="1:23">
      <c r="A58" s="136"/>
      <c r="B58" s="58" t="s">
        <v>185</v>
      </c>
      <c r="C58" s="57" t="s">
        <v>186</v>
      </c>
      <c r="D58" s="58" t="s">
        <v>187</v>
      </c>
      <c r="E58" s="59">
        <v>140.5</v>
      </c>
      <c r="F58" s="31">
        <f>E58*12</f>
        <v>1686</v>
      </c>
      <c r="G58" s="139">
        <v>2.59</v>
      </c>
      <c r="H58" s="56">
        <f>F58*G58/1000</f>
        <v>4.3667400000000001</v>
      </c>
      <c r="I58" s="33">
        <f>F58/12*G58</f>
        <v>363.89499999999998</v>
      </c>
      <c r="J58" s="33">
        <f>F58/12*G58</f>
        <v>363.89499999999998</v>
      </c>
      <c r="K58" s="33">
        <f>F58/12*G58</f>
        <v>363.89499999999998</v>
      </c>
      <c r="L58" s="33">
        <f>F58/12*G58</f>
        <v>363.89499999999998</v>
      </c>
      <c r="M58" s="33">
        <f>F58/12*G58</f>
        <v>363.89499999999998</v>
      </c>
      <c r="N58" s="33">
        <f>F58/12*G58</f>
        <v>363.89499999999998</v>
      </c>
      <c r="O58" s="33">
        <f>F58/12*G58</f>
        <v>363.89499999999998</v>
      </c>
      <c r="P58" s="33">
        <f>F58/12*G58</f>
        <v>363.89499999999998</v>
      </c>
      <c r="Q58" s="33">
        <f>F58/12*G58</f>
        <v>363.89499999999998</v>
      </c>
      <c r="R58" s="33">
        <f>F58/12*G58</f>
        <v>363.89499999999998</v>
      </c>
      <c r="S58" s="33">
        <f>F58/12*G58</f>
        <v>363.89499999999998</v>
      </c>
      <c r="T58" s="33">
        <f>F58/12*G58</f>
        <v>363.89499999999998</v>
      </c>
      <c r="U58" s="33">
        <f t="shared" si="17"/>
        <v>4366.74</v>
      </c>
    </row>
    <row r="59" spans="1:23">
      <c r="A59" s="136"/>
      <c r="B59" s="15" t="s">
        <v>64</v>
      </c>
      <c r="C59" s="57"/>
      <c r="D59" s="58"/>
      <c r="E59" s="59"/>
      <c r="F59" s="60"/>
      <c r="G59" s="60"/>
      <c r="H59" s="61" t="s">
        <v>42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3" ht="12.75" customHeight="1">
      <c r="A60" s="62" t="s">
        <v>168</v>
      </c>
      <c r="B60" s="16" t="s">
        <v>65</v>
      </c>
      <c r="C60" s="62" t="s">
        <v>58</v>
      </c>
      <c r="D60" s="8" t="s">
        <v>38</v>
      </c>
      <c r="E60" s="63">
        <v>2</v>
      </c>
      <c r="F60" s="31">
        <f>E60</f>
        <v>2</v>
      </c>
      <c r="G60" s="49">
        <v>276.74</v>
      </c>
      <c r="H60" s="114">
        <f t="shared" ref="H60:H76" si="18">SUM(F60*G60/1000)</f>
        <v>0.55347999999999997</v>
      </c>
      <c r="I60" s="33">
        <f>G60</f>
        <v>276.74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f>G60*4</f>
        <v>1106.96</v>
      </c>
      <c r="P60" s="33">
        <f>G60*2</f>
        <v>553.48</v>
      </c>
      <c r="Q60" s="33">
        <f>G60*2</f>
        <v>553.48</v>
      </c>
      <c r="R60" s="33">
        <f>G60</f>
        <v>276.74</v>
      </c>
      <c r="S60" s="33">
        <v>0</v>
      </c>
      <c r="T60" s="33">
        <v>0</v>
      </c>
      <c r="U60" s="33">
        <f t="shared" si="17"/>
        <v>2767.3999999999996</v>
      </c>
    </row>
    <row r="61" spans="1:23" ht="12.75" customHeight="1">
      <c r="A61" s="62" t="s">
        <v>169</v>
      </c>
      <c r="B61" s="16" t="s">
        <v>66</v>
      </c>
      <c r="C61" s="62" t="s">
        <v>58</v>
      </c>
      <c r="D61" s="8" t="s">
        <v>38</v>
      </c>
      <c r="E61" s="63">
        <v>1</v>
      </c>
      <c r="F61" s="31">
        <f>E61</f>
        <v>1</v>
      </c>
      <c r="G61" s="49">
        <v>94.89</v>
      </c>
      <c r="H61" s="114">
        <f t="shared" si="18"/>
        <v>9.4890000000000002E-2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f t="shared" si="17"/>
        <v>0</v>
      </c>
    </row>
    <row r="62" spans="1:23" s="1" customFormat="1">
      <c r="A62" s="64" t="s">
        <v>170</v>
      </c>
      <c r="B62" s="16" t="s">
        <v>67</v>
      </c>
      <c r="C62" s="64" t="s">
        <v>68</v>
      </c>
      <c r="D62" s="8" t="s">
        <v>31</v>
      </c>
      <c r="E62" s="30">
        <v>6307</v>
      </c>
      <c r="F62" s="50">
        <f>SUM(E62/100)</f>
        <v>63.07</v>
      </c>
      <c r="G62" s="49">
        <v>263.99</v>
      </c>
      <c r="H62" s="114">
        <f t="shared" si="18"/>
        <v>16.649849300000003</v>
      </c>
      <c r="I62" s="48">
        <v>0</v>
      </c>
      <c r="J62" s="48">
        <v>0</v>
      </c>
      <c r="K62" s="48">
        <v>0</v>
      </c>
      <c r="L62" s="48">
        <v>0</v>
      </c>
      <c r="M62" s="48">
        <f>F62*G62</f>
        <v>16649.849300000002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33">
        <f t="shared" si="17"/>
        <v>16649.849300000002</v>
      </c>
      <c r="V62" s="141"/>
      <c r="W62" s="141"/>
    </row>
    <row r="63" spans="1:23" ht="12.75" customHeight="1">
      <c r="A63" s="62" t="s">
        <v>171</v>
      </c>
      <c r="B63" s="16" t="s">
        <v>69</v>
      </c>
      <c r="C63" s="62" t="s">
        <v>70</v>
      </c>
      <c r="D63" s="8"/>
      <c r="E63" s="30">
        <v>6307</v>
      </c>
      <c r="F63" s="49">
        <f>SUM(E63/1000)</f>
        <v>6.3070000000000004</v>
      </c>
      <c r="G63" s="49">
        <v>205.57</v>
      </c>
      <c r="H63" s="114">
        <f t="shared" si="18"/>
        <v>1.29652999</v>
      </c>
      <c r="I63" s="33">
        <v>0</v>
      </c>
      <c r="J63" s="33">
        <v>0</v>
      </c>
      <c r="K63" s="33">
        <v>0</v>
      </c>
      <c r="L63" s="33">
        <v>0</v>
      </c>
      <c r="M63" s="33">
        <f>F63*G63</f>
        <v>1296.52999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f t="shared" si="17"/>
        <v>1296.52999</v>
      </c>
    </row>
    <row r="64" spans="1:23">
      <c r="A64" s="62" t="s">
        <v>172</v>
      </c>
      <c r="B64" s="16" t="s">
        <v>71</v>
      </c>
      <c r="C64" s="62" t="s">
        <v>72</v>
      </c>
      <c r="D64" s="8" t="s">
        <v>31</v>
      </c>
      <c r="E64" s="30">
        <v>1003</v>
      </c>
      <c r="F64" s="49">
        <f>SUM(E64/100)</f>
        <v>10.029999999999999</v>
      </c>
      <c r="G64" s="49">
        <v>2581.5300000000002</v>
      </c>
      <c r="H64" s="114">
        <f t="shared" si="18"/>
        <v>25.892745900000001</v>
      </c>
      <c r="I64" s="33">
        <v>0</v>
      </c>
      <c r="J64" s="33">
        <v>0</v>
      </c>
      <c r="K64" s="33">
        <v>0</v>
      </c>
      <c r="L64" s="33">
        <v>0</v>
      </c>
      <c r="M64" s="33">
        <f>F64*G64</f>
        <v>25892.745900000002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f t="shared" si="17"/>
        <v>25892.745900000002</v>
      </c>
    </row>
    <row r="65" spans="1:23">
      <c r="A65" s="62"/>
      <c r="B65" s="17" t="s">
        <v>98</v>
      </c>
      <c r="C65" s="62" t="s">
        <v>36</v>
      </c>
      <c r="D65" s="8"/>
      <c r="E65" s="30">
        <v>6.6</v>
      </c>
      <c r="F65" s="49">
        <f>SUM(E65)</f>
        <v>6.6</v>
      </c>
      <c r="G65" s="49">
        <v>47.75</v>
      </c>
      <c r="H65" s="114">
        <f t="shared" si="18"/>
        <v>0.31514999999999999</v>
      </c>
      <c r="I65" s="33">
        <v>0</v>
      </c>
      <c r="J65" s="33">
        <v>0</v>
      </c>
      <c r="K65" s="33">
        <v>0</v>
      </c>
      <c r="L65" s="33">
        <v>0</v>
      </c>
      <c r="M65" s="33">
        <f>F65*G65</f>
        <v>315.14999999999998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f t="shared" si="17"/>
        <v>315.14999999999998</v>
      </c>
    </row>
    <row r="66" spans="1:23" ht="12.75" customHeight="1">
      <c r="A66" s="131"/>
      <c r="B66" s="17" t="s">
        <v>99</v>
      </c>
      <c r="C66" s="62" t="s">
        <v>36</v>
      </c>
      <c r="D66" s="8"/>
      <c r="E66" s="30">
        <v>6.6</v>
      </c>
      <c r="F66" s="49">
        <f>SUM(E66)</f>
        <v>6.6</v>
      </c>
      <c r="G66" s="49">
        <v>44.27</v>
      </c>
      <c r="H66" s="114">
        <f t="shared" si="18"/>
        <v>0.292182</v>
      </c>
      <c r="I66" s="33">
        <v>0</v>
      </c>
      <c r="J66" s="33">
        <v>0</v>
      </c>
      <c r="K66" s="33">
        <v>0</v>
      </c>
      <c r="L66" s="33">
        <v>0</v>
      </c>
      <c r="M66" s="33">
        <f>F66*G66</f>
        <v>292.18200000000002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f t="shared" si="17"/>
        <v>292.18200000000002</v>
      </c>
    </row>
    <row r="67" spans="1:23">
      <c r="A67" s="62" t="s">
        <v>173</v>
      </c>
      <c r="B67" s="8" t="s">
        <v>73</v>
      </c>
      <c r="C67" s="62" t="s">
        <v>74</v>
      </c>
      <c r="D67" s="8" t="s">
        <v>31</v>
      </c>
      <c r="E67" s="63">
        <v>3</v>
      </c>
      <c r="F67" s="31">
        <v>3</v>
      </c>
      <c r="G67" s="49">
        <v>62.07</v>
      </c>
      <c r="H67" s="114">
        <f t="shared" si="18"/>
        <v>0.18621000000000001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f>F67*G67</f>
        <v>186.21</v>
      </c>
      <c r="R67" s="33">
        <v>0</v>
      </c>
      <c r="S67" s="33">
        <v>0</v>
      </c>
      <c r="T67" s="33">
        <v>0</v>
      </c>
      <c r="U67" s="33">
        <f t="shared" si="17"/>
        <v>186.21</v>
      </c>
    </row>
    <row r="68" spans="1:23" ht="25.5">
      <c r="A68" s="62"/>
      <c r="B68" s="8" t="s">
        <v>188</v>
      </c>
      <c r="C68" s="124" t="s">
        <v>189</v>
      </c>
      <c r="D68" s="8" t="s">
        <v>187</v>
      </c>
      <c r="E68" s="63">
        <v>1536.4</v>
      </c>
      <c r="F68" s="55">
        <f>E68*12</f>
        <v>18436.800000000003</v>
      </c>
      <c r="G68" s="49">
        <v>2.16</v>
      </c>
      <c r="H68" s="114">
        <f t="shared" ref="H68" si="19">SUM(F68*G68/1000)</f>
        <v>39.823488000000012</v>
      </c>
      <c r="I68" s="33">
        <f>F68/12*G68</f>
        <v>3318.6240000000007</v>
      </c>
      <c r="J68" s="33">
        <f>F68/12*G68</f>
        <v>3318.6240000000007</v>
      </c>
      <c r="K68" s="33">
        <f>F68/12*G68</f>
        <v>3318.6240000000007</v>
      </c>
      <c r="L68" s="33">
        <f>F68/12*G68</f>
        <v>3318.6240000000007</v>
      </c>
      <c r="M68" s="33">
        <f>F68/12*G68</f>
        <v>3318.6240000000007</v>
      </c>
      <c r="N68" s="33">
        <f>F68/12*G68</f>
        <v>3318.6240000000007</v>
      </c>
      <c r="O68" s="33">
        <f>F68/12*G68</f>
        <v>3318.6240000000007</v>
      </c>
      <c r="P68" s="33">
        <f>F68/12*G68</f>
        <v>3318.6240000000007</v>
      </c>
      <c r="Q68" s="33">
        <f>F68/12*G68</f>
        <v>3318.6240000000007</v>
      </c>
      <c r="R68" s="33">
        <f>F68/12*G68</f>
        <v>3318.6240000000007</v>
      </c>
      <c r="S68" s="33">
        <f>F68/12*G68</f>
        <v>3318.6240000000007</v>
      </c>
      <c r="T68" s="33">
        <f>F68/12*G68</f>
        <v>3318.6240000000007</v>
      </c>
      <c r="U68" s="33">
        <f t="shared" si="17"/>
        <v>39823.488000000012</v>
      </c>
    </row>
    <row r="69" spans="1:23">
      <c r="A69" s="131"/>
      <c r="B69" s="18" t="s">
        <v>75</v>
      </c>
      <c r="C69" s="62"/>
      <c r="D69" s="8"/>
      <c r="E69" s="63"/>
      <c r="F69" s="49"/>
      <c r="G69" s="49"/>
      <c r="H69" s="114" t="s">
        <v>42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23">
      <c r="A70" s="62" t="s">
        <v>190</v>
      </c>
      <c r="B70" s="8" t="s">
        <v>191</v>
      </c>
      <c r="C70" s="62" t="s">
        <v>192</v>
      </c>
      <c r="D70" s="8" t="s">
        <v>38</v>
      </c>
      <c r="E70" s="63">
        <v>1</v>
      </c>
      <c r="F70" s="49">
        <f>E70</f>
        <v>1</v>
      </c>
      <c r="G70" s="49">
        <v>976.4</v>
      </c>
      <c r="H70" s="114">
        <f t="shared" ref="H70:H71" si="20">SUM(F70*G70/1000)</f>
        <v>0.97639999999999993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f t="shared" si="17"/>
        <v>0</v>
      </c>
    </row>
    <row r="71" spans="1:23">
      <c r="A71" s="62" t="s">
        <v>126</v>
      </c>
      <c r="B71" s="8" t="s">
        <v>193</v>
      </c>
      <c r="C71" s="62" t="s">
        <v>194</v>
      </c>
      <c r="D71" s="8"/>
      <c r="E71" s="63">
        <v>1</v>
      </c>
      <c r="F71" s="49">
        <v>1</v>
      </c>
      <c r="G71" s="49">
        <v>650</v>
      </c>
      <c r="H71" s="114">
        <f t="shared" si="20"/>
        <v>0.65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f t="shared" si="17"/>
        <v>0</v>
      </c>
    </row>
    <row r="72" spans="1:23">
      <c r="A72" s="62" t="s">
        <v>174</v>
      </c>
      <c r="B72" s="8" t="s">
        <v>76</v>
      </c>
      <c r="C72" s="62" t="s">
        <v>77</v>
      </c>
      <c r="D72" s="8"/>
      <c r="E72" s="63">
        <v>3</v>
      </c>
      <c r="F72" s="49">
        <v>0.3</v>
      </c>
      <c r="G72" s="49">
        <v>624.16999999999996</v>
      </c>
      <c r="H72" s="114">
        <f t="shared" si="18"/>
        <v>0.18725099999999997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f>G72*0.3</f>
        <v>187.25099999999998</v>
      </c>
      <c r="O72" s="33">
        <v>0</v>
      </c>
      <c r="P72" s="33">
        <v>0</v>
      </c>
      <c r="Q72" s="33">
        <v>0</v>
      </c>
      <c r="R72" s="33">
        <f>G72*0.1</f>
        <v>62.417000000000002</v>
      </c>
      <c r="S72" s="33">
        <v>0</v>
      </c>
      <c r="T72" s="33">
        <v>0</v>
      </c>
      <c r="U72" s="33">
        <f t="shared" si="17"/>
        <v>249.66799999999998</v>
      </c>
    </row>
    <row r="73" spans="1:23">
      <c r="A73" s="62" t="s">
        <v>175</v>
      </c>
      <c r="B73" s="8" t="s">
        <v>100</v>
      </c>
      <c r="C73" s="62" t="s">
        <v>33</v>
      </c>
      <c r="D73" s="8"/>
      <c r="E73" s="63">
        <v>1</v>
      </c>
      <c r="F73" s="55">
        <v>1</v>
      </c>
      <c r="G73" s="49">
        <v>1061.4100000000001</v>
      </c>
      <c r="H73" s="114">
        <f>F73*G73/1000</f>
        <v>1.0614100000000002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f t="shared" si="17"/>
        <v>0</v>
      </c>
    </row>
    <row r="74" spans="1:23" ht="25.5">
      <c r="A74" s="140" t="s">
        <v>195</v>
      </c>
      <c r="B74" s="123" t="s">
        <v>197</v>
      </c>
      <c r="C74" s="122" t="s">
        <v>58</v>
      </c>
      <c r="D74" s="8" t="s">
        <v>196</v>
      </c>
      <c r="E74" s="63">
        <v>1</v>
      </c>
      <c r="F74" s="49">
        <f>E74*12</f>
        <v>12</v>
      </c>
      <c r="G74" s="49">
        <v>50.69</v>
      </c>
      <c r="H74" s="114">
        <f>G74*F74/1000</f>
        <v>0.60827999999999993</v>
      </c>
      <c r="I74" s="33">
        <f>G74</f>
        <v>50.69</v>
      </c>
      <c r="J74" s="33">
        <f>G74</f>
        <v>50.69</v>
      </c>
      <c r="K74" s="33">
        <f>G74</f>
        <v>50.69</v>
      </c>
      <c r="L74" s="33">
        <f>G74</f>
        <v>50.69</v>
      </c>
      <c r="M74" s="33">
        <f>G74</f>
        <v>50.69</v>
      </c>
      <c r="N74" s="33">
        <f>G74</f>
        <v>50.69</v>
      </c>
      <c r="O74" s="33">
        <f>G74</f>
        <v>50.69</v>
      </c>
      <c r="P74" s="33">
        <f>G74</f>
        <v>50.69</v>
      </c>
      <c r="Q74" s="33">
        <f>G74</f>
        <v>50.69</v>
      </c>
      <c r="R74" s="33">
        <f>G74</f>
        <v>50.69</v>
      </c>
      <c r="S74" s="33">
        <f>G74</f>
        <v>50.69</v>
      </c>
      <c r="T74" s="33">
        <f>G74</f>
        <v>50.69</v>
      </c>
      <c r="U74" s="33">
        <f t="shared" si="17"/>
        <v>608.28</v>
      </c>
    </row>
    <row r="75" spans="1:23">
      <c r="A75" s="131"/>
      <c r="B75" s="66" t="s">
        <v>78</v>
      </c>
      <c r="C75" s="62"/>
      <c r="D75" s="8"/>
      <c r="E75" s="63"/>
      <c r="F75" s="49"/>
      <c r="G75" s="49" t="s">
        <v>42</v>
      </c>
      <c r="H75" s="114" t="s">
        <v>42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1:23" s="1" customFormat="1">
      <c r="A76" s="64" t="s">
        <v>79</v>
      </c>
      <c r="B76" s="67" t="s">
        <v>80</v>
      </c>
      <c r="C76" s="64" t="s">
        <v>72</v>
      </c>
      <c r="D76" s="16"/>
      <c r="E76" s="68"/>
      <c r="F76" s="50">
        <v>0.1</v>
      </c>
      <c r="G76" s="50">
        <v>3433.69</v>
      </c>
      <c r="H76" s="114">
        <f t="shared" si="18"/>
        <v>0.34336900000000004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33">
        <f t="shared" si="17"/>
        <v>0</v>
      </c>
      <c r="V76" s="141"/>
      <c r="W76" s="141"/>
    </row>
    <row r="77" spans="1:23" s="21" customFormat="1">
      <c r="A77" s="132"/>
      <c r="B77" s="20" t="s">
        <v>25</v>
      </c>
      <c r="C77" s="69"/>
      <c r="D77" s="70"/>
      <c r="E77" s="71"/>
      <c r="F77" s="54"/>
      <c r="G77" s="54"/>
      <c r="H77" s="72">
        <f>SUM(H54:H76)</f>
        <v>99.353057790000008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>
        <f>SUM(U54:U76)</f>
        <v>101544.81099000003</v>
      </c>
      <c r="V77" s="141"/>
      <c r="W77" s="141"/>
    </row>
    <row r="78" spans="1:23">
      <c r="A78" s="133" t="s">
        <v>122</v>
      </c>
      <c r="B78" s="10" t="s">
        <v>123</v>
      </c>
      <c r="C78" s="73"/>
      <c r="D78" s="74"/>
      <c r="E78" s="120"/>
      <c r="F78" s="75">
        <v>1</v>
      </c>
      <c r="G78" s="76">
        <v>6105.8</v>
      </c>
      <c r="H78" s="114">
        <f>G78*F78/1000</f>
        <v>6.1058000000000003</v>
      </c>
      <c r="I78" s="33">
        <v>0</v>
      </c>
      <c r="J78" s="33">
        <v>0</v>
      </c>
      <c r="K78" s="33">
        <v>0</v>
      </c>
      <c r="L78" s="33">
        <v>0</v>
      </c>
      <c r="M78" s="34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f>G78</f>
        <v>6105.8</v>
      </c>
      <c r="T78" s="33">
        <v>0</v>
      </c>
      <c r="U78" s="33">
        <f t="shared" si="17"/>
        <v>6105.8</v>
      </c>
    </row>
    <row r="79" spans="1:23" ht="12.75" customHeight="1">
      <c r="A79" s="62"/>
      <c r="B79" s="11" t="s">
        <v>81</v>
      </c>
      <c r="C79" s="62" t="s">
        <v>82</v>
      </c>
      <c r="D79" s="77"/>
      <c r="E79" s="49">
        <v>1536.4</v>
      </c>
      <c r="F79" s="49">
        <f>SUM(E79*12)</f>
        <v>18436.800000000003</v>
      </c>
      <c r="G79" s="78">
        <v>2.95</v>
      </c>
      <c r="H79" s="114">
        <f>SUM(F79*G79/1000)</f>
        <v>54.388560000000012</v>
      </c>
      <c r="I79" s="33">
        <f>F79/12*G79</f>
        <v>4532.380000000001</v>
      </c>
      <c r="J79" s="33">
        <f>F79/12*G79</f>
        <v>4532.380000000001</v>
      </c>
      <c r="K79" s="33">
        <f>F79/12*G79</f>
        <v>4532.380000000001</v>
      </c>
      <c r="L79" s="33">
        <f>F79/12*G79</f>
        <v>4532.380000000001</v>
      </c>
      <c r="M79" s="33">
        <f>F79/12*G79</f>
        <v>4532.380000000001</v>
      </c>
      <c r="N79" s="33">
        <f>F79/12*G79</f>
        <v>4532.380000000001</v>
      </c>
      <c r="O79" s="33">
        <f>F79/12*G79</f>
        <v>4532.380000000001</v>
      </c>
      <c r="P79" s="33">
        <f>F79/12*G79</f>
        <v>4532.380000000001</v>
      </c>
      <c r="Q79" s="33">
        <f>F79/12*G79</f>
        <v>4532.380000000001</v>
      </c>
      <c r="R79" s="33">
        <f>F79/12*G79</f>
        <v>4532.380000000001</v>
      </c>
      <c r="S79" s="33">
        <f>F79/12*G79</f>
        <v>4532.380000000001</v>
      </c>
      <c r="T79" s="33">
        <f>F79/12*G79</f>
        <v>4532.380000000001</v>
      </c>
      <c r="U79" s="33">
        <f t="shared" si="17"/>
        <v>54388.560000000027</v>
      </c>
    </row>
    <row r="80" spans="1:23" s="19" customFormat="1">
      <c r="A80" s="79"/>
      <c r="B80" s="20" t="s">
        <v>25</v>
      </c>
      <c r="C80" s="80"/>
      <c r="D80" s="81"/>
      <c r="E80" s="82"/>
      <c r="F80" s="40"/>
      <c r="G80" s="83"/>
      <c r="H80" s="41">
        <f>SUM(H78:H79)</f>
        <v>60.494360000000015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>
        <f>SUM(U78:U79)</f>
        <v>60494.36000000003</v>
      </c>
      <c r="V80" s="141"/>
      <c r="W80" s="141"/>
    </row>
    <row r="81" spans="1:23" ht="25.5" customHeight="1">
      <c r="A81" s="131"/>
      <c r="B81" s="8" t="s">
        <v>83</v>
      </c>
      <c r="C81" s="62"/>
      <c r="D81" s="84"/>
      <c r="E81" s="30">
        <f>E79</f>
        <v>1536.4</v>
      </c>
      <c r="F81" s="49">
        <f>E81*12</f>
        <v>18436.800000000003</v>
      </c>
      <c r="G81" s="49">
        <v>3.05</v>
      </c>
      <c r="H81" s="114">
        <f>F81*G81/1000</f>
        <v>56.232240000000004</v>
      </c>
      <c r="I81" s="33">
        <f>F81/12*G81</f>
        <v>4686.0200000000004</v>
      </c>
      <c r="J81" s="33">
        <f>F81/12*G81</f>
        <v>4686.0200000000004</v>
      </c>
      <c r="K81" s="33">
        <f>F81/12*G81</f>
        <v>4686.0200000000004</v>
      </c>
      <c r="L81" s="33">
        <f>F81/12*G81</f>
        <v>4686.0200000000004</v>
      </c>
      <c r="M81" s="33">
        <f>F81/12*G81</f>
        <v>4686.0200000000004</v>
      </c>
      <c r="N81" s="33">
        <f>F81/12*G81</f>
        <v>4686.0200000000004</v>
      </c>
      <c r="O81" s="33">
        <f>F81/12*G81</f>
        <v>4686.0200000000004</v>
      </c>
      <c r="P81" s="33">
        <f>F81/12*G81</f>
        <v>4686.0200000000004</v>
      </c>
      <c r="Q81" s="33">
        <f>F81/12*G81</f>
        <v>4686.0200000000004</v>
      </c>
      <c r="R81" s="33">
        <f>F81/12*G81</f>
        <v>4686.0200000000004</v>
      </c>
      <c r="S81" s="33">
        <f>F81/12*G81</f>
        <v>4686.0200000000004</v>
      </c>
      <c r="T81" s="33">
        <f>F81/12*G81</f>
        <v>4686.0200000000004</v>
      </c>
      <c r="U81" s="33">
        <f t="shared" si="17"/>
        <v>56232.24000000002</v>
      </c>
    </row>
    <row r="82" spans="1:23" s="19" customFormat="1">
      <c r="A82" s="79"/>
      <c r="B82" s="85" t="s">
        <v>84</v>
      </c>
      <c r="C82" s="86"/>
      <c r="D82" s="85"/>
      <c r="E82" s="40"/>
      <c r="F82" s="40"/>
      <c r="G82" s="40"/>
      <c r="H82" s="72">
        <f>H81</f>
        <v>56.232240000000004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116">
        <f>U81</f>
        <v>56232.24000000002</v>
      </c>
      <c r="V82" s="141"/>
      <c r="W82" s="141"/>
    </row>
    <row r="83" spans="1:23" s="19" customFormat="1">
      <c r="A83" s="79"/>
      <c r="B83" s="85" t="s">
        <v>85</v>
      </c>
      <c r="C83" s="87"/>
      <c r="D83" s="88"/>
      <c r="E83" s="89"/>
      <c r="F83" s="89"/>
      <c r="G83" s="89"/>
      <c r="H83" s="72">
        <f>SUM(H82+H80+H77+H52+H40+H32+H22)</f>
        <v>431.80807729266672</v>
      </c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116">
        <f>SUM(U82+U80+U77+U52+U40+U32+U22)</f>
        <v>440782.50129266677</v>
      </c>
      <c r="V83" s="141"/>
      <c r="W83" s="141"/>
    </row>
    <row r="84" spans="1:23">
      <c r="A84" s="131"/>
      <c r="B84" s="84" t="s">
        <v>86</v>
      </c>
      <c r="C84" s="62"/>
      <c r="D84" s="84"/>
      <c r="E84" s="49"/>
      <c r="F84" s="49"/>
      <c r="G84" s="49" t="s">
        <v>87</v>
      </c>
      <c r="H84" s="90">
        <f>E81</f>
        <v>1536.4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3" s="19" customFormat="1">
      <c r="A85" s="79"/>
      <c r="B85" s="88" t="s">
        <v>88</v>
      </c>
      <c r="C85" s="87"/>
      <c r="D85" s="88"/>
      <c r="E85" s="89"/>
      <c r="F85" s="89"/>
      <c r="G85" s="89"/>
      <c r="H85" s="91">
        <f>SUM(H83/H84/12*1000)</f>
        <v>23.420988311022882</v>
      </c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117"/>
      <c r="V85" s="141"/>
      <c r="W85" s="141"/>
    </row>
    <row r="86" spans="1:23">
      <c r="A86" s="92"/>
      <c r="B86" s="84"/>
      <c r="C86" s="62"/>
      <c r="D86" s="84"/>
      <c r="E86" s="49"/>
      <c r="F86" s="49"/>
      <c r="G86" s="49"/>
      <c r="H86" s="9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118"/>
    </row>
    <row r="87" spans="1:23">
      <c r="A87" s="131"/>
      <c r="B87" s="66" t="s">
        <v>89</v>
      </c>
      <c r="C87" s="62"/>
      <c r="D87" s="84"/>
      <c r="E87" s="49"/>
      <c r="F87" s="49"/>
      <c r="G87" s="49"/>
      <c r="H87" s="49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</row>
    <row r="88" spans="1:23" ht="25.5">
      <c r="A88" s="122" t="s">
        <v>176</v>
      </c>
      <c r="B88" s="123" t="s">
        <v>117</v>
      </c>
      <c r="C88" s="113" t="s">
        <v>58</v>
      </c>
      <c r="D88" s="84"/>
      <c r="E88" s="49"/>
      <c r="F88" s="49">
        <v>312</v>
      </c>
      <c r="G88" s="49">
        <v>53.42</v>
      </c>
      <c r="H88" s="49">
        <f t="shared" ref="H88:H89" si="21">G88*F88/1000</f>
        <v>16.66704</v>
      </c>
      <c r="I88" s="33">
        <f>G88*26</f>
        <v>1388.92</v>
      </c>
      <c r="J88" s="33">
        <f>G88*26</f>
        <v>1388.92</v>
      </c>
      <c r="K88" s="33">
        <f>G88*26</f>
        <v>1388.92</v>
      </c>
      <c r="L88" s="33">
        <f>G88*26</f>
        <v>1388.92</v>
      </c>
      <c r="M88" s="33">
        <f>G88*26</f>
        <v>1388.92</v>
      </c>
      <c r="N88" s="33">
        <f>G88*26</f>
        <v>1388.92</v>
      </c>
      <c r="O88" s="33">
        <f>G88*26</f>
        <v>1388.92</v>
      </c>
      <c r="P88" s="33">
        <f>G88*26</f>
        <v>1388.92</v>
      </c>
      <c r="Q88" s="33">
        <f>G88*26</f>
        <v>1388.92</v>
      </c>
      <c r="R88" s="33">
        <f>G88*26</f>
        <v>1388.92</v>
      </c>
      <c r="S88" s="33">
        <f>G88*26</f>
        <v>1388.92</v>
      </c>
      <c r="T88" s="33">
        <f>G88*26</f>
        <v>1388.92</v>
      </c>
      <c r="U88" s="33">
        <f t="shared" ref="U88:U108" si="22">SUM(I88:T88)</f>
        <v>16667.04</v>
      </c>
    </row>
    <row r="89" spans="1:23" ht="38.25">
      <c r="A89" s="122" t="s">
        <v>207</v>
      </c>
      <c r="B89" s="123" t="s">
        <v>205</v>
      </c>
      <c r="C89" s="122" t="s">
        <v>206</v>
      </c>
      <c r="D89" s="84"/>
      <c r="E89" s="49"/>
      <c r="F89" s="49">
        <v>2</v>
      </c>
      <c r="G89" s="49">
        <v>54.17</v>
      </c>
      <c r="H89" s="49">
        <f t="shared" si="21"/>
        <v>0.10834000000000001</v>
      </c>
      <c r="I89" s="33">
        <v>0</v>
      </c>
      <c r="J89" s="33">
        <f>G89*2</f>
        <v>108.34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f t="shared" si="22"/>
        <v>108.34</v>
      </c>
    </row>
    <row r="90" spans="1:23" ht="27.75" customHeight="1">
      <c r="A90" s="122" t="s">
        <v>208</v>
      </c>
      <c r="B90" s="123" t="s">
        <v>209</v>
      </c>
      <c r="C90" s="143" t="s">
        <v>58</v>
      </c>
      <c r="D90" s="84"/>
      <c r="E90" s="49"/>
      <c r="F90" s="49">
        <v>5</v>
      </c>
      <c r="G90" s="49">
        <v>189.88</v>
      </c>
      <c r="H90" s="114">
        <f t="shared" ref="H90:H96" si="23">G90*F90/1000</f>
        <v>0.94940000000000002</v>
      </c>
      <c r="I90" s="33">
        <v>0</v>
      </c>
      <c r="J90" s="33">
        <f>G90*2</f>
        <v>379.76</v>
      </c>
      <c r="K90" s="33">
        <f>G90</f>
        <v>189.88</v>
      </c>
      <c r="L90" s="33">
        <f>G90</f>
        <v>189.88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f>G90</f>
        <v>189.88</v>
      </c>
      <c r="S90" s="33">
        <v>0</v>
      </c>
      <c r="T90" s="33">
        <v>0</v>
      </c>
      <c r="U90" s="33">
        <f t="shared" si="22"/>
        <v>949.4</v>
      </c>
      <c r="V90"/>
      <c r="W90"/>
    </row>
    <row r="91" spans="1:23" ht="12.75" customHeight="1">
      <c r="A91" s="122" t="s">
        <v>126</v>
      </c>
      <c r="B91" s="123" t="s">
        <v>210</v>
      </c>
      <c r="C91" s="143" t="s">
        <v>58</v>
      </c>
      <c r="D91" s="84"/>
      <c r="E91" s="49"/>
      <c r="F91" s="49">
        <v>1</v>
      </c>
      <c r="G91" s="49">
        <v>2500</v>
      </c>
      <c r="H91" s="114">
        <f t="shared" si="23"/>
        <v>2.5</v>
      </c>
      <c r="I91" s="33">
        <v>0</v>
      </c>
      <c r="J91" s="33">
        <f>G91</f>
        <v>2500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f t="shared" si="22"/>
        <v>2500</v>
      </c>
      <c r="V91"/>
      <c r="W91"/>
    </row>
    <row r="92" spans="1:23" ht="25.5" customHeight="1">
      <c r="A92" s="144" t="s">
        <v>177</v>
      </c>
      <c r="B92" s="123" t="s">
        <v>131</v>
      </c>
      <c r="C92" s="122" t="s">
        <v>58</v>
      </c>
      <c r="D92" s="84"/>
      <c r="E92" s="49"/>
      <c r="F92" s="49">
        <v>1</v>
      </c>
      <c r="G92" s="49">
        <v>83.36</v>
      </c>
      <c r="H92" s="114">
        <f t="shared" si="23"/>
        <v>8.3360000000000004E-2</v>
      </c>
      <c r="I92" s="33">
        <v>0</v>
      </c>
      <c r="J92" s="33">
        <v>0</v>
      </c>
      <c r="K92" s="33">
        <f>G92</f>
        <v>83.36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f t="shared" si="22"/>
        <v>83.36</v>
      </c>
    </row>
    <row r="93" spans="1:23" ht="25.5">
      <c r="A93" s="122" t="s">
        <v>163</v>
      </c>
      <c r="B93" s="123" t="s">
        <v>217</v>
      </c>
      <c r="C93" s="122" t="s">
        <v>45</v>
      </c>
      <c r="D93" s="84"/>
      <c r="E93" s="49"/>
      <c r="F93" s="146">
        <v>7.0000000000000001E-3</v>
      </c>
      <c r="G93" s="49">
        <v>1591.6</v>
      </c>
      <c r="H93" s="114">
        <f t="shared" si="23"/>
        <v>1.11412E-2</v>
      </c>
      <c r="I93" s="33">
        <v>0</v>
      </c>
      <c r="J93" s="33">
        <v>0</v>
      </c>
      <c r="K93" s="33">
        <f>G93*0.001</f>
        <v>1.5915999999999999</v>
      </c>
      <c r="L93" s="33">
        <f>G93*0.005</f>
        <v>7.9579999999999993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f>G93*0.001</f>
        <v>1.5915999999999999</v>
      </c>
      <c r="T93" s="33">
        <v>0</v>
      </c>
      <c r="U93" s="33">
        <f t="shared" si="22"/>
        <v>11.1412</v>
      </c>
    </row>
    <row r="94" spans="1:23" ht="25.5">
      <c r="A94" s="122" t="s">
        <v>126</v>
      </c>
      <c r="B94" s="123" t="s">
        <v>222</v>
      </c>
      <c r="C94" s="122" t="s">
        <v>58</v>
      </c>
      <c r="D94" s="84"/>
      <c r="E94" s="49"/>
      <c r="F94" s="49">
        <v>2</v>
      </c>
      <c r="G94" s="49">
        <v>715.08</v>
      </c>
      <c r="H94" s="114">
        <f t="shared" si="23"/>
        <v>1.4301600000000001</v>
      </c>
      <c r="I94" s="33">
        <v>0</v>
      </c>
      <c r="J94" s="33">
        <v>0</v>
      </c>
      <c r="K94" s="33">
        <f>G94*2</f>
        <v>1430.16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f t="shared" si="22"/>
        <v>1430.16</v>
      </c>
    </row>
    <row r="95" spans="1:23" ht="24.75" customHeight="1">
      <c r="A95" s="144" t="s">
        <v>211</v>
      </c>
      <c r="B95" s="123" t="s">
        <v>212</v>
      </c>
      <c r="C95" s="122" t="s">
        <v>213</v>
      </c>
      <c r="D95" s="145"/>
      <c r="E95" s="49"/>
      <c r="F95" s="49">
        <v>6</v>
      </c>
      <c r="G95" s="50">
        <v>589.84</v>
      </c>
      <c r="H95" s="114">
        <f t="shared" si="23"/>
        <v>3.53904</v>
      </c>
      <c r="I95" s="33">
        <v>0</v>
      </c>
      <c r="J95" s="33">
        <v>0</v>
      </c>
      <c r="K95" s="33">
        <v>0</v>
      </c>
      <c r="L95" s="33">
        <f>G95*2</f>
        <v>1179.68</v>
      </c>
      <c r="M95" s="33">
        <v>0</v>
      </c>
      <c r="N95" s="33">
        <v>0</v>
      </c>
      <c r="O95" s="33">
        <f>G95*2</f>
        <v>1179.68</v>
      </c>
      <c r="P95" s="33">
        <v>0</v>
      </c>
      <c r="Q95" s="33">
        <v>0</v>
      </c>
      <c r="R95" s="33">
        <f>G95*2</f>
        <v>1179.68</v>
      </c>
      <c r="S95" s="33">
        <v>0</v>
      </c>
      <c r="T95" s="33">
        <v>0</v>
      </c>
      <c r="U95" s="33">
        <f t="shared" si="22"/>
        <v>3539.04</v>
      </c>
      <c r="V95"/>
      <c r="W95"/>
    </row>
    <row r="96" spans="1:23" ht="25.5">
      <c r="A96" s="122" t="s">
        <v>198</v>
      </c>
      <c r="B96" s="123" t="s">
        <v>118</v>
      </c>
      <c r="C96" s="122" t="s">
        <v>119</v>
      </c>
      <c r="D96" s="84"/>
      <c r="E96" s="49"/>
      <c r="F96" s="49">
        <v>1</v>
      </c>
      <c r="G96" s="49">
        <v>206.54</v>
      </c>
      <c r="H96" s="114">
        <f t="shared" si="23"/>
        <v>0.20654</v>
      </c>
      <c r="I96" s="33">
        <v>0</v>
      </c>
      <c r="J96" s="33">
        <v>0</v>
      </c>
      <c r="K96" s="33">
        <v>0</v>
      </c>
      <c r="L96" s="33">
        <f>G96</f>
        <v>206.54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f t="shared" si="22"/>
        <v>206.54</v>
      </c>
    </row>
    <row r="97" spans="1:27" ht="12.75" customHeight="1">
      <c r="A97" s="122" t="s">
        <v>214</v>
      </c>
      <c r="B97" s="123" t="s">
        <v>215</v>
      </c>
      <c r="C97" s="122" t="s">
        <v>216</v>
      </c>
      <c r="D97" s="84"/>
      <c r="E97" s="49"/>
      <c r="F97" s="49">
        <v>1</v>
      </c>
      <c r="G97" s="49">
        <v>195.85</v>
      </c>
      <c r="H97" s="114">
        <f t="shared" ref="H97:H100" si="24">G97*F97/1000</f>
        <v>0.19585</v>
      </c>
      <c r="I97" s="33">
        <v>0</v>
      </c>
      <c r="J97" s="33">
        <v>0</v>
      </c>
      <c r="K97" s="33">
        <v>0</v>
      </c>
      <c r="L97" s="33">
        <v>0</v>
      </c>
      <c r="M97" s="33">
        <f>G97</f>
        <v>195.85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f t="shared" si="22"/>
        <v>195.85</v>
      </c>
      <c r="V97"/>
      <c r="W97"/>
    </row>
    <row r="98" spans="1:27">
      <c r="A98" s="122"/>
      <c r="B98" s="149" t="s">
        <v>219</v>
      </c>
      <c r="C98" s="122" t="s">
        <v>218</v>
      </c>
      <c r="D98" s="145"/>
      <c r="E98" s="147"/>
      <c r="F98" s="147">
        <v>4</v>
      </c>
      <c r="G98" s="147">
        <v>900</v>
      </c>
      <c r="H98" s="114">
        <f t="shared" si="24"/>
        <v>3.6</v>
      </c>
      <c r="I98" s="148">
        <v>0</v>
      </c>
      <c r="J98" s="148">
        <v>0</v>
      </c>
      <c r="K98" s="148">
        <v>0</v>
      </c>
      <c r="L98" s="148">
        <v>0</v>
      </c>
      <c r="M98" s="148">
        <f>G98*4</f>
        <v>3600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f t="shared" si="22"/>
        <v>3600</v>
      </c>
      <c r="V98"/>
      <c r="W98"/>
    </row>
    <row r="99" spans="1:27">
      <c r="A99" s="122" t="s">
        <v>124</v>
      </c>
      <c r="B99" s="149" t="s">
        <v>220</v>
      </c>
      <c r="C99" s="122" t="s">
        <v>221</v>
      </c>
      <c r="D99" s="145"/>
      <c r="E99" s="147"/>
      <c r="F99" s="147">
        <v>3</v>
      </c>
      <c r="G99" s="147">
        <v>1725</v>
      </c>
      <c r="H99" s="114">
        <f t="shared" si="24"/>
        <v>5.1749999999999998</v>
      </c>
      <c r="I99" s="148">
        <v>0</v>
      </c>
      <c r="J99" s="148">
        <v>0</v>
      </c>
      <c r="K99" s="148">
        <v>0</v>
      </c>
      <c r="L99" s="148">
        <v>0</v>
      </c>
      <c r="M99" s="148">
        <f>G99*3</f>
        <v>5175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f t="shared" si="22"/>
        <v>5175</v>
      </c>
      <c r="V99"/>
      <c r="W99"/>
    </row>
    <row r="100" spans="1:27" ht="25.5">
      <c r="A100" s="122" t="s">
        <v>223</v>
      </c>
      <c r="B100" s="123" t="s">
        <v>224</v>
      </c>
      <c r="C100" s="122" t="s">
        <v>213</v>
      </c>
      <c r="D100" s="145"/>
      <c r="E100" s="147"/>
      <c r="F100" s="147">
        <v>4</v>
      </c>
      <c r="G100" s="147">
        <v>255.28</v>
      </c>
      <c r="H100" s="114">
        <f t="shared" si="24"/>
        <v>1.02112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33">
        <f>G100*4</f>
        <v>1021.12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f t="shared" si="22"/>
        <v>1021.12</v>
      </c>
      <c r="V100"/>
      <c r="W100"/>
    </row>
    <row r="101" spans="1:27" ht="25.5" customHeight="1">
      <c r="A101" s="122" t="s">
        <v>225</v>
      </c>
      <c r="B101" s="123" t="s">
        <v>226</v>
      </c>
      <c r="C101" s="122" t="s">
        <v>227</v>
      </c>
      <c r="D101" s="84"/>
      <c r="E101" s="49"/>
      <c r="F101" s="49">
        <f>10.54/10</f>
        <v>1.0539999999999998</v>
      </c>
      <c r="G101" s="49">
        <v>5945.91</v>
      </c>
      <c r="H101" s="114">
        <f>G101*F101/1000</f>
        <v>6.2669891399999988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f>G101*(1.54/10)</f>
        <v>915.67013999999995</v>
      </c>
      <c r="O101" s="33">
        <v>0</v>
      </c>
      <c r="P101" s="33">
        <v>0</v>
      </c>
      <c r="Q101" s="33">
        <v>0</v>
      </c>
      <c r="R101" s="33">
        <f>G101*(9/10)</f>
        <v>5351.3190000000004</v>
      </c>
      <c r="S101" s="33">
        <v>0</v>
      </c>
      <c r="T101" s="33">
        <v>0</v>
      </c>
      <c r="U101" s="33">
        <f t="shared" si="22"/>
        <v>6266.9891400000006</v>
      </c>
      <c r="V101" s="65"/>
      <c r="W101"/>
    </row>
    <row r="102" spans="1:27">
      <c r="A102" s="122" t="s">
        <v>124</v>
      </c>
      <c r="B102" s="123" t="s">
        <v>244</v>
      </c>
      <c r="C102" s="122" t="s">
        <v>36</v>
      </c>
      <c r="D102" s="8"/>
      <c r="E102" s="63"/>
      <c r="F102" s="49">
        <f>(30.83+48.19+2.31)-(3.29*6)</f>
        <v>61.589999999999996</v>
      </c>
      <c r="G102" s="49">
        <v>42.61</v>
      </c>
      <c r="H102" s="49">
        <f t="shared" ref="H102" si="25">G102*F102/1000</f>
        <v>2.6243498999999999</v>
      </c>
      <c r="I102" s="148">
        <v>0</v>
      </c>
      <c r="J102" s="148">
        <v>0</v>
      </c>
      <c r="K102" s="148">
        <v>0</v>
      </c>
      <c r="L102" s="148">
        <v>0</v>
      </c>
      <c r="M102" s="148">
        <v>0</v>
      </c>
      <c r="N102" s="33">
        <f>G102*F102</f>
        <v>2624.3498999999997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f t="shared" si="22"/>
        <v>2624.3498999999997</v>
      </c>
      <c r="V102"/>
      <c r="W102"/>
    </row>
    <row r="103" spans="1:27" ht="25.5" customHeight="1">
      <c r="A103" s="150" t="s">
        <v>229</v>
      </c>
      <c r="B103" s="123" t="s">
        <v>230</v>
      </c>
      <c r="C103" s="144" t="s">
        <v>228</v>
      </c>
      <c r="D103" s="84"/>
      <c r="E103" s="49"/>
      <c r="F103" s="49">
        <f>5/10</f>
        <v>0.5</v>
      </c>
      <c r="G103" s="49">
        <v>3577.04</v>
      </c>
      <c r="H103" s="114">
        <f>G103*F103/1000</f>
        <v>1.7885199999999999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f>G103*F103</f>
        <v>1788.52</v>
      </c>
      <c r="P103" s="33">
        <v>0</v>
      </c>
      <c r="Q103" s="33">
        <v>0</v>
      </c>
      <c r="R103" s="33">
        <v>0</v>
      </c>
      <c r="S103" s="33">
        <v>0</v>
      </c>
      <c r="T103" s="33">
        <v>0</v>
      </c>
      <c r="U103" s="33">
        <f t="shared" si="22"/>
        <v>1788.52</v>
      </c>
      <c r="V103" s="65"/>
      <c r="W103"/>
    </row>
    <row r="104" spans="1:27">
      <c r="A104" s="150"/>
      <c r="B104" s="151" t="s">
        <v>231</v>
      </c>
      <c r="C104" s="152" t="s">
        <v>58</v>
      </c>
      <c r="D104" s="145"/>
      <c r="E104" s="147"/>
      <c r="F104" s="147">
        <v>3</v>
      </c>
      <c r="G104" s="147">
        <v>470</v>
      </c>
      <c r="H104" s="114">
        <f t="shared" ref="H104:H108" si="26">G104*F104/1000</f>
        <v>1.41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148">
        <f>G104</f>
        <v>470</v>
      </c>
      <c r="R104" s="148">
        <f>G104*2</f>
        <v>940</v>
      </c>
      <c r="S104" s="148">
        <v>0</v>
      </c>
      <c r="T104" s="148">
        <v>0</v>
      </c>
      <c r="U104" s="33">
        <f t="shared" si="22"/>
        <v>1410</v>
      </c>
      <c r="V104"/>
      <c r="W104"/>
    </row>
    <row r="105" spans="1:27" s="19" customFormat="1" ht="12.75" customHeight="1">
      <c r="A105" s="153" t="s">
        <v>232</v>
      </c>
      <c r="B105" s="154" t="s">
        <v>233</v>
      </c>
      <c r="C105" s="153" t="s">
        <v>234</v>
      </c>
      <c r="D105" s="145"/>
      <c r="E105" s="49"/>
      <c r="F105" s="49">
        <f>54/3</f>
        <v>18</v>
      </c>
      <c r="G105" s="49">
        <v>1120.8900000000001</v>
      </c>
      <c r="H105" s="114">
        <f t="shared" si="26"/>
        <v>20.176020000000001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3">
        <f>G105*((10+7+30)/3)</f>
        <v>17560.61</v>
      </c>
      <c r="S105" s="33">
        <f>G105*((7)/3)</f>
        <v>2615.4100000000003</v>
      </c>
      <c r="T105" s="33">
        <v>0</v>
      </c>
      <c r="U105" s="33">
        <f t="shared" si="22"/>
        <v>20176.02</v>
      </c>
      <c r="V105" s="141"/>
      <c r="W105" s="141"/>
      <c r="X105" s="141"/>
    </row>
    <row r="106" spans="1:27" ht="25.5" customHeight="1">
      <c r="A106" s="155" t="s">
        <v>235</v>
      </c>
      <c r="B106" s="156" t="s">
        <v>236</v>
      </c>
      <c r="C106" s="113" t="s">
        <v>237</v>
      </c>
      <c r="D106" s="145"/>
      <c r="E106" s="49"/>
      <c r="F106" s="49">
        <v>5</v>
      </c>
      <c r="G106" s="49">
        <v>143.97999999999999</v>
      </c>
      <c r="H106" s="114">
        <f t="shared" ref="H106" si="27">G106*F106/1000</f>
        <v>0.71989999999999998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f>G106*5</f>
        <v>719.9</v>
      </c>
      <c r="S106" s="33">
        <v>0</v>
      </c>
      <c r="T106" s="33">
        <v>0</v>
      </c>
      <c r="U106" s="33">
        <f t="shared" ref="U106" si="28">SUM(I106:T106)</f>
        <v>719.9</v>
      </c>
      <c r="X106" s="141"/>
      <c r="Y106" s="141"/>
      <c r="Z106" s="141"/>
      <c r="AA106" s="141"/>
    </row>
    <row r="107" spans="1:27" s="19" customFormat="1" ht="38.25" customHeight="1">
      <c r="A107" s="122" t="s">
        <v>241</v>
      </c>
      <c r="B107" s="123" t="s">
        <v>242</v>
      </c>
      <c r="C107" s="122" t="s">
        <v>240</v>
      </c>
      <c r="D107" s="145"/>
      <c r="E107" s="49"/>
      <c r="F107" s="49">
        <v>2</v>
      </c>
      <c r="G107" s="49">
        <v>609.27</v>
      </c>
      <c r="H107" s="114">
        <f t="shared" si="26"/>
        <v>1.21854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f>G107*2</f>
        <v>1218.54</v>
      </c>
      <c r="U107" s="33">
        <f t="shared" si="22"/>
        <v>1218.54</v>
      </c>
      <c r="V107" s="141"/>
      <c r="W107" s="141"/>
      <c r="X107" s="141"/>
    </row>
    <row r="108" spans="1:27">
      <c r="A108" s="122" t="s">
        <v>124</v>
      </c>
      <c r="B108" s="123" t="s">
        <v>245</v>
      </c>
      <c r="C108" s="122" t="s">
        <v>36</v>
      </c>
      <c r="D108" s="8"/>
      <c r="E108" s="63"/>
      <c r="F108" s="49">
        <f>(17.46+36.06+21.36+11.12+36.04+33.63)-(3.29*6)</f>
        <v>135.92999999999998</v>
      </c>
      <c r="G108" s="49">
        <v>44.31</v>
      </c>
      <c r="H108" s="49">
        <f t="shared" si="26"/>
        <v>6.0230582999999998</v>
      </c>
      <c r="I108" s="148">
        <v>0</v>
      </c>
      <c r="J108" s="148">
        <v>0</v>
      </c>
      <c r="K108" s="148">
        <v>0</v>
      </c>
      <c r="L108" s="148">
        <v>0</v>
      </c>
      <c r="M108" s="148">
        <v>0</v>
      </c>
      <c r="N108" s="148">
        <v>0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f>G108*F108</f>
        <v>6023.0582999999997</v>
      </c>
      <c r="U108" s="33">
        <f t="shared" si="22"/>
        <v>6023.0582999999997</v>
      </c>
      <c r="V108"/>
      <c r="W108"/>
    </row>
    <row r="109" spans="1:27" s="19" customFormat="1">
      <c r="A109" s="94"/>
      <c r="B109" s="95" t="s">
        <v>90</v>
      </c>
      <c r="C109" s="94"/>
      <c r="D109" s="94"/>
      <c r="E109" s="89"/>
      <c r="F109" s="89"/>
      <c r="G109" s="89"/>
      <c r="H109" s="41">
        <f>SUM(H87:H108)</f>
        <v>75.714368539999995</v>
      </c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40">
        <f>SUM(U87:U108)</f>
        <v>75714.368539999996</v>
      </c>
      <c r="V109" s="141"/>
      <c r="W109" s="141"/>
    </row>
    <row r="110" spans="1:27">
      <c r="A110" s="92"/>
      <c r="B110" s="96"/>
      <c r="C110" s="97"/>
      <c r="D110" s="97"/>
      <c r="E110" s="49"/>
      <c r="F110" s="49"/>
      <c r="G110" s="49"/>
      <c r="H110" s="98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119"/>
    </row>
    <row r="111" spans="1:27" ht="12" customHeight="1">
      <c r="A111" s="131"/>
      <c r="B111" s="18" t="s">
        <v>91</v>
      </c>
      <c r="C111" s="62"/>
      <c r="D111" s="84"/>
      <c r="E111" s="49"/>
      <c r="F111" s="49"/>
      <c r="G111" s="49"/>
      <c r="H111" s="99">
        <f>H109/E112/12*1000</f>
        <v>4.1066979378200115</v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119"/>
    </row>
    <row r="112" spans="1:27" s="19" customFormat="1">
      <c r="A112" s="79"/>
      <c r="B112" s="100" t="s">
        <v>92</v>
      </c>
      <c r="C112" s="101"/>
      <c r="D112" s="100"/>
      <c r="E112" s="134">
        <v>1536.4</v>
      </c>
      <c r="F112" s="102">
        <f>SUM(E112*12)</f>
        <v>18436.800000000003</v>
      </c>
      <c r="G112" s="103">
        <f>H85+H111</f>
        <v>27.527686248842894</v>
      </c>
      <c r="H112" s="104">
        <f>SUM(F112*G112/1000)</f>
        <v>507.52244583266679</v>
      </c>
      <c r="I112" s="89">
        <f t="shared" ref="I112:R112" si="29">SUM(I11:I111)</f>
        <v>37986.928601499996</v>
      </c>
      <c r="J112" s="89">
        <f t="shared" si="29"/>
        <v>36366.598601499994</v>
      </c>
      <c r="K112" s="89">
        <f t="shared" si="29"/>
        <v>32595.510497000003</v>
      </c>
      <c r="L112" s="89">
        <f t="shared" si="29"/>
        <v>35211.500380999998</v>
      </c>
      <c r="M112" s="89">
        <f t="shared" si="29"/>
        <v>94020.613915111127</v>
      </c>
      <c r="N112" s="89">
        <f t="shared" si="29"/>
        <v>33211.629869111115</v>
      </c>
      <c r="O112" s="89">
        <f t="shared" si="29"/>
        <v>32538.398829111113</v>
      </c>
      <c r="P112" s="89">
        <f t="shared" si="29"/>
        <v>29016.718829111116</v>
      </c>
      <c r="Q112" s="89">
        <f t="shared" si="29"/>
        <v>40471.075485111112</v>
      </c>
      <c r="R112" s="89">
        <f t="shared" si="29"/>
        <v>62248.784829111115</v>
      </c>
      <c r="S112" s="89">
        <f>SUM(S11:S111)</f>
        <v>42209.013093500005</v>
      </c>
      <c r="T112" s="89">
        <f>SUM(T11:T111)</f>
        <v>40620.096901499994</v>
      </c>
      <c r="U112" s="40">
        <f>U83+U109</f>
        <v>516496.86983266677</v>
      </c>
      <c r="V112" s="141"/>
      <c r="W112" s="141"/>
    </row>
    <row r="113" spans="1:21">
      <c r="A113" s="65"/>
      <c r="B113" s="65"/>
      <c r="C113" s="65"/>
      <c r="D113" s="65"/>
      <c r="E113" s="105"/>
      <c r="F113" s="105"/>
      <c r="G113" s="105"/>
      <c r="H113" s="105"/>
      <c r="I113" s="105"/>
      <c r="J113" s="105"/>
      <c r="K113" s="105"/>
      <c r="L113" s="105"/>
      <c r="M113" s="65"/>
      <c r="N113" s="105"/>
      <c r="O113" s="65"/>
      <c r="P113" s="65"/>
      <c r="Q113" s="65"/>
      <c r="R113" s="65"/>
      <c r="S113" s="65"/>
      <c r="T113" s="65"/>
      <c r="U113" s="65"/>
    </row>
    <row r="114" spans="1:21">
      <c r="A114" s="65"/>
      <c r="B114" s="65"/>
      <c r="C114" s="65"/>
      <c r="D114" s="65"/>
      <c r="E114" s="105"/>
      <c r="F114" s="105"/>
      <c r="G114" s="105"/>
      <c r="H114" s="105"/>
      <c r="I114" s="105"/>
      <c r="J114" s="106"/>
      <c r="K114" s="107"/>
      <c r="L114" s="106"/>
      <c r="M114" s="105"/>
      <c r="N114" s="65"/>
      <c r="O114" s="65"/>
      <c r="P114" s="65"/>
      <c r="Q114" s="65"/>
      <c r="R114" s="65"/>
      <c r="S114" s="65"/>
      <c r="T114" s="65"/>
      <c r="U114" s="65"/>
    </row>
    <row r="115" spans="1:21" ht="45">
      <c r="A115" s="65"/>
      <c r="B115" s="112" t="s">
        <v>199</v>
      </c>
      <c r="C115" s="161">
        <v>229106.82</v>
      </c>
      <c r="D115" s="162"/>
      <c r="E115" s="162"/>
      <c r="F115" s="163"/>
      <c r="G115" s="105"/>
      <c r="H115" s="105"/>
      <c r="I115" s="105"/>
      <c r="J115" s="106"/>
      <c r="K115" s="107"/>
      <c r="L115" s="106"/>
      <c r="M115" s="105"/>
      <c r="N115" s="65"/>
      <c r="O115" s="65"/>
      <c r="P115" s="65"/>
      <c r="Q115" s="65"/>
      <c r="R115" s="65"/>
      <c r="S115" s="65"/>
      <c r="T115" s="65"/>
      <c r="U115" s="65"/>
    </row>
    <row r="116" spans="1:21" ht="30">
      <c r="A116" s="65"/>
      <c r="B116" s="112" t="s">
        <v>201</v>
      </c>
      <c r="C116" s="165">
        <f>43787.4*12</f>
        <v>525448.80000000005</v>
      </c>
      <c r="D116" s="166"/>
      <c r="E116" s="166"/>
      <c r="F116" s="167"/>
      <c r="G116" s="105"/>
      <c r="H116" s="105"/>
      <c r="I116" s="105"/>
      <c r="J116" s="106"/>
      <c r="K116" s="107"/>
      <c r="L116" s="106"/>
      <c r="M116" s="105"/>
      <c r="N116" s="65"/>
      <c r="O116" s="65"/>
      <c r="P116" s="65"/>
      <c r="Q116" s="65"/>
      <c r="R116" s="65"/>
      <c r="S116" s="65"/>
      <c r="T116" s="65"/>
      <c r="U116" s="65"/>
    </row>
    <row r="117" spans="1:21" ht="30">
      <c r="A117" s="65"/>
      <c r="B117" s="112" t="s">
        <v>202</v>
      </c>
      <c r="C117" s="165">
        <f>SUM(U112-U109)</f>
        <v>440782.50129266677</v>
      </c>
      <c r="D117" s="166"/>
      <c r="E117" s="166"/>
      <c r="F117" s="167"/>
      <c r="G117" s="105"/>
      <c r="H117" s="105"/>
      <c r="I117" s="105"/>
      <c r="J117" s="106"/>
      <c r="K117" s="107"/>
      <c r="L117" s="106"/>
      <c r="M117" s="105"/>
      <c r="N117" s="65"/>
      <c r="O117" s="65"/>
      <c r="P117" s="65"/>
      <c r="Q117" s="65"/>
      <c r="R117" s="65"/>
      <c r="S117" s="65"/>
      <c r="T117" s="65"/>
      <c r="U117" s="65"/>
    </row>
    <row r="118" spans="1:21" ht="30">
      <c r="A118" s="65"/>
      <c r="B118" s="112" t="s">
        <v>203</v>
      </c>
      <c r="C118" s="165">
        <f>SUM(U109)</f>
        <v>75714.368539999996</v>
      </c>
      <c r="D118" s="166"/>
      <c r="E118" s="166"/>
      <c r="F118" s="167"/>
      <c r="G118" s="105"/>
      <c r="H118" s="105"/>
      <c r="I118" s="105"/>
      <c r="J118" s="106"/>
      <c r="K118" s="107"/>
      <c r="L118" s="106"/>
      <c r="M118" s="105"/>
      <c r="N118" s="65"/>
      <c r="O118" s="65"/>
      <c r="P118" s="65"/>
      <c r="Q118" s="65"/>
      <c r="R118" s="65"/>
      <c r="S118" s="65"/>
      <c r="T118" s="65"/>
      <c r="U118" s="65"/>
    </row>
    <row r="119" spans="1:21" ht="18">
      <c r="A119" s="65"/>
      <c r="B119" s="115" t="s">
        <v>204</v>
      </c>
      <c r="C119" s="165">
        <f>36646.9+40953.65+43815.22+48297.17+37248.24+41925.23+47458.22+35371.28+39045+53456.8+37786.61+47326.93</f>
        <v>509331.25</v>
      </c>
      <c r="D119" s="166"/>
      <c r="E119" s="166"/>
      <c r="F119" s="167"/>
      <c r="G119" s="65"/>
      <c r="H119" s="108" t="s">
        <v>101</v>
      </c>
      <c r="J119" s="109"/>
      <c r="K119" s="110"/>
      <c r="L119" s="111"/>
      <c r="M119" s="108"/>
      <c r="N119" s="108"/>
      <c r="O119" s="65"/>
      <c r="P119" s="65"/>
      <c r="Q119" s="65"/>
      <c r="R119" s="65"/>
      <c r="S119" s="65"/>
      <c r="T119" s="65"/>
      <c r="U119" s="65"/>
    </row>
    <row r="120" spans="1:21" ht="78.75">
      <c r="A120" s="65"/>
      <c r="B120" s="142" t="s">
        <v>238</v>
      </c>
      <c r="C120" s="168">
        <v>75218.710000000006</v>
      </c>
      <c r="D120" s="169"/>
      <c r="E120" s="169"/>
      <c r="F120" s="170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</row>
    <row r="121" spans="1:21" ht="45">
      <c r="A121" s="65"/>
      <c r="B121" s="112" t="s">
        <v>239</v>
      </c>
      <c r="C121" s="164">
        <f>(C117+C118)-C116+C115</f>
        <v>220154.88983266673</v>
      </c>
      <c r="D121" s="162"/>
      <c r="E121" s="162"/>
      <c r="F121" s="163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</row>
    <row r="123" spans="1:21">
      <c r="J123" s="3"/>
      <c r="K123" s="4"/>
      <c r="L123" s="4"/>
      <c r="M123" s="2"/>
    </row>
    <row r="124" spans="1:21">
      <c r="G124" s="5"/>
      <c r="H124" s="5"/>
    </row>
    <row r="125" spans="1:21">
      <c r="G125" s="6"/>
    </row>
  </sheetData>
  <mergeCells count="11">
    <mergeCell ref="C121:F121"/>
    <mergeCell ref="C116:F116"/>
    <mergeCell ref="C117:F117"/>
    <mergeCell ref="C118:F118"/>
    <mergeCell ref="C119:F119"/>
    <mergeCell ref="C120:F120"/>
    <mergeCell ref="B3:L3"/>
    <mergeCell ref="B4:L4"/>
    <mergeCell ref="B5:L5"/>
    <mergeCell ref="B6:L6"/>
    <mergeCell ref="C115:F115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Окт.,49</vt:lpstr>
      <vt:lpstr>'Окт.,49'!Область_печати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2018-03-21T05:27:37Z</cp:lastPrinted>
  <dcterms:created xsi:type="dcterms:W3CDTF">2014-02-05T12:20:20Z</dcterms:created>
  <dcterms:modified xsi:type="dcterms:W3CDTF">2018-03-27T08:58:21Z</dcterms:modified>
</cp:coreProperties>
</file>