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7"/>
  </bookViews>
  <sheets>
    <sheet name="01.17" sheetId="8" r:id="rId1"/>
    <sheet name="02.17" sheetId="17" r:id="rId2"/>
    <sheet name="03.17" sheetId="18" r:id="rId3"/>
    <sheet name="04.17" sheetId="19" r:id="rId4"/>
    <sheet name="05.17" sheetId="20" r:id="rId5"/>
    <sheet name="06.17" sheetId="21" r:id="rId6"/>
    <sheet name="07.17" sheetId="22" r:id="rId7"/>
    <sheet name="08.17" sheetId="23" r:id="rId8"/>
    <sheet name="09.17" sheetId="24" r:id="rId9"/>
    <sheet name="10.17" sheetId="25" r:id="rId10"/>
    <sheet name="11.17" sheetId="26" r:id="rId11"/>
    <sheet name="12.17" sheetId="27" r:id="rId12"/>
  </sheets>
  <definedNames>
    <definedName name="_xlnm._FilterDatabase" localSheetId="0" hidden="1">'01.17'!$I$12:$I$65</definedName>
    <definedName name="_xlnm._FilterDatabase" localSheetId="1" hidden="1">'02.17'!$I$12:$I$65</definedName>
    <definedName name="_xlnm._FilterDatabase" localSheetId="2" hidden="1">'03.17'!$I$12:$I$65</definedName>
    <definedName name="_xlnm._FilterDatabase" localSheetId="3" hidden="1">'04.17'!$I$12:$I$65</definedName>
    <definedName name="_xlnm._FilterDatabase" localSheetId="4" hidden="1">'05.17'!$I$12:$I$65</definedName>
    <definedName name="_xlnm._FilterDatabase" localSheetId="5" hidden="1">'06.17'!$I$12:$I$65</definedName>
    <definedName name="_xlnm._FilterDatabase" localSheetId="6" hidden="1">'07.17'!$I$12:$I$65</definedName>
    <definedName name="_xlnm._FilterDatabase" localSheetId="7" hidden="1">'08.17'!$I$12:$I$65</definedName>
    <definedName name="_xlnm._FilterDatabase" localSheetId="8" hidden="1">'09.17'!$I$12:$I$65</definedName>
    <definedName name="_xlnm._FilterDatabase" localSheetId="9" hidden="1">'10.17'!$I$12:$I$65</definedName>
    <definedName name="_xlnm._FilterDatabase" localSheetId="10" hidden="1">'11.17'!$I$12:$I$65</definedName>
    <definedName name="_xlnm._FilterDatabase" localSheetId="11" hidden="1">'12.17'!$I$12:$I$65</definedName>
    <definedName name="_xlnm.Print_Area" localSheetId="0">'01.17'!$A$1:$I$123</definedName>
    <definedName name="_xlnm.Print_Area" localSheetId="1">'02.17'!$A$1:$I$123</definedName>
    <definedName name="_xlnm.Print_Area" localSheetId="2">'03.17'!$A$1:$I$124</definedName>
    <definedName name="_xlnm.Print_Area" localSheetId="3">'04.17'!$A$1:$I$126</definedName>
    <definedName name="_xlnm.Print_Area" localSheetId="4">'05.17'!$A$1:$I$122</definedName>
    <definedName name="_xlnm.Print_Area" localSheetId="5">'06.17'!$A$1:$I$121</definedName>
    <definedName name="_xlnm.Print_Area" localSheetId="6">'07.17'!$A$1:$I$122</definedName>
    <definedName name="_xlnm.Print_Area" localSheetId="7">'08.17'!$A$1:$I$122</definedName>
    <definedName name="_xlnm.Print_Area" localSheetId="8">'09.17'!$A$1:$I$125</definedName>
    <definedName name="_xlnm.Print_Area" localSheetId="9">'10.17'!$A$1:$I$122</definedName>
    <definedName name="_xlnm.Print_Area" localSheetId="10">'11.17'!$A$1:$I$124</definedName>
    <definedName name="_xlnm.Print_Area" localSheetId="11">'12.17'!$A$1:$I$121</definedName>
  </definedNames>
  <calcPr calcId="124519"/>
</workbook>
</file>

<file path=xl/calcChain.xml><?xml version="1.0" encoding="utf-8"?>
<calcChain xmlns="http://schemas.openxmlformats.org/spreadsheetml/2006/main">
  <c r="I99" i="23"/>
  <c r="I98"/>
  <c r="I96" i="27"/>
  <c r="I96" i="26"/>
  <c r="I43" i="19"/>
  <c r="I43" i="18"/>
  <c r="I96" i="17"/>
  <c r="I96" i="8"/>
  <c r="I98" i="27" l="1"/>
  <c r="F95"/>
  <c r="I95" s="1"/>
  <c r="F94"/>
  <c r="I94" s="1"/>
  <c r="I92"/>
  <c r="H92"/>
  <c r="H90"/>
  <c r="F90"/>
  <c r="I90" s="1"/>
  <c r="F89"/>
  <c r="H89" s="1"/>
  <c r="H88"/>
  <c r="F87"/>
  <c r="H87" s="1"/>
  <c r="F86"/>
  <c r="H86" s="1"/>
  <c r="F85"/>
  <c r="H85" s="1"/>
  <c r="F84"/>
  <c r="H84" s="1"/>
  <c r="I83"/>
  <c r="F83"/>
  <c r="H83" s="1"/>
  <c r="H82"/>
  <c r="F82"/>
  <c r="F81"/>
  <c r="H81" s="1"/>
  <c r="H79"/>
  <c r="F77"/>
  <c r="H77" s="1"/>
  <c r="H76"/>
  <c r="F75"/>
  <c r="H75" s="1"/>
  <c r="H74"/>
  <c r="H73"/>
  <c r="I71"/>
  <c r="F71"/>
  <c r="H71" s="1"/>
  <c r="F70"/>
  <c r="H70" s="1"/>
  <c r="F69"/>
  <c r="I69" s="1"/>
  <c r="F68"/>
  <c r="H68" s="1"/>
  <c r="F67"/>
  <c r="I67" s="1"/>
  <c r="F66"/>
  <c r="H66" s="1"/>
  <c r="H65"/>
  <c r="I64"/>
  <c r="H64"/>
  <c r="F62"/>
  <c r="H62" s="1"/>
  <c r="I60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E41"/>
  <c r="F41" s="1"/>
  <c r="F40"/>
  <c r="I40" s="1"/>
  <c r="I39"/>
  <c r="H39"/>
  <c r="H37"/>
  <c r="H36"/>
  <c r="F35"/>
  <c r="H35" s="1"/>
  <c r="E35"/>
  <c r="F34"/>
  <c r="H34" s="1"/>
  <c r="E33"/>
  <c r="F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I20"/>
  <c r="H20"/>
  <c r="F19"/>
  <c r="H19" s="1"/>
  <c r="E18"/>
  <c r="F18" s="1"/>
  <c r="F17"/>
  <c r="I17" s="1"/>
  <c r="F16"/>
  <c r="H16" s="1"/>
  <c r="I101" i="26"/>
  <c r="I100"/>
  <c r="I99"/>
  <c r="I98"/>
  <c r="H100"/>
  <c r="F99"/>
  <c r="H99" s="1"/>
  <c r="H98"/>
  <c r="F95"/>
  <c r="I95" s="1"/>
  <c r="F94"/>
  <c r="H94" s="1"/>
  <c r="I92"/>
  <c r="H92"/>
  <c r="F90"/>
  <c r="I90" s="1"/>
  <c r="F89"/>
  <c r="H89" s="1"/>
  <c r="H88"/>
  <c r="F87"/>
  <c r="H87" s="1"/>
  <c r="F86"/>
  <c r="H86" s="1"/>
  <c r="F85"/>
  <c r="H85" s="1"/>
  <c r="F84"/>
  <c r="H84" s="1"/>
  <c r="I83"/>
  <c r="F83"/>
  <c r="H83" s="1"/>
  <c r="F82"/>
  <c r="H82" s="1"/>
  <c r="F81"/>
  <c r="H81" s="1"/>
  <c r="H79"/>
  <c r="F77"/>
  <c r="H77" s="1"/>
  <c r="H76"/>
  <c r="F75"/>
  <c r="H75" s="1"/>
  <c r="H74"/>
  <c r="H73"/>
  <c r="I71"/>
  <c r="F71"/>
  <c r="H71" s="1"/>
  <c r="F70"/>
  <c r="I70" s="1"/>
  <c r="F69"/>
  <c r="I69" s="1"/>
  <c r="F68"/>
  <c r="I68" s="1"/>
  <c r="F67"/>
  <c r="I67" s="1"/>
  <c r="F66"/>
  <c r="I66" s="1"/>
  <c r="H65"/>
  <c r="I64"/>
  <c r="H64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E41"/>
  <c r="E42" s="1"/>
  <c r="F40"/>
  <c r="H40" s="1"/>
  <c r="I39"/>
  <c r="H39"/>
  <c r="H37"/>
  <c r="H36"/>
  <c r="F35"/>
  <c r="I35" s="1"/>
  <c r="E35"/>
  <c r="F34"/>
  <c r="I34" s="1"/>
  <c r="E33"/>
  <c r="F33" s="1"/>
  <c r="F32"/>
  <c r="H32" s="1"/>
  <c r="F31"/>
  <c r="I31" s="1"/>
  <c r="F28"/>
  <c r="H28" s="1"/>
  <c r="F27"/>
  <c r="I27" s="1"/>
  <c r="I26"/>
  <c r="H26"/>
  <c r="F25"/>
  <c r="H25" s="1"/>
  <c r="F24"/>
  <c r="I24" s="1"/>
  <c r="F23"/>
  <c r="H23" s="1"/>
  <c r="F22"/>
  <c r="I22" s="1"/>
  <c r="F21"/>
  <c r="H21" s="1"/>
  <c r="I20"/>
  <c r="H20"/>
  <c r="F19"/>
  <c r="I19" s="1"/>
  <c r="E18"/>
  <c r="F18" s="1"/>
  <c r="F17"/>
  <c r="H17" s="1"/>
  <c r="F16"/>
  <c r="I16" s="1"/>
  <c r="I98" i="25"/>
  <c r="H98"/>
  <c r="I83"/>
  <c r="H95" i="27" l="1"/>
  <c r="I18"/>
  <c r="H18"/>
  <c r="I41"/>
  <c r="H41"/>
  <c r="I33"/>
  <c r="H33"/>
  <c r="I16"/>
  <c r="H17"/>
  <c r="I19"/>
  <c r="H21"/>
  <c r="I22"/>
  <c r="H23"/>
  <c r="I24"/>
  <c r="H25"/>
  <c r="I27"/>
  <c r="H28"/>
  <c r="I31"/>
  <c r="H32"/>
  <c r="I34"/>
  <c r="I35"/>
  <c r="H40"/>
  <c r="E42"/>
  <c r="I46"/>
  <c r="H47"/>
  <c r="I48"/>
  <c r="H49"/>
  <c r="I50"/>
  <c r="H51"/>
  <c r="I52"/>
  <c r="H53"/>
  <c r="I59"/>
  <c r="I66"/>
  <c r="H67"/>
  <c r="I68"/>
  <c r="H69"/>
  <c r="I70"/>
  <c r="H94"/>
  <c r="H69" i="26"/>
  <c r="H67"/>
  <c r="H33"/>
  <c r="I33"/>
  <c r="H18"/>
  <c r="I18"/>
  <c r="E43"/>
  <c r="F43" s="1"/>
  <c r="F42"/>
  <c r="H16"/>
  <c r="I17"/>
  <c r="H19"/>
  <c r="I21"/>
  <c r="H22"/>
  <c r="I23"/>
  <c r="H24"/>
  <c r="I25"/>
  <c r="H27"/>
  <c r="I28"/>
  <c r="H31"/>
  <c r="I32"/>
  <c r="H34"/>
  <c r="H35"/>
  <c r="I40"/>
  <c r="F41"/>
  <c r="H46"/>
  <c r="I47"/>
  <c r="H48"/>
  <c r="I49"/>
  <c r="H50"/>
  <c r="I51"/>
  <c r="H52"/>
  <c r="I53"/>
  <c r="H59"/>
  <c r="H66"/>
  <c r="H68"/>
  <c r="H70"/>
  <c r="H90"/>
  <c r="I94"/>
  <c r="H95"/>
  <c r="F42" i="27" l="1"/>
  <c r="E43"/>
  <c r="F43" s="1"/>
  <c r="H42" i="26"/>
  <c r="I42"/>
  <c r="H41"/>
  <c r="I41"/>
  <c r="I103" s="1"/>
  <c r="H43"/>
  <c r="I43"/>
  <c r="I42" i="27" l="1"/>
  <c r="H42"/>
  <c r="I43"/>
  <c r="H43"/>
  <c r="I100" l="1"/>
  <c r="I99" i="25" l="1"/>
  <c r="F95"/>
  <c r="I95" s="1"/>
  <c r="F94"/>
  <c r="H94" s="1"/>
  <c r="I92"/>
  <c r="H92"/>
  <c r="F90"/>
  <c r="I90" s="1"/>
  <c r="F89"/>
  <c r="H89" s="1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I71"/>
  <c r="F71"/>
  <c r="H71" s="1"/>
  <c r="F70"/>
  <c r="I70" s="1"/>
  <c r="F69"/>
  <c r="H69" s="1"/>
  <c r="F68"/>
  <c r="I68" s="1"/>
  <c r="F67"/>
  <c r="H67" s="1"/>
  <c r="F66"/>
  <c r="I66" s="1"/>
  <c r="H65"/>
  <c r="I64"/>
  <c r="H64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E41"/>
  <c r="E42" s="1"/>
  <c r="F40"/>
  <c r="H40" s="1"/>
  <c r="I39"/>
  <c r="H39"/>
  <c r="H37"/>
  <c r="H36"/>
  <c r="F35"/>
  <c r="I35" s="1"/>
  <c r="E35"/>
  <c r="F34"/>
  <c r="I34" s="1"/>
  <c r="E33"/>
  <c r="F33" s="1"/>
  <c r="F32"/>
  <c r="H32" s="1"/>
  <c r="F31"/>
  <c r="I31" s="1"/>
  <c r="F28"/>
  <c r="H28" s="1"/>
  <c r="F27"/>
  <c r="I27" s="1"/>
  <c r="I26"/>
  <c r="H26"/>
  <c r="F25"/>
  <c r="H25" s="1"/>
  <c r="F24"/>
  <c r="I24" s="1"/>
  <c r="F23"/>
  <c r="H23" s="1"/>
  <c r="F22"/>
  <c r="I22" s="1"/>
  <c r="F21"/>
  <c r="H21" s="1"/>
  <c r="I20"/>
  <c r="H20"/>
  <c r="F19"/>
  <c r="I19" s="1"/>
  <c r="E18"/>
  <c r="F18" s="1"/>
  <c r="F17"/>
  <c r="H17" s="1"/>
  <c r="F16"/>
  <c r="I16" s="1"/>
  <c r="I101" i="24"/>
  <c r="I100"/>
  <c r="I99"/>
  <c r="H101"/>
  <c r="H100"/>
  <c r="H99"/>
  <c r="I98"/>
  <c r="H98"/>
  <c r="I71"/>
  <c r="F95"/>
  <c r="I95" s="1"/>
  <c r="F94"/>
  <c r="H94" s="1"/>
  <c r="I92"/>
  <c r="H92"/>
  <c r="F90"/>
  <c r="I90" s="1"/>
  <c r="F89"/>
  <c r="H89" s="1"/>
  <c r="H88"/>
  <c r="F87"/>
  <c r="H87" s="1"/>
  <c r="F86"/>
  <c r="H86" s="1"/>
  <c r="F85"/>
  <c r="H85" s="1"/>
  <c r="F84"/>
  <c r="H84" s="1"/>
  <c r="I83"/>
  <c r="F83"/>
  <c r="H83" s="1"/>
  <c r="F82"/>
  <c r="H82" s="1"/>
  <c r="H81"/>
  <c r="F81"/>
  <c r="H79"/>
  <c r="F77"/>
  <c r="H77" s="1"/>
  <c r="H76"/>
  <c r="F75"/>
  <c r="H75" s="1"/>
  <c r="H74"/>
  <c r="H73"/>
  <c r="F71"/>
  <c r="H71" s="1"/>
  <c r="F70"/>
  <c r="H70" s="1"/>
  <c r="F69"/>
  <c r="I69" s="1"/>
  <c r="F68"/>
  <c r="H68" s="1"/>
  <c r="F67"/>
  <c r="I67" s="1"/>
  <c r="F66"/>
  <c r="H66" s="1"/>
  <c r="H65"/>
  <c r="I64"/>
  <c r="H64"/>
  <c r="F62"/>
  <c r="H62" s="1"/>
  <c r="I60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E41"/>
  <c r="F41" s="1"/>
  <c r="F40"/>
  <c r="I40" s="1"/>
  <c r="I39"/>
  <c r="H39"/>
  <c r="H37"/>
  <c r="H36"/>
  <c r="F35"/>
  <c r="H35" s="1"/>
  <c r="E35"/>
  <c r="F34"/>
  <c r="H34" s="1"/>
  <c r="E33"/>
  <c r="F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I20"/>
  <c r="H20"/>
  <c r="F19"/>
  <c r="H19" s="1"/>
  <c r="E18"/>
  <c r="F18" s="1"/>
  <c r="F17"/>
  <c r="I17" s="1"/>
  <c r="F16"/>
  <c r="H16" s="1"/>
  <c r="F95" i="23"/>
  <c r="H95" s="1"/>
  <c r="F94"/>
  <c r="I94" s="1"/>
  <c r="I92"/>
  <c r="H92"/>
  <c r="F90"/>
  <c r="H90" s="1"/>
  <c r="F89"/>
  <c r="H89" s="1"/>
  <c r="H88"/>
  <c r="F87"/>
  <c r="H87" s="1"/>
  <c r="F86"/>
  <c r="H86" s="1"/>
  <c r="F85"/>
  <c r="H85" s="1"/>
  <c r="H84"/>
  <c r="F84"/>
  <c r="I83"/>
  <c r="F83"/>
  <c r="H83" s="1"/>
  <c r="F82"/>
  <c r="H82" s="1"/>
  <c r="F81"/>
  <c r="H81" s="1"/>
  <c r="H79"/>
  <c r="F77"/>
  <c r="H77" s="1"/>
  <c r="H76"/>
  <c r="F75"/>
  <c r="H75" s="1"/>
  <c r="H74"/>
  <c r="H73"/>
  <c r="F71"/>
  <c r="H71" s="1"/>
  <c r="F70"/>
  <c r="I70" s="1"/>
  <c r="F69"/>
  <c r="H69" s="1"/>
  <c r="F68"/>
  <c r="I68" s="1"/>
  <c r="F67"/>
  <c r="H67" s="1"/>
  <c r="F66"/>
  <c r="I66" s="1"/>
  <c r="H65"/>
  <c r="I64"/>
  <c r="H64"/>
  <c r="F62"/>
  <c r="H62" s="1"/>
  <c r="I60"/>
  <c r="H60"/>
  <c r="F59"/>
  <c r="I59" s="1"/>
  <c r="I56"/>
  <c r="F56"/>
  <c r="H56" s="1"/>
  <c r="I55"/>
  <c r="H55"/>
  <c r="F55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E41"/>
  <c r="E42" s="1"/>
  <c r="F40"/>
  <c r="H40" s="1"/>
  <c r="I39"/>
  <c r="H39"/>
  <c r="H37"/>
  <c r="H36"/>
  <c r="F35"/>
  <c r="I35" s="1"/>
  <c r="E35"/>
  <c r="F34"/>
  <c r="I34" s="1"/>
  <c r="E33"/>
  <c r="F33" s="1"/>
  <c r="H33" s="1"/>
  <c r="F32"/>
  <c r="H32" s="1"/>
  <c r="F31"/>
  <c r="I31" s="1"/>
  <c r="F28"/>
  <c r="H28" s="1"/>
  <c r="F27"/>
  <c r="I27" s="1"/>
  <c r="I26"/>
  <c r="H26"/>
  <c r="F25"/>
  <c r="H25" s="1"/>
  <c r="F24"/>
  <c r="I24" s="1"/>
  <c r="F23"/>
  <c r="H23" s="1"/>
  <c r="F22"/>
  <c r="I22" s="1"/>
  <c r="F21"/>
  <c r="H21" s="1"/>
  <c r="I20"/>
  <c r="H20"/>
  <c r="F19"/>
  <c r="I19" s="1"/>
  <c r="E18"/>
  <c r="F18" s="1"/>
  <c r="H18" s="1"/>
  <c r="F17"/>
  <c r="H17" s="1"/>
  <c r="F16"/>
  <c r="I16" s="1"/>
  <c r="I99" i="22"/>
  <c r="I98"/>
  <c r="H98"/>
  <c r="I83"/>
  <c r="F95"/>
  <c r="I95" s="1"/>
  <c r="F94"/>
  <c r="H94" s="1"/>
  <c r="I92"/>
  <c r="H92"/>
  <c r="F90"/>
  <c r="I90" s="1"/>
  <c r="H89"/>
  <c r="F89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F71"/>
  <c r="H71" s="1"/>
  <c r="F70"/>
  <c r="I70" s="1"/>
  <c r="F69"/>
  <c r="I69" s="1"/>
  <c r="F68"/>
  <c r="I68" s="1"/>
  <c r="F67"/>
  <c r="H67" s="1"/>
  <c r="F66"/>
  <c r="I66" s="1"/>
  <c r="H65"/>
  <c r="I64"/>
  <c r="H64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E41"/>
  <c r="E42" s="1"/>
  <c r="F40"/>
  <c r="H40" s="1"/>
  <c r="I39"/>
  <c r="H39"/>
  <c r="H37"/>
  <c r="H36"/>
  <c r="F35"/>
  <c r="I35" s="1"/>
  <c r="E35"/>
  <c r="F34"/>
  <c r="I34" s="1"/>
  <c r="E33"/>
  <c r="F33" s="1"/>
  <c r="F32"/>
  <c r="H32" s="1"/>
  <c r="F31"/>
  <c r="I31" s="1"/>
  <c r="F28"/>
  <c r="H28" s="1"/>
  <c r="F27"/>
  <c r="I27" s="1"/>
  <c r="I26"/>
  <c r="H26"/>
  <c r="F25"/>
  <c r="H25" s="1"/>
  <c r="F24"/>
  <c r="I24" s="1"/>
  <c r="F23"/>
  <c r="H23" s="1"/>
  <c r="F22"/>
  <c r="I22" s="1"/>
  <c r="F21"/>
  <c r="H21" s="1"/>
  <c r="I20"/>
  <c r="H20"/>
  <c r="F19"/>
  <c r="I19" s="1"/>
  <c r="E18"/>
  <c r="F18" s="1"/>
  <c r="F17"/>
  <c r="H17" s="1"/>
  <c r="F16"/>
  <c r="I16" s="1"/>
  <c r="I98" i="21"/>
  <c r="I64"/>
  <c r="F95"/>
  <c r="I95" s="1"/>
  <c r="F94"/>
  <c r="H94" s="1"/>
  <c r="I92"/>
  <c r="H92"/>
  <c r="F90"/>
  <c r="I90" s="1"/>
  <c r="F89"/>
  <c r="H89" s="1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F71"/>
  <c r="H71" s="1"/>
  <c r="F70"/>
  <c r="I70" s="1"/>
  <c r="F69"/>
  <c r="I69" s="1"/>
  <c r="F68"/>
  <c r="I68" s="1"/>
  <c r="F67"/>
  <c r="H67" s="1"/>
  <c r="F66"/>
  <c r="I66" s="1"/>
  <c r="H65"/>
  <c r="H64"/>
  <c r="F62"/>
  <c r="H62" s="1"/>
  <c r="I60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E41"/>
  <c r="F41" s="1"/>
  <c r="F40"/>
  <c r="I40" s="1"/>
  <c r="I39"/>
  <c r="H39"/>
  <c r="H37"/>
  <c r="H36"/>
  <c r="F35"/>
  <c r="H35" s="1"/>
  <c r="E35"/>
  <c r="F34"/>
  <c r="H34" s="1"/>
  <c r="E33"/>
  <c r="F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I20"/>
  <c r="H20"/>
  <c r="F19"/>
  <c r="H19" s="1"/>
  <c r="E18"/>
  <c r="F18" s="1"/>
  <c r="F17"/>
  <c r="I17" s="1"/>
  <c r="F16"/>
  <c r="H16" s="1"/>
  <c r="H98" i="20"/>
  <c r="I53"/>
  <c r="I54"/>
  <c r="I24"/>
  <c r="I26"/>
  <c r="I20"/>
  <c r="I98"/>
  <c r="I99" s="1"/>
  <c r="F95"/>
  <c r="I95" s="1"/>
  <c r="F94"/>
  <c r="I94" s="1"/>
  <c r="I92"/>
  <c r="H92"/>
  <c r="F90"/>
  <c r="H90" s="1"/>
  <c r="F89"/>
  <c r="H89" s="1"/>
  <c r="H88"/>
  <c r="F87"/>
  <c r="H87" s="1"/>
  <c r="H86"/>
  <c r="F86"/>
  <c r="F85"/>
  <c r="H85" s="1"/>
  <c r="H84"/>
  <c r="F84"/>
  <c r="F83"/>
  <c r="H83" s="1"/>
  <c r="H82"/>
  <c r="F82"/>
  <c r="F81"/>
  <c r="H81" s="1"/>
  <c r="H79"/>
  <c r="F77"/>
  <c r="H77" s="1"/>
  <c r="H76"/>
  <c r="F75"/>
  <c r="H75" s="1"/>
  <c r="H74"/>
  <c r="H73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I60"/>
  <c r="H60"/>
  <c r="F59"/>
  <c r="I59" s="1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E41"/>
  <c r="E42" s="1"/>
  <c r="F40"/>
  <c r="H40" s="1"/>
  <c r="I39"/>
  <c r="H39"/>
  <c r="H37"/>
  <c r="H36"/>
  <c r="F35"/>
  <c r="I35" s="1"/>
  <c r="E35"/>
  <c r="F34"/>
  <c r="I34" s="1"/>
  <c r="E33"/>
  <c r="F33" s="1"/>
  <c r="F32"/>
  <c r="H32" s="1"/>
  <c r="F31"/>
  <c r="I31" s="1"/>
  <c r="F28"/>
  <c r="H28" s="1"/>
  <c r="F27"/>
  <c r="I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H17" s="1"/>
  <c r="F16"/>
  <c r="I16" s="1"/>
  <c r="I102" i="19"/>
  <c r="I101"/>
  <c r="I100"/>
  <c r="I99"/>
  <c r="F102"/>
  <c r="H102" s="1"/>
  <c r="H101"/>
  <c r="F101"/>
  <c r="H100"/>
  <c r="H99"/>
  <c r="I98"/>
  <c r="I103" s="1"/>
  <c r="I60"/>
  <c r="F95"/>
  <c r="H95" s="1"/>
  <c r="F94"/>
  <c r="I94" s="1"/>
  <c r="I92"/>
  <c r="H92"/>
  <c r="F90"/>
  <c r="H90" s="1"/>
  <c r="F89"/>
  <c r="H89" s="1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H60"/>
  <c r="F59"/>
  <c r="I59" s="1"/>
  <c r="I56"/>
  <c r="F56"/>
  <c r="H56" s="1"/>
  <c r="I55"/>
  <c r="F55"/>
  <c r="H55" s="1"/>
  <c r="H54"/>
  <c r="F53"/>
  <c r="H53" s="1"/>
  <c r="F52"/>
  <c r="H52" s="1"/>
  <c r="H51"/>
  <c r="F51"/>
  <c r="I51" s="1"/>
  <c r="F50"/>
  <c r="H50" s="1"/>
  <c r="H49"/>
  <c r="F49"/>
  <c r="F48"/>
  <c r="H48" s="1"/>
  <c r="F47"/>
  <c r="H47" s="1"/>
  <c r="H46"/>
  <c r="F46"/>
  <c r="I44"/>
  <c r="H44"/>
  <c r="E41"/>
  <c r="E42" s="1"/>
  <c r="F40"/>
  <c r="H40" s="1"/>
  <c r="I39"/>
  <c r="H39"/>
  <c r="H37"/>
  <c r="H36"/>
  <c r="F35"/>
  <c r="I35" s="1"/>
  <c r="E35"/>
  <c r="F34"/>
  <c r="I34" s="1"/>
  <c r="E33"/>
  <c r="F33" s="1"/>
  <c r="F32"/>
  <c r="H32" s="1"/>
  <c r="F31"/>
  <c r="I31" s="1"/>
  <c r="F28"/>
  <c r="H28" s="1"/>
  <c r="F27"/>
  <c r="I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H17" s="1"/>
  <c r="F16"/>
  <c r="I16" s="1"/>
  <c r="I100" i="18"/>
  <c r="I99"/>
  <c r="I98"/>
  <c r="I101" s="1"/>
  <c r="H100"/>
  <c r="F100"/>
  <c r="H99"/>
  <c r="H98"/>
  <c r="F95"/>
  <c r="I95" s="1"/>
  <c r="F94"/>
  <c r="H94" s="1"/>
  <c r="I92"/>
  <c r="H92"/>
  <c r="F90"/>
  <c r="H90" s="1"/>
  <c r="F89"/>
  <c r="H89" s="1"/>
  <c r="H88"/>
  <c r="F87"/>
  <c r="H87" s="1"/>
  <c r="F86"/>
  <c r="H86" s="1"/>
  <c r="F85"/>
  <c r="H85" s="1"/>
  <c r="H84"/>
  <c r="F84"/>
  <c r="F83"/>
  <c r="H83" s="1"/>
  <c r="H82"/>
  <c r="F82"/>
  <c r="F81"/>
  <c r="H81" s="1"/>
  <c r="H79"/>
  <c r="F77"/>
  <c r="H77" s="1"/>
  <c r="H76"/>
  <c r="F75"/>
  <c r="H75" s="1"/>
  <c r="H74"/>
  <c r="H73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I60"/>
  <c r="H60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E41"/>
  <c r="F41" s="1"/>
  <c r="F40"/>
  <c r="I40" s="1"/>
  <c r="I39"/>
  <c r="H39"/>
  <c r="H37"/>
  <c r="H36"/>
  <c r="F35"/>
  <c r="H35" s="1"/>
  <c r="E35"/>
  <c r="F34"/>
  <c r="H34" s="1"/>
  <c r="E33"/>
  <c r="F33" s="1"/>
  <c r="F32"/>
  <c r="I32" s="1"/>
  <c r="F31"/>
  <c r="H31" s="1"/>
  <c r="F28"/>
  <c r="I28" s="1"/>
  <c r="F27"/>
  <c r="H27" s="1"/>
  <c r="H26"/>
  <c r="F25"/>
  <c r="H25" s="1"/>
  <c r="H24"/>
  <c r="F24"/>
  <c r="F23"/>
  <c r="H23" s="1"/>
  <c r="H22"/>
  <c r="F22"/>
  <c r="F21"/>
  <c r="H21" s="1"/>
  <c r="H20"/>
  <c r="F19"/>
  <c r="H19" s="1"/>
  <c r="E18"/>
  <c r="F18" s="1"/>
  <c r="F17"/>
  <c r="I17" s="1"/>
  <c r="F16"/>
  <c r="H16" s="1"/>
  <c r="I99" i="17"/>
  <c r="H99"/>
  <c r="H98"/>
  <c r="I92"/>
  <c r="I60"/>
  <c r="I98"/>
  <c r="F95"/>
  <c r="H95" s="1"/>
  <c r="F94"/>
  <c r="I94" s="1"/>
  <c r="H92"/>
  <c r="F90"/>
  <c r="H90" s="1"/>
  <c r="F89"/>
  <c r="H89" s="1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H60"/>
  <c r="F59"/>
  <c r="I59" s="1"/>
  <c r="I56"/>
  <c r="F56"/>
  <c r="H56" s="1"/>
  <c r="I55"/>
  <c r="H55"/>
  <c r="F55"/>
  <c r="H54"/>
  <c r="F53"/>
  <c r="H53" s="1"/>
  <c r="F52"/>
  <c r="H52" s="1"/>
  <c r="H51"/>
  <c r="F51"/>
  <c r="I51" s="1"/>
  <c r="F50"/>
  <c r="H50" s="1"/>
  <c r="H49"/>
  <c r="F49"/>
  <c r="F48"/>
  <c r="H48" s="1"/>
  <c r="H47"/>
  <c r="F47"/>
  <c r="F46"/>
  <c r="H46" s="1"/>
  <c r="I44"/>
  <c r="H44"/>
  <c r="E41"/>
  <c r="E42" s="1"/>
  <c r="F40"/>
  <c r="H40" s="1"/>
  <c r="I39"/>
  <c r="H39"/>
  <c r="H37"/>
  <c r="H36"/>
  <c r="F35"/>
  <c r="I35" s="1"/>
  <c r="E35"/>
  <c r="H34"/>
  <c r="F34"/>
  <c r="I34" s="1"/>
  <c r="E33"/>
  <c r="F33" s="1"/>
  <c r="H33" s="1"/>
  <c r="F32"/>
  <c r="H32" s="1"/>
  <c r="F31"/>
  <c r="I31" s="1"/>
  <c r="F28"/>
  <c r="H28" s="1"/>
  <c r="H27"/>
  <c r="F27"/>
  <c r="I27" s="1"/>
  <c r="H26"/>
  <c r="F25"/>
  <c r="H25" s="1"/>
  <c r="F24"/>
  <c r="H24" s="1"/>
  <c r="F23"/>
  <c r="H23" s="1"/>
  <c r="F22"/>
  <c r="H22" s="1"/>
  <c r="F21"/>
  <c r="H21" s="1"/>
  <c r="H20"/>
  <c r="F19"/>
  <c r="H19" s="1"/>
  <c r="F18"/>
  <c r="H18" s="1"/>
  <c r="E18"/>
  <c r="F17"/>
  <c r="H17" s="1"/>
  <c r="F16"/>
  <c r="I16" s="1"/>
  <c r="I99" i="8"/>
  <c r="H99"/>
  <c r="I98"/>
  <c r="F95"/>
  <c r="H95" s="1"/>
  <c r="F94"/>
  <c r="H94" s="1"/>
  <c r="F90"/>
  <c r="H90" s="1"/>
  <c r="F89"/>
  <c r="H89" s="1"/>
  <c r="H88"/>
  <c r="F87"/>
  <c r="H87" s="1"/>
  <c r="F86"/>
  <c r="H86" s="1"/>
  <c r="F85"/>
  <c r="H85" s="1"/>
  <c r="F84"/>
  <c r="H84" s="1"/>
  <c r="F83"/>
  <c r="H83" s="1"/>
  <c r="F82"/>
  <c r="H82" s="1"/>
  <c r="F81"/>
  <c r="H81" s="1"/>
  <c r="H79"/>
  <c r="F77"/>
  <c r="H77" s="1"/>
  <c r="H76"/>
  <c r="F75"/>
  <c r="H75" s="1"/>
  <c r="H74"/>
  <c r="H73"/>
  <c r="H92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H60"/>
  <c r="F59"/>
  <c r="I59" s="1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E41"/>
  <c r="E42" s="1"/>
  <c r="F40"/>
  <c r="H40" s="1"/>
  <c r="I39"/>
  <c r="H39"/>
  <c r="H37"/>
  <c r="H36"/>
  <c r="F35"/>
  <c r="H35" s="1"/>
  <c r="E35"/>
  <c r="F34"/>
  <c r="I34" s="1"/>
  <c r="E33"/>
  <c r="F33" s="1"/>
  <c r="H33" s="1"/>
  <c r="F32"/>
  <c r="H32" s="1"/>
  <c r="F31"/>
  <c r="H31" s="1"/>
  <c r="F28"/>
  <c r="H28" s="1"/>
  <c r="F27"/>
  <c r="H27" s="1"/>
  <c r="H26"/>
  <c r="F25"/>
  <c r="H25" s="1"/>
  <c r="F24"/>
  <c r="H24" s="1"/>
  <c r="F23"/>
  <c r="H23" s="1"/>
  <c r="F22"/>
  <c r="H22" s="1"/>
  <c r="F21"/>
  <c r="H21" s="1"/>
  <c r="H20"/>
  <c r="F19"/>
  <c r="H19" s="1"/>
  <c r="E18"/>
  <c r="F18" s="1"/>
  <c r="F17"/>
  <c r="I17" s="1"/>
  <c r="F16"/>
  <c r="H16" s="1"/>
  <c r="I35" l="1"/>
  <c r="H16" i="17"/>
  <c r="F41"/>
  <c r="H41" s="1"/>
  <c r="H59"/>
  <c r="H17" i="18"/>
  <c r="I49" i="20"/>
  <c r="I70"/>
  <c r="H31" i="17"/>
  <c r="H35"/>
  <c r="H94"/>
  <c r="H28" i="18"/>
  <c r="I47" i="20"/>
  <c r="I68"/>
  <c r="H90" i="22"/>
  <c r="I102" i="24"/>
  <c r="H19" i="25"/>
  <c r="H90"/>
  <c r="H18"/>
  <c r="I18"/>
  <c r="H33"/>
  <c r="I33"/>
  <c r="E43"/>
  <c r="F43" s="1"/>
  <c r="F42"/>
  <c r="H16"/>
  <c r="I17"/>
  <c r="I21"/>
  <c r="H22"/>
  <c r="I23"/>
  <c r="H24"/>
  <c r="I25"/>
  <c r="H27"/>
  <c r="I28"/>
  <c r="H31"/>
  <c r="I32"/>
  <c r="H34"/>
  <c r="H35"/>
  <c r="I40"/>
  <c r="F41"/>
  <c r="H46"/>
  <c r="I47"/>
  <c r="H48"/>
  <c r="I49"/>
  <c r="H50"/>
  <c r="I51"/>
  <c r="H52"/>
  <c r="I53"/>
  <c r="H59"/>
  <c r="H66"/>
  <c r="I67"/>
  <c r="H68"/>
  <c r="I69"/>
  <c r="H70"/>
  <c r="I94"/>
  <c r="H95"/>
  <c r="H90" i="24"/>
  <c r="I33"/>
  <c r="H33"/>
  <c r="I18"/>
  <c r="H18"/>
  <c r="I41"/>
  <c r="H41"/>
  <c r="I16"/>
  <c r="H17"/>
  <c r="I19"/>
  <c r="H21"/>
  <c r="I22"/>
  <c r="H23"/>
  <c r="I24"/>
  <c r="H25"/>
  <c r="I27"/>
  <c r="H28"/>
  <c r="I31"/>
  <c r="H32"/>
  <c r="I34"/>
  <c r="I35"/>
  <c r="H40"/>
  <c r="E42"/>
  <c r="I46"/>
  <c r="H47"/>
  <c r="I48"/>
  <c r="H49"/>
  <c r="I50"/>
  <c r="H51"/>
  <c r="I52"/>
  <c r="H53"/>
  <c r="I59"/>
  <c r="I66"/>
  <c r="H67"/>
  <c r="I68"/>
  <c r="H69"/>
  <c r="I70"/>
  <c r="I94"/>
  <c r="H95"/>
  <c r="H19" i="23"/>
  <c r="H24"/>
  <c r="H31"/>
  <c r="H35"/>
  <c r="H48"/>
  <c r="H52"/>
  <c r="H59"/>
  <c r="H66"/>
  <c r="H16"/>
  <c r="H22"/>
  <c r="H27"/>
  <c r="H34"/>
  <c r="F41"/>
  <c r="H41" s="1"/>
  <c r="H46"/>
  <c r="H50"/>
  <c r="H70"/>
  <c r="H94"/>
  <c r="H68"/>
  <c r="E43"/>
  <c r="F43" s="1"/>
  <c r="F42"/>
  <c r="I17"/>
  <c r="I18"/>
  <c r="I21"/>
  <c r="I23"/>
  <c r="I25"/>
  <c r="I28"/>
  <c r="I32"/>
  <c r="I33"/>
  <c r="I40"/>
  <c r="I41"/>
  <c r="I47"/>
  <c r="I49"/>
  <c r="I51"/>
  <c r="I53"/>
  <c r="I67"/>
  <c r="I69"/>
  <c r="I90"/>
  <c r="I95"/>
  <c r="H69" i="22"/>
  <c r="H18"/>
  <c r="I18"/>
  <c r="E43"/>
  <c r="F43" s="1"/>
  <c r="F42"/>
  <c r="H33"/>
  <c r="I33"/>
  <c r="H16"/>
  <c r="I17"/>
  <c r="H19"/>
  <c r="I21"/>
  <c r="H22"/>
  <c r="I23"/>
  <c r="H24"/>
  <c r="I25"/>
  <c r="H27"/>
  <c r="I28"/>
  <c r="H31"/>
  <c r="I32"/>
  <c r="H34"/>
  <c r="H35"/>
  <c r="I40"/>
  <c r="F41"/>
  <c r="H46"/>
  <c r="I47"/>
  <c r="H48"/>
  <c r="I49"/>
  <c r="H50"/>
  <c r="I51"/>
  <c r="H52"/>
  <c r="I53"/>
  <c r="H59"/>
  <c r="H66"/>
  <c r="I67"/>
  <c r="H68"/>
  <c r="H70"/>
  <c r="I94"/>
  <c r="H95"/>
  <c r="H69" i="21"/>
  <c r="I18"/>
  <c r="H18"/>
  <c r="I41"/>
  <c r="H41"/>
  <c r="I33"/>
  <c r="H33"/>
  <c r="I16"/>
  <c r="H17"/>
  <c r="I19"/>
  <c r="H21"/>
  <c r="I22"/>
  <c r="H23"/>
  <c r="I24"/>
  <c r="H25"/>
  <c r="I27"/>
  <c r="H28"/>
  <c r="I31"/>
  <c r="H32"/>
  <c r="I34"/>
  <c r="I35"/>
  <c r="H40"/>
  <c r="E42"/>
  <c r="I46"/>
  <c r="H47"/>
  <c r="I48"/>
  <c r="H49"/>
  <c r="I50"/>
  <c r="H51"/>
  <c r="I52"/>
  <c r="H53"/>
  <c r="I59"/>
  <c r="H66"/>
  <c r="I67"/>
  <c r="H68"/>
  <c r="H70"/>
  <c r="H90"/>
  <c r="I94"/>
  <c r="H95"/>
  <c r="I21" i="20"/>
  <c r="I52"/>
  <c r="I90"/>
  <c r="H95"/>
  <c r="I19"/>
  <c r="I22"/>
  <c r="I23"/>
  <c r="I25"/>
  <c r="I50"/>
  <c r="I48"/>
  <c r="I46"/>
  <c r="I66"/>
  <c r="I69"/>
  <c r="I67"/>
  <c r="E43"/>
  <c r="F43" s="1"/>
  <c r="F42"/>
  <c r="H18"/>
  <c r="I18"/>
  <c r="H33"/>
  <c r="I33"/>
  <c r="H16"/>
  <c r="I17"/>
  <c r="H27"/>
  <c r="I28"/>
  <c r="H31"/>
  <c r="I32"/>
  <c r="H34"/>
  <c r="H35"/>
  <c r="I40"/>
  <c r="F41"/>
  <c r="H51"/>
  <c r="H59"/>
  <c r="H94"/>
  <c r="H33" i="19"/>
  <c r="I33"/>
  <c r="H18"/>
  <c r="I18"/>
  <c r="E43"/>
  <c r="F43" s="1"/>
  <c r="F42"/>
  <c r="H16"/>
  <c r="I17"/>
  <c r="H27"/>
  <c r="I28"/>
  <c r="H31"/>
  <c r="I32"/>
  <c r="H34"/>
  <c r="H35"/>
  <c r="I40"/>
  <c r="F41"/>
  <c r="H59"/>
  <c r="H94"/>
  <c r="I95"/>
  <c r="I18" i="18"/>
  <c r="H18"/>
  <c r="I41"/>
  <c r="H41"/>
  <c r="I33"/>
  <c r="H33"/>
  <c r="I16"/>
  <c r="I27"/>
  <c r="I31"/>
  <c r="H32"/>
  <c r="I34"/>
  <c r="I35"/>
  <c r="H40"/>
  <c r="E42"/>
  <c r="I51"/>
  <c r="I59"/>
  <c r="I94"/>
  <c r="H95"/>
  <c r="I100" i="17"/>
  <c r="E43"/>
  <c r="F43" s="1"/>
  <c r="F42"/>
  <c r="I17"/>
  <c r="I18"/>
  <c r="I28"/>
  <c r="I32"/>
  <c r="I33"/>
  <c r="I40"/>
  <c r="I41"/>
  <c r="I95"/>
  <c r="I95" i="8"/>
  <c r="I94"/>
  <c r="H17"/>
  <c r="H34"/>
  <c r="H51"/>
  <c r="H59"/>
  <c r="E43"/>
  <c r="F43" s="1"/>
  <c r="F42"/>
  <c r="I40"/>
  <c r="F41"/>
  <c r="I31"/>
  <c r="I33"/>
  <c r="I32"/>
  <c r="I28"/>
  <c r="I27"/>
  <c r="I18"/>
  <c r="H18"/>
  <c r="I16"/>
  <c r="I96" i="20" l="1"/>
  <c r="I96" i="23"/>
  <c r="I96" i="24"/>
  <c r="I104" s="1"/>
  <c r="I101" i="22"/>
  <c r="I96"/>
  <c r="I96" i="25"/>
  <c r="I101" s="1"/>
  <c r="H42"/>
  <c r="I42"/>
  <c r="H41"/>
  <c r="I41"/>
  <c r="H43"/>
  <c r="I43"/>
  <c r="F42" i="24"/>
  <c r="E43"/>
  <c r="F43" s="1"/>
  <c r="I101" i="23"/>
  <c r="H43"/>
  <c r="I43"/>
  <c r="H42"/>
  <c r="I42"/>
  <c r="H41" i="22"/>
  <c r="I41"/>
  <c r="H43"/>
  <c r="I43"/>
  <c r="H42"/>
  <c r="I42"/>
  <c r="I96" i="21"/>
  <c r="I100" s="1"/>
  <c r="F42"/>
  <c r="E43"/>
  <c r="F43" s="1"/>
  <c r="H42" i="20"/>
  <c r="I42"/>
  <c r="H41"/>
  <c r="I41"/>
  <c r="H43"/>
  <c r="I43"/>
  <c r="H41" i="19"/>
  <c r="I41"/>
  <c r="H43"/>
  <c r="H42"/>
  <c r="I42"/>
  <c r="F42" i="18"/>
  <c r="E43"/>
  <c r="F43" s="1"/>
  <c r="H43" i="17"/>
  <c r="I43"/>
  <c r="H42"/>
  <c r="I42"/>
  <c r="H41" i="8"/>
  <c r="I41"/>
  <c r="H43"/>
  <c r="I43"/>
  <c r="H42"/>
  <c r="I42"/>
  <c r="I101" i="20" l="1"/>
  <c r="I102" i="17"/>
  <c r="I43" i="24"/>
  <c r="H43"/>
  <c r="I42"/>
  <c r="H42"/>
  <c r="I43" i="21"/>
  <c r="H43"/>
  <c r="I42"/>
  <c r="H42"/>
  <c r="I96" i="19"/>
  <c r="I105" s="1"/>
  <c r="H43" i="18"/>
  <c r="I42"/>
  <c r="H42"/>
  <c r="I96" l="1"/>
  <c r="I103" s="1"/>
  <c r="I100" i="8"/>
  <c r="I102" l="1"/>
</calcChain>
</file>

<file path=xl/sharedStrings.xml><?xml version="1.0" encoding="utf-8"?>
<sst xmlns="http://schemas.openxmlformats.org/spreadsheetml/2006/main" count="3010" uniqueCount="237">
  <si>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</si>
  <si>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</si>
  <si>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</si>
  <si>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</si>
  <si>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</si>
  <si>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</si>
  <si>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</si>
  <si>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</si>
  <si>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</si>
  <si>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</si>
  <si>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</si>
  <si>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</si>
  <si>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</si>
  <si>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</si>
  <si>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</si>
  <si>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</si>
  <si>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</si>
  <si>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</si>
  <si>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</si>
  <si>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</si>
  <si>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</si>
  <si>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</si>
  <si>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</si>
  <si>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</si>
  <si>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</si>
  <si>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</si>
  <si>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</si>
  <si>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</si>
  <si>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</si>
  <si>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</si>
  <si>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</si>
  <si>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</si>
  <si>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</si>
  <si>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</si>
  <si>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</si>
  <si>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</si>
  <si>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</si>
  <si>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</si>
  <si>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</si>
  <si>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</si>
  <si>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</si>
  <si>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</si>
  <si>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</si>
  <si>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</si>
  <si>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</si>
  <si>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</si>
  <si>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</si>
  <si>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</si>
  <si>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</si>
  <si>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</si>
  <si>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</si>
  <si>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</si>
  <si>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</si>
  <si>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</si>
  <si>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</si>
  <si>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</si>
  <si>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</si>
  <si>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</si>
  <si>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</si>
  <si>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</si>
  <si>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</si>
  <si>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</si>
  <si>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</si>
  <si>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</si>
  <si>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</si>
  <si>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</si>
  <si>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</si>
  <si>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</si>
  <si>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</si>
  <si>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</si>
  <si>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</si>
  <si>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</si>
  <si>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</si>
  <si>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</si>
  <si>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</si>
  <si>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</si>
  <si>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</si>
  <si>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</si>
  <si>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</si>
  <si>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</si>
  <si>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</si>
  <si>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</si>
  <si>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</si>
  <si>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</si>
  <si>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</si>
  <si>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</si>
  <si>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</si>
  <si>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</si>
  <si>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 xml:space="preserve">ежедневно </t>
  </si>
  <si>
    <t>ООО «Жилсервис»</t>
  </si>
  <si>
    <t>Влажное подметание лестничных клеток 1 этажа</t>
  </si>
  <si>
    <t>Работа автовышки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</si>
  <si>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</si>
  <si>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</si>
  <si>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</si>
  <si>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1 шт</t>
  </si>
  <si>
    <t>10 м2</t>
  </si>
  <si>
    <t>Водоснабжение, канализация</t>
  </si>
  <si>
    <t>10м2</t>
  </si>
  <si>
    <t>Влажное подметание лестничных клеток 2-3 этажа</t>
  </si>
  <si>
    <t>Мытье лестничных  площадок и маршей 1-3 этаж.</t>
  </si>
  <si>
    <t>100м2</t>
  </si>
  <si>
    <t>156 раз в год</t>
  </si>
  <si>
    <t>104 раза в год</t>
  </si>
  <si>
    <t xml:space="preserve">24 раза в год </t>
  </si>
  <si>
    <t>Мытье окон</t>
  </si>
  <si>
    <t xml:space="preserve">1 раз в год     </t>
  </si>
  <si>
    <t>Влажная протирка подоконников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</si>
  <si>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</si>
  <si>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</si>
  <si>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</si>
  <si>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</si>
  <si>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</si>
  <si>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</si>
  <si>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</si>
  <si>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</si>
  <si>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</si>
  <si>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</si>
  <si>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</si>
  <si>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</si>
  <si>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</si>
  <si>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</si>
  <si>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</si>
  <si>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</si>
  <si>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</si>
  <si>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</si>
  <si>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</si>
  <si>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</si>
  <si>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</si>
  <si>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</si>
  <si>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</si>
  <si>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</si>
  <si>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</si>
  <si>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</si>
  <si>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</si>
  <si>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</si>
  <si>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</si>
  <si>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</si>
  <si>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</si>
  <si>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Зачеканка раструбов канализационных труб диаметром до 100 мм</t>
  </si>
  <si>
    <t>Очистка канализационной сети внутренней</t>
  </si>
  <si>
    <t>Прочистка засоров ХВС</t>
  </si>
  <si>
    <t>3 м</t>
  </si>
  <si>
    <t>Смена внутренних трубопроводов из чугунных канализ.труб диаметром до 50 мм (без стоимости креплений)</t>
  </si>
  <si>
    <t>Смена внутренних трубопроводов из чугунных канализ.труб диаметром до 100 мм (без стоимости креплений)</t>
  </si>
  <si>
    <t>Смена полиэтиленовыхлизационных труб диаметром до 50 мм (без стоимости креплений)</t>
  </si>
  <si>
    <t>Смена полиэтиленовыхлизационных труб диаметром до 100 мм (без стоимости креплений)</t>
  </si>
  <si>
    <t>Ремонт вентильных кранов д=40 со снятием с места</t>
  </si>
  <si>
    <t>Смена внутренних трубопроводов из стальных труб диаметром до 50 мм (бес стоимости креплений)</t>
  </si>
  <si>
    <t>Осмотр водопровода, канализации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</si>
  <si>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</si>
  <si>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№5 по ул.Нефтяников пгт.Ярега
</t>
  </si>
  <si>
    <t>Влажная протирка шкафов для щитов и слаботочн.устройств</t>
  </si>
  <si>
    <t>Проверка дымоходов</t>
  </si>
  <si>
    <t>5 раз в год</t>
  </si>
  <si>
    <t>АКТ №1</t>
  </si>
  <si>
    <t>за период с 01.01.2017 г. по 31.01.2017 г.</t>
  </si>
  <si>
    <r>
      <t xml:space="preserve">    Собственники помещений в многоквартирном доме, расположенном по адресу:  пгт.Ярега, ул.Нефтяников, д.5,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«Жилсервис»,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</si>
  <si>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д.5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</si>
  <si>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</si>
  <si>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</si>
  <si>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</si>
  <si>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</si>
  <si>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Очистка края кровли от слежавшегося снега со сбрасыванием сосулек (10% от S кровли, козырьки над подъездами)</t>
  </si>
  <si>
    <t>маш.-час</t>
  </si>
  <si>
    <t>Спуск воды после промывки СО в канализацию</t>
  </si>
  <si>
    <t>Установка хомута диаметром до 50 мм</t>
  </si>
  <si>
    <t>АКТ №2</t>
  </si>
  <si>
    <t>за период с 01.02.2017 г. по 28.02.2017 г.</t>
  </si>
  <si>
    <t>АКТ №3</t>
  </si>
  <si>
    <t>за период с 01.03.2017 г. по 31.03.2017 г.</t>
  </si>
  <si>
    <t>III. Содержание общего имущества МКД</t>
  </si>
  <si>
    <t>IV. Прочие услуги</t>
  </si>
  <si>
    <t xml:space="preserve">Смена внутренних трубопроводов из стальных труб диаметром до 40 мм </t>
  </si>
  <si>
    <t>Установка заглушек диаметром трубопроводов до 100 мм</t>
  </si>
  <si>
    <t>заглушка</t>
  </si>
  <si>
    <t>Ремонт поверхности кирпичных стен при глубине заделки в 1 кирпич площадью в одном месте до 1 м2</t>
  </si>
  <si>
    <t>АКТ №4</t>
  </si>
  <si>
    <t>за период с 01.04.2017 г. по 30.04.2017 г.</t>
  </si>
  <si>
    <t>Смена трубопроводов на полипропиленовые трубы PN25 диаметром 20 мм</t>
  </si>
  <si>
    <t>Утепление трубопроводов минеральной ватой УРСА</t>
  </si>
  <si>
    <t>1 мЗ</t>
  </si>
  <si>
    <t>Разборка короба для работ ВДИС</t>
  </si>
  <si>
    <t>Восстановление короба после работ ВДИС</t>
  </si>
  <si>
    <t>АКТ №7</t>
  </si>
  <si>
    <t>АКТ №5</t>
  </si>
  <si>
    <t>за период с 01.05.2017 г. по 31.05.2017 г.</t>
  </si>
  <si>
    <t>2. Всего за период с 01.05.2017 по 31.05.2017 выполнено работ (оказано услуг) на общую сумму: 90320,62 руб.</t>
  </si>
  <si>
    <t>(девяносто тысяч триста двадцать рублей 62 копейки)</t>
  </si>
  <si>
    <t>АКТ №6</t>
  </si>
  <si>
    <t>за период с 01.06.2017 г. по 30.06.2017 г.</t>
  </si>
  <si>
    <t>2. Всего за период с 01.06.2017 по 30.06.2017 выполнено работ (оказано услуг) на общую сумму: 38589,21 руб.</t>
  </si>
  <si>
    <t>(тридцать восемь тысяч пятьсот восемьдесят девять рублей 21 копейка)</t>
  </si>
  <si>
    <t>за период с 01.07.2017 г. по 31.07.2017 г.</t>
  </si>
  <si>
    <t xml:space="preserve">Герметизация стыков трубопроводов    </t>
  </si>
  <si>
    <t>1 место</t>
  </si>
  <si>
    <t>2. Всего за период с 01.07.2017 по 31.07.2017 выполнено работ (оказано услуг) на общую сумму: 36432,84 руб.</t>
  </si>
  <si>
    <t>(тридцать шесть тысяч четыреста тридцать два рубля 84 копейки)</t>
  </si>
  <si>
    <t>АКТ №8</t>
  </si>
  <si>
    <t>за период с 01.08.2017 г. по 31.08.2017 г.</t>
  </si>
  <si>
    <t>III. Прочие услуги</t>
  </si>
  <si>
    <t>АКТ №9</t>
  </si>
  <si>
    <t>за период с 01.09.2017 г. по 30.09.2017 г.</t>
  </si>
  <si>
    <t xml:space="preserve">Смена сгонов у трубопроводов диаметром до 20 мм </t>
  </si>
  <si>
    <t>1 сгон</t>
  </si>
  <si>
    <t>Внеплановый осмотр электросетей, армазуры и электрооборудования на лестничных клетках</t>
  </si>
  <si>
    <t>Смена трубопроводов на полипропиленовые трубы PN25 диаметром 25 мм</t>
  </si>
  <si>
    <t>2. Всего за период с 01.09.2017 по 30.09.2017 выполнено работ (оказано услуг) на общую сумму: 42487,53 руб.</t>
  </si>
  <si>
    <t>(сорок две тысячи четыреста восемьдесят семь рублей 53 копейки)</t>
  </si>
  <si>
    <t>АКТ №10</t>
  </si>
  <si>
    <t>за период с 01.10.2017 г. по 31.10.2017 г.</t>
  </si>
  <si>
    <t>2. Всего за период с 01.10.2017 по 31.10.2017 выполнено работ (оказано услуг) на общую сумму: 43896,78 руб.</t>
  </si>
  <si>
    <t>(сорок три тысячи восемьсот девяносто шесть рублей 78 копеек)</t>
  </si>
  <si>
    <t>АКТ №11</t>
  </si>
  <si>
    <t>за период с 01.11.2017 г. по 30.11.2017 г.</t>
  </si>
  <si>
    <t>Смена плавкой вставки на электрощите</t>
  </si>
  <si>
    <t>Смена дверных приборов - проушины</t>
  </si>
  <si>
    <t>10 шт</t>
  </si>
  <si>
    <t>Смена дверных приборов (замки навесные)</t>
  </si>
  <si>
    <t>АКТ №12</t>
  </si>
  <si>
    <t>за период с 01.12.2017 г. по 31.12.2017 г.</t>
  </si>
  <si>
    <t>2. Всего за период с 01.01.2017 по 31.01.2017 выполнено работ (оказано услуг) на общую сумму: 42189,23 руб.</t>
  </si>
  <si>
    <t>(сорок две тысячи сто восемьдесят девять рублей 23 копейки)</t>
  </si>
  <si>
    <t>2. Всего за период с 01.02.2017 по 28.02.2017 выполнено работ (оказано услуг) на общую сумму: 50432,30 руб.</t>
  </si>
  <si>
    <t>(пятьдесят тысяч четыреста тридцать два рубля 30 копеек)</t>
  </si>
  <si>
    <t>2. Всего за период с 01.03.2017 по 31.03.2017 выполнено работ (оказано услуг) на общую сумму: 32715,99 руб.</t>
  </si>
  <si>
    <t>(тридцать две тысячи семьсот пятнадцать рублей 99 копеек)</t>
  </si>
  <si>
    <t>2. Всего за период с 01.04.2017 по 30.04.2017 выполнено работ (оказано услуг) на общую сумму: 39720,82 руб.</t>
  </si>
  <si>
    <t>(тридцать девять тысяч семьсот двадцать рублей 82 копейки)</t>
  </si>
  <si>
    <t>2. Всего за период с 01.11.2017 по 30.11.2017 выполнено работ (оказано услуг) на общую сумму: 36619,99 руб.</t>
  </si>
  <si>
    <t>(тридцать шесть тысяч шестьсот девятнадцать рублей 99 копеек)</t>
  </si>
  <si>
    <t>2. Всего за период с 01.12.2017 по 31.12.2017 выполнено работ (оказано услуг) на общую сумму: 32562,78 руб.</t>
  </si>
  <si>
    <t>(тридцать две тысячи пятьсот шестьдесят два рубля 78 копеек)</t>
  </si>
  <si>
    <t>Ремонт отмостки</t>
  </si>
  <si>
    <t>м2</t>
  </si>
  <si>
    <t>2. Всего за период с 01.08.2017 по 31.08.2017 выполнено работ (оказано услуг) на общую сумму: 78528,59 руб.</t>
  </si>
  <si>
    <t>(семьдеся восемь тысяч пятьсот двадцать восемь рублей 59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</si>
</sst>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4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5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155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156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62"/>
      <c r="C6" s="62"/>
      <c r="D6" s="62"/>
      <c r="E6" s="73"/>
      <c r="F6" s="62"/>
      <c r="G6" s="62"/>
      <c r="H6" s="73"/>
      <c r="I6" s="33">
        <v>42766</v>
      </c>
      <c r="J6" s="2"/>
      <c r="K6" s="2"/>
      <c r="L6" s="2"/>
      <c r="M6" s="2"/>
    </row>
    <row r="7" spans="1:13" ht="15.75" customHeight="1">
      <c r="B7" s="59"/>
      <c r="C7" s="59"/>
      <c r="D7" s="59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hidden="1" customHeight="1">
      <c r="A19" s="32"/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v>0</v>
      </c>
      <c r="J20" s="25"/>
      <c r="K20" s="8"/>
      <c r="L20" s="8"/>
      <c r="M20" s="8"/>
    </row>
    <row r="21" spans="1:13" ht="15.75" hidden="1" customHeight="1">
      <c r="A21" s="32">
        <v>5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v>0</v>
      </c>
      <c r="J21" s="25"/>
      <c r="K21" s="8"/>
      <c r="L21" s="8"/>
      <c r="M21" s="8"/>
    </row>
    <row r="22" spans="1:13" ht="15.75" hidden="1" customHeight="1">
      <c r="A22" s="32"/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v>0</v>
      </c>
      <c r="J22" s="25"/>
      <c r="K22" s="8"/>
      <c r="L22" s="8"/>
      <c r="M22" s="8"/>
    </row>
    <row r="23" spans="1:13" ht="15.75" hidden="1" customHeight="1">
      <c r="A23" s="32"/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v>0</v>
      </c>
      <c r="J23" s="25"/>
      <c r="K23" s="8"/>
      <c r="L23" s="8"/>
      <c r="M23" s="8"/>
    </row>
    <row r="24" spans="1:13" ht="15.75" hidden="1" customHeight="1">
      <c r="A24" s="32"/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v>0</v>
      </c>
      <c r="J24" s="25"/>
      <c r="K24" s="8"/>
      <c r="L24" s="8"/>
      <c r="M24" s="8"/>
    </row>
    <row r="25" spans="1:13" ht="15.75" hidden="1" customHeight="1">
      <c r="A25" s="43">
        <v>6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v>0</v>
      </c>
      <c r="J25" s="25"/>
      <c r="K25" s="8"/>
      <c r="L25" s="8"/>
      <c r="M25" s="8"/>
    </row>
    <row r="26" spans="1:13" ht="15.75" hidden="1" customHeight="1">
      <c r="A26" s="43"/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v>0</v>
      </c>
      <c r="J26" s="25"/>
      <c r="K26" s="8"/>
      <c r="L26" s="8"/>
      <c r="M26" s="8"/>
    </row>
    <row r="27" spans="1:13" ht="15.75" customHeight="1">
      <c r="A27" s="43">
        <v>4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43">
        <v>5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hidden="1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hidden="1" customHeight="1">
      <c r="A31" s="43">
        <v>2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1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hidden="1" customHeight="1">
      <c r="A32" s="43">
        <v>3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1"/>
        <v>0.85848703199999998</v>
      </c>
      <c r="I32" s="14">
        <f t="shared" ref="I32:I35" si="2">F32/6*G32</f>
        <v>143.08117200000001</v>
      </c>
      <c r="J32" s="25"/>
      <c r="K32" s="8"/>
      <c r="L32" s="8"/>
      <c r="M32" s="8"/>
    </row>
    <row r="33" spans="1:14" ht="15.75" hidden="1" customHeight="1">
      <c r="A33" s="43">
        <v>4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1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hidden="1" customHeight="1">
      <c r="A34" s="43"/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1"/>
        <v>7.5336975000000015</v>
      </c>
      <c r="I34" s="14">
        <f t="shared" si="2"/>
        <v>1255.61625</v>
      </c>
      <c r="J34" s="25"/>
      <c r="K34" s="8"/>
    </row>
    <row r="35" spans="1:14" ht="15.75" hidden="1" customHeight="1">
      <c r="A35" s="43">
        <v>5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1"/>
        <v>3.6445666666666665</v>
      </c>
      <c r="I35" s="14">
        <f t="shared" si="2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1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1"/>
        <v>2.8279200000000002</v>
      </c>
      <c r="I37" s="14">
        <v>0</v>
      </c>
      <c r="J37" s="26"/>
    </row>
    <row r="38" spans="1:14" ht="15.75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3">SUM(F39*G39/1000)</f>
        <v>3.8007399999999998</v>
      </c>
      <c r="I39" s="14">
        <f t="shared" ref="I39:I44" si="4">F39/6*G39</f>
        <v>633.45666666666659</v>
      </c>
      <c r="J39" s="26"/>
    </row>
    <row r="40" spans="1:14" ht="15.75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3"/>
        <v>2.6845187400000001</v>
      </c>
      <c r="I40" s="14">
        <f t="shared" si="4"/>
        <v>447.41978999999998</v>
      </c>
      <c r="J40" s="26"/>
    </row>
    <row r="41" spans="1:14" ht="15.75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3"/>
        <v>2.3136214500000003</v>
      </c>
      <c r="I41" s="14">
        <f t="shared" si="4"/>
        <v>385.60357500000003</v>
      </c>
      <c r="J41" s="26"/>
    </row>
    <row r="42" spans="1:14" ht="47.25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3"/>
        <v>8.6437883699999993</v>
      </c>
      <c r="I42" s="14">
        <f t="shared" si="4"/>
        <v>1440.6313950000001</v>
      </c>
      <c r="J42" s="26"/>
      <c r="L42" s="22"/>
      <c r="M42" s="23"/>
      <c r="N42" s="24"/>
    </row>
    <row r="43" spans="1:14" ht="15.75" hidden="1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3"/>
        <v>0.36487980000000003</v>
      </c>
      <c r="I43" s="14">
        <f t="shared" si="4"/>
        <v>60.813300000000005</v>
      </c>
      <c r="J43" s="26"/>
      <c r="L43" s="22"/>
      <c r="M43" s="23"/>
      <c r="N43" s="24"/>
    </row>
    <row r="44" spans="1:14" ht="15.75" customHeight="1">
      <c r="A44" s="36">
        <v>10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3"/>
        <v>0.49648500000000001</v>
      </c>
      <c r="I44" s="14">
        <f t="shared" si="4"/>
        <v>82.747500000000002</v>
      </c>
      <c r="J44" s="26"/>
      <c r="L44" s="22"/>
      <c r="M44" s="23"/>
      <c r="N44" s="24"/>
    </row>
    <row r="45" spans="1:14" ht="15.75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hidden="1" customHeight="1">
      <c r="A46" s="43">
        <v>15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5">SUM(F46*G46/1000)</f>
        <v>2.6521417440000006</v>
      </c>
      <c r="I46" s="14">
        <v>0</v>
      </c>
      <c r="J46" s="26"/>
      <c r="L46" s="22"/>
      <c r="M46" s="23"/>
      <c r="N46" s="24"/>
    </row>
    <row r="47" spans="1:14" ht="15.75" hidden="1" customHeight="1">
      <c r="A47" s="43"/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5"/>
        <v>2.8553184000000002E-2</v>
      </c>
      <c r="I47" s="14">
        <v>0</v>
      </c>
      <c r="J47" s="26"/>
      <c r="L47" s="22"/>
      <c r="M47" s="23"/>
      <c r="N47" s="24"/>
    </row>
    <row r="48" spans="1:14" ht="15.75" hidden="1" customHeight="1">
      <c r="A48" s="43">
        <v>16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5"/>
        <v>2.2617645503999997</v>
      </c>
      <c r="I48" s="14">
        <v>0</v>
      </c>
      <c r="J48" s="26"/>
      <c r="L48" s="22"/>
      <c r="M48" s="23"/>
      <c r="N48" s="24"/>
    </row>
    <row r="49" spans="1:14" ht="15.75" hidden="1" customHeight="1">
      <c r="A49" s="43">
        <v>17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5"/>
        <v>2.7280312466000001</v>
      </c>
      <c r="I49" s="14">
        <v>0</v>
      </c>
      <c r="J49" s="26"/>
      <c r="L49" s="22"/>
      <c r="M49" s="23"/>
      <c r="N49" s="24"/>
    </row>
    <row r="50" spans="1:14" ht="15.75" hidden="1" customHeight="1">
      <c r="A50" s="43">
        <v>18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5"/>
        <v>3.1061108E-2</v>
      </c>
      <c r="I50" s="14">
        <v>0</v>
      </c>
      <c r="J50" s="26"/>
      <c r="L50" s="22"/>
      <c r="M50" s="23"/>
      <c r="N50" s="24"/>
    </row>
    <row r="51" spans="1:14" ht="15.75" customHeight="1">
      <c r="A51" s="43">
        <v>11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5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hidden="1" customHeight="1">
      <c r="A52" s="43">
        <v>13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5"/>
        <v>2.48555876</v>
      </c>
      <c r="I52" s="14">
        <v>0</v>
      </c>
      <c r="J52" s="26"/>
      <c r="L52" s="22"/>
      <c r="M52" s="23"/>
      <c r="N52" s="24"/>
    </row>
    <row r="53" spans="1:14" ht="31.5" hidden="1" customHeight="1">
      <c r="A53" s="43">
        <v>14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5"/>
        <v>0.69307200000000002</v>
      </c>
      <c r="I53" s="14">
        <v>0</v>
      </c>
      <c r="J53" s="26"/>
      <c r="L53" s="22"/>
      <c r="M53" s="23"/>
      <c r="N53" s="24"/>
    </row>
    <row r="54" spans="1:14" ht="15.75" hidden="1" customHeight="1">
      <c r="A54" s="43">
        <v>15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5"/>
        <v>0.1406626</v>
      </c>
      <c r="I54" s="14">
        <v>0</v>
      </c>
      <c r="J54" s="26"/>
      <c r="L54" s="22"/>
      <c r="M54" s="23"/>
      <c r="N54" s="24"/>
    </row>
    <row r="55" spans="1:14" ht="15.75" customHeight="1">
      <c r="A55" s="43">
        <v>12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5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customHeight="1">
      <c r="A56" s="43">
        <v>13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5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customHeight="1">
      <c r="A57" s="125" t="s">
        <v>160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customHeight="1">
      <c r="A58" s="55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customHeight="1">
      <c r="A59" s="43">
        <v>14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hidden="1" customHeight="1">
      <c r="A60" s="43"/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v>0</v>
      </c>
      <c r="J60" s="26"/>
      <c r="L60" s="22"/>
      <c r="M60" s="23"/>
      <c r="N60" s="24"/>
    </row>
    <row r="61" spans="1:14" ht="15.75" hidden="1" customHeight="1">
      <c r="A61" s="43"/>
      <c r="B61" s="64" t="s">
        <v>44</v>
      </c>
      <c r="C61" s="64"/>
      <c r="D61" s="64"/>
      <c r="E61" s="72"/>
      <c r="F61" s="64"/>
      <c r="G61" s="64"/>
      <c r="H61" s="72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hidden="1" customHeight="1">
      <c r="A63" s="43"/>
      <c r="B63" s="64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hidden="1" customHeight="1">
      <c r="A64" s="43">
        <v>17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6">SUM(F64*G64/1000)</f>
        <v>2.7674000000000003</v>
      </c>
      <c r="I64" s="14">
        <v>0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6"/>
        <v>0.28467000000000003</v>
      </c>
      <c r="I65" s="14">
        <v>0</v>
      </c>
    </row>
    <row r="66" spans="1:22" ht="15.75" hidden="1" customHeight="1">
      <c r="A66" s="32">
        <v>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6"/>
        <v>19.820369200000002</v>
      </c>
      <c r="I66" s="14">
        <v>0</v>
      </c>
    </row>
    <row r="67" spans="1:22" ht="15.75" hidden="1" customHeight="1">
      <c r="A67" s="32">
        <v>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6"/>
        <v>1.54341956</v>
      </c>
      <c r="I67" s="14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2">
        <v>10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6"/>
        <v>28.138677000000005</v>
      </c>
      <c r="I68" s="14">
        <v>0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2">
        <v>11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6"/>
        <v>0.35113000000000005</v>
      </c>
      <c r="I69" s="14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2">
        <v>12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6"/>
        <v>0.327598</v>
      </c>
      <c r="I70" s="14">
        <v>0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hidden="1" customHeight="1">
      <c r="A71" s="32">
        <v>13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6"/>
        <v>0.18621000000000001</v>
      </c>
      <c r="I71" s="14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7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7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7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7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7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8">SUM(F79*G79/1000)</f>
        <v>4.6354679999999995</v>
      </c>
      <c r="I79" s="14">
        <v>0</v>
      </c>
    </row>
    <row r="80" spans="1:22" ht="15.75" hidden="1" customHeight="1">
      <c r="A80" s="32"/>
      <c r="B80" s="64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9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9"/>
        <v>1.4681999999999997</v>
      </c>
      <c r="I82" s="14">
        <v>0</v>
      </c>
    </row>
    <row r="83" spans="1:9" ht="15.75" hidden="1" customHeight="1">
      <c r="A83" s="32"/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9"/>
        <v>3.19041</v>
      </c>
      <c r="I83" s="14">
        <v>0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9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9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9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9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9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9"/>
        <v>7.5860399999999988</v>
      </c>
      <c r="I89" s="14">
        <v>0</v>
      </c>
    </row>
    <row r="90" spans="1:9" ht="15.75" hidden="1" customHeight="1">
      <c r="A90" s="32"/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9"/>
        <v>2.8108906600000001</v>
      </c>
      <c r="I90" s="14">
        <v>0</v>
      </c>
    </row>
    <row r="91" spans="1:9" ht="15.75" hidden="1" customHeight="1">
      <c r="A91" s="55"/>
      <c r="B91" s="64" t="s">
        <v>132</v>
      </c>
      <c r="C91" s="64"/>
      <c r="D91" s="64"/>
      <c r="E91" s="72"/>
      <c r="F91" s="64"/>
      <c r="G91" s="64"/>
      <c r="H91" s="72"/>
      <c r="I91" s="21"/>
    </row>
    <row r="92" spans="1:9" ht="15.75" hidden="1" customHeight="1">
      <c r="A92" s="32">
        <v>36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v>0</v>
      </c>
    </row>
    <row r="93" spans="1:9" ht="15.75" customHeight="1">
      <c r="A93" s="133" t="s">
        <v>161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15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16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55"/>
      <c r="B96" s="42" t="s">
        <v>82</v>
      </c>
      <c r="C96" s="43"/>
      <c r="D96" s="17"/>
      <c r="E96" s="17"/>
      <c r="F96" s="17"/>
      <c r="G96" s="21"/>
      <c r="H96" s="21"/>
      <c r="I96" s="35">
        <f>SUM(I16+I17+I18+I27+I28+I39+I40+I41+I42+I44+I51+I55+I56+I59+I94+I95)</f>
        <v>41826.66037533334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15.75" customHeight="1">
      <c r="A98" s="32">
        <v>17</v>
      </c>
      <c r="B98" s="54" t="s">
        <v>166</v>
      </c>
      <c r="C98" s="18" t="s">
        <v>86</v>
      </c>
      <c r="D98" s="54"/>
      <c r="E98" s="14"/>
      <c r="F98" s="14">
        <v>2</v>
      </c>
      <c r="G98" s="14">
        <v>195.85</v>
      </c>
      <c r="H98" s="99">
        <v>0.39</v>
      </c>
      <c r="I98" s="14">
        <f>G98</f>
        <v>195.85</v>
      </c>
    </row>
    <row r="99" spans="1:9" ht="31.5" customHeight="1">
      <c r="A99" s="32">
        <v>18</v>
      </c>
      <c r="B99" s="67" t="s">
        <v>81</v>
      </c>
      <c r="C99" s="102" t="s">
        <v>128</v>
      </c>
      <c r="D99" s="54"/>
      <c r="E99" s="14"/>
      <c r="F99" s="14">
        <v>2</v>
      </c>
      <c r="G99" s="14">
        <v>83.36</v>
      </c>
      <c r="H99" s="99">
        <f t="shared" ref="H99" si="10">G99*F99/1000</f>
        <v>0.16672000000000001</v>
      </c>
      <c r="I99" s="14">
        <f>G99*2</f>
        <v>166.72</v>
      </c>
    </row>
    <row r="100" spans="1:9" ht="15.75" customHeight="1">
      <c r="A100" s="32"/>
      <c r="B100" s="48" t="s">
        <v>52</v>
      </c>
      <c r="C100" s="44"/>
      <c r="D100" s="56"/>
      <c r="E100" s="56"/>
      <c r="F100" s="44">
        <v>1</v>
      </c>
      <c r="G100" s="44"/>
      <c r="H100" s="44"/>
      <c r="I100" s="35">
        <f>SUM(I98:I99)</f>
        <v>362.57</v>
      </c>
    </row>
    <row r="101" spans="1:9" ht="15.75" customHeight="1">
      <c r="A101" s="32"/>
      <c r="B101" s="54" t="s">
        <v>80</v>
      </c>
      <c r="C101" s="17"/>
      <c r="D101" s="17"/>
      <c r="E101" s="17"/>
      <c r="F101" s="45"/>
      <c r="G101" s="46"/>
      <c r="H101" s="46"/>
      <c r="I101" s="20">
        <v>0</v>
      </c>
    </row>
    <row r="102" spans="1:9" ht="15.75" customHeight="1">
      <c r="A102" s="57"/>
      <c r="B102" s="49" t="s">
        <v>162</v>
      </c>
      <c r="C102" s="37"/>
      <c r="D102" s="37"/>
      <c r="E102" s="37"/>
      <c r="F102" s="37"/>
      <c r="G102" s="37"/>
      <c r="H102" s="37"/>
      <c r="I102" s="47">
        <f>I96+I100</f>
        <v>42189.23037533334</v>
      </c>
    </row>
    <row r="103" spans="1:9" ht="15.75">
      <c r="A103" s="122" t="s">
        <v>221</v>
      </c>
      <c r="B103" s="122"/>
      <c r="C103" s="122"/>
      <c r="D103" s="122"/>
      <c r="E103" s="122"/>
      <c r="F103" s="122"/>
      <c r="G103" s="122"/>
      <c r="H103" s="122"/>
      <c r="I103" s="122"/>
    </row>
    <row r="104" spans="1:9" ht="15.75">
      <c r="A104" s="63"/>
      <c r="B104" s="123" t="s">
        <v>222</v>
      </c>
      <c r="C104" s="123"/>
      <c r="D104" s="123"/>
      <c r="E104" s="123"/>
      <c r="F104" s="123"/>
      <c r="G104" s="123"/>
      <c r="H104" s="81"/>
      <c r="I104" s="3"/>
    </row>
    <row r="105" spans="1:9">
      <c r="A105" s="58"/>
      <c r="B105" s="121" t="s">
        <v>6</v>
      </c>
      <c r="C105" s="121"/>
      <c r="D105" s="121"/>
      <c r="E105" s="121"/>
      <c r="F105" s="121"/>
      <c r="G105" s="121"/>
      <c r="H105" s="27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24" t="s">
        <v>7</v>
      </c>
      <c r="B107" s="124"/>
      <c r="C107" s="124"/>
      <c r="D107" s="124"/>
      <c r="E107" s="124"/>
      <c r="F107" s="124"/>
      <c r="G107" s="124"/>
      <c r="H107" s="124"/>
      <c r="I107" s="124"/>
    </row>
    <row r="108" spans="1:9" ht="15.75">
      <c r="A108" s="124" t="s">
        <v>8</v>
      </c>
      <c r="B108" s="124"/>
      <c r="C108" s="124"/>
      <c r="D108" s="124"/>
      <c r="E108" s="124"/>
      <c r="F108" s="124"/>
      <c r="G108" s="124"/>
      <c r="H108" s="124"/>
      <c r="I108" s="124"/>
    </row>
    <row r="109" spans="1:9" ht="15.75">
      <c r="A109" s="118" t="s">
        <v>62</v>
      </c>
      <c r="B109" s="118"/>
      <c r="C109" s="118"/>
      <c r="D109" s="118"/>
      <c r="E109" s="118"/>
      <c r="F109" s="118"/>
      <c r="G109" s="118"/>
      <c r="H109" s="118"/>
      <c r="I109" s="118"/>
    </row>
    <row r="110" spans="1:9" ht="15.75">
      <c r="A110" s="11"/>
    </row>
    <row r="111" spans="1:9" ht="15.75">
      <c r="A111" s="119" t="s">
        <v>9</v>
      </c>
      <c r="B111" s="119"/>
      <c r="C111" s="119"/>
      <c r="D111" s="119"/>
      <c r="E111" s="119"/>
      <c r="F111" s="119"/>
      <c r="G111" s="119"/>
      <c r="H111" s="119"/>
      <c r="I111" s="119"/>
    </row>
    <row r="112" spans="1:9" ht="15.75">
      <c r="A112" s="4"/>
    </row>
    <row r="113" spans="1:9" ht="15.75">
      <c r="B113" s="59" t="s">
        <v>10</v>
      </c>
      <c r="C113" s="120" t="s">
        <v>94</v>
      </c>
      <c r="D113" s="120"/>
      <c r="E113" s="120"/>
      <c r="F113" s="120"/>
      <c r="I113" s="61"/>
    </row>
    <row r="114" spans="1:9">
      <c r="A114" s="58"/>
      <c r="C114" s="121" t="s">
        <v>11</v>
      </c>
      <c r="D114" s="121"/>
      <c r="E114" s="121"/>
      <c r="F114" s="121"/>
      <c r="I114" s="60" t="s">
        <v>12</v>
      </c>
    </row>
    <row r="115" spans="1:9" ht="15.75">
      <c r="A115" s="28"/>
      <c r="C115" s="12"/>
      <c r="D115" s="12"/>
      <c r="E115" s="12"/>
      <c r="G115" s="12"/>
      <c r="H115" s="12"/>
    </row>
    <row r="116" spans="1:9" ht="15.75">
      <c r="B116" s="59" t="s">
        <v>13</v>
      </c>
      <c r="C116" s="115"/>
      <c r="D116" s="115"/>
      <c r="E116" s="115"/>
      <c r="F116" s="115"/>
      <c r="I116" s="61"/>
    </row>
    <row r="117" spans="1:9">
      <c r="A117" s="58"/>
      <c r="C117" s="116" t="s">
        <v>11</v>
      </c>
      <c r="D117" s="116"/>
      <c r="E117" s="116"/>
      <c r="F117" s="116"/>
      <c r="I117" s="60" t="s">
        <v>12</v>
      </c>
    </row>
    <row r="118" spans="1:9" ht="15.75">
      <c r="A118" s="4" t="s">
        <v>14</v>
      </c>
    </row>
    <row r="119" spans="1:9">
      <c r="A119" s="117" t="s">
        <v>15</v>
      </c>
      <c r="B119" s="117"/>
      <c r="C119" s="117"/>
      <c r="D119" s="117"/>
      <c r="E119" s="117"/>
      <c r="F119" s="117"/>
      <c r="G119" s="117"/>
      <c r="H119" s="117"/>
      <c r="I119" s="117"/>
    </row>
    <row r="120" spans="1:9" ht="45" customHeight="1">
      <c r="A120" s="114" t="s">
        <v>16</v>
      </c>
      <c r="B120" s="114"/>
      <c r="C120" s="114"/>
      <c r="D120" s="114"/>
      <c r="E120" s="114"/>
      <c r="F120" s="114"/>
      <c r="G120" s="114"/>
      <c r="H120" s="114"/>
      <c r="I120" s="114"/>
    </row>
    <row r="121" spans="1:9" ht="30" customHeight="1">
      <c r="A121" s="114" t="s">
        <v>17</v>
      </c>
      <c r="B121" s="114"/>
      <c r="C121" s="114"/>
      <c r="D121" s="114"/>
      <c r="E121" s="114"/>
      <c r="F121" s="114"/>
      <c r="G121" s="114"/>
      <c r="H121" s="114"/>
      <c r="I121" s="114"/>
    </row>
    <row r="122" spans="1:9" ht="30" customHeight="1">
      <c r="A122" s="114" t="s">
        <v>21</v>
      </c>
      <c r="B122" s="114"/>
      <c r="C122" s="114"/>
      <c r="D122" s="114"/>
      <c r="E122" s="114"/>
      <c r="F122" s="114"/>
      <c r="G122" s="114"/>
      <c r="H122" s="114"/>
      <c r="I122" s="114"/>
    </row>
    <row r="123" spans="1:9" ht="15" customHeight="1">
      <c r="A123" s="114" t="s">
        <v>20</v>
      </c>
      <c r="B123" s="114"/>
      <c r="C123" s="114"/>
      <c r="D123" s="114"/>
      <c r="E123" s="114"/>
      <c r="F123" s="114"/>
      <c r="G123" s="114"/>
      <c r="H123" s="114"/>
      <c r="I123" s="114"/>
    </row>
  </sheetData>
  <autoFilter ref="I12:I65"/>
  <mergeCells count="29">
    <mergeCell ref="A93:I93"/>
    <mergeCell ref="A97:I97"/>
    <mergeCell ref="A14:I14"/>
    <mergeCell ref="A15:I15"/>
    <mergeCell ref="A29:I29"/>
    <mergeCell ref="A45:I45"/>
    <mergeCell ref="R70:U70"/>
    <mergeCell ref="A57:I57"/>
    <mergeCell ref="A3:I3"/>
    <mergeCell ref="A4:I4"/>
    <mergeCell ref="A8:I8"/>
    <mergeCell ref="A10:I10"/>
    <mergeCell ref="A5:I5"/>
    <mergeCell ref="A103:I103"/>
    <mergeCell ref="B104:G104"/>
    <mergeCell ref="B105:G105"/>
    <mergeCell ref="A107:I107"/>
    <mergeCell ref="A108:I108"/>
    <mergeCell ref="A109:I109"/>
    <mergeCell ref="A111:I111"/>
    <mergeCell ref="C113:F113"/>
    <mergeCell ref="C114:F114"/>
    <mergeCell ref="A122:I122"/>
    <mergeCell ref="A123:I123"/>
    <mergeCell ref="C116:F116"/>
    <mergeCell ref="C117:F117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209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210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3">
        <v>43039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hidden="1" customHeight="1">
      <c r="A19" s="32">
        <v>4</v>
      </c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f>F19/2*G19</f>
        <v>161.9811</v>
      </c>
      <c r="J19" s="25"/>
      <c r="K19" s="8"/>
      <c r="L19" s="8"/>
      <c r="M19" s="8"/>
    </row>
    <row r="20" spans="1:13" ht="15.75" hidden="1" customHeight="1">
      <c r="A20" s="32">
        <v>5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f>F20*G20</f>
        <v>24.247</v>
      </c>
      <c r="J20" s="25"/>
      <c r="K20" s="8"/>
      <c r="L20" s="8"/>
      <c r="M20" s="8"/>
    </row>
    <row r="21" spans="1:13" ht="15.75" hidden="1" customHeight="1">
      <c r="A21" s="32">
        <v>4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f>F21/2*G21</f>
        <v>319.162464</v>
      </c>
      <c r="J21" s="25"/>
      <c r="K21" s="8"/>
      <c r="L21" s="8"/>
      <c r="M21" s="8"/>
    </row>
    <row r="22" spans="1:13" ht="15.75" hidden="1" customHeight="1">
      <c r="A22" s="32">
        <v>5</v>
      </c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f>F22/2*G22</f>
        <v>140.05353599999998</v>
      </c>
      <c r="J22" s="25"/>
      <c r="K22" s="8"/>
      <c r="L22" s="8"/>
      <c r="M22" s="8"/>
    </row>
    <row r="23" spans="1:13" ht="15.75" hidden="1" customHeight="1">
      <c r="A23" s="32">
        <v>8</v>
      </c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f>F23*G23</f>
        <v>720.35749999999996</v>
      </c>
      <c r="J23" s="25"/>
      <c r="K23" s="8"/>
      <c r="L23" s="8"/>
      <c r="M23" s="8"/>
    </row>
    <row r="24" spans="1:13" ht="15.75" hidden="1" customHeight="1">
      <c r="A24" s="32">
        <v>9</v>
      </c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f t="shared" ref="I24:I26" si="1">F24*G24</f>
        <v>9.7196400000000001</v>
      </c>
      <c r="J24" s="25"/>
      <c r="K24" s="8"/>
      <c r="L24" s="8"/>
      <c r="M24" s="8"/>
    </row>
    <row r="25" spans="1:13" ht="15.75" hidden="1" customHeight="1">
      <c r="A25" s="32">
        <v>10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f t="shared" si="1"/>
        <v>93.319200000000009</v>
      </c>
      <c r="J25" s="25"/>
      <c r="K25" s="8"/>
      <c r="L25" s="8"/>
      <c r="M25" s="8"/>
    </row>
    <row r="26" spans="1:13" ht="15.75" hidden="1" customHeight="1">
      <c r="A26" s="32">
        <v>11</v>
      </c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f t="shared" si="1"/>
        <v>24.2028</v>
      </c>
      <c r="J26" s="25"/>
      <c r="K26" s="8"/>
      <c r="L26" s="8"/>
      <c r="M26" s="8"/>
    </row>
    <row r="27" spans="1:13" ht="15.75" customHeight="1">
      <c r="A27" s="32">
        <v>4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32">
        <v>5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customHeight="1">
      <c r="A31" s="43">
        <v>6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2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customHeight="1">
      <c r="A32" s="43">
        <v>7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2"/>
        <v>0.85848703199999998</v>
      </c>
      <c r="I32" s="14">
        <f t="shared" ref="I32:I35" si="3">F32/6*G32</f>
        <v>143.08117200000001</v>
      </c>
      <c r="J32" s="25"/>
      <c r="K32" s="8"/>
      <c r="L32" s="8"/>
      <c r="M32" s="8"/>
    </row>
    <row r="33" spans="1:14" ht="15.75" hidden="1" customHeight="1">
      <c r="A33" s="43">
        <v>16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2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customHeight="1">
      <c r="A34" s="43">
        <v>8</v>
      </c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2"/>
        <v>7.5336975000000015</v>
      </c>
      <c r="I34" s="14">
        <f t="shared" si="3"/>
        <v>1255.61625</v>
      </c>
      <c r="J34" s="25"/>
      <c r="K34" s="8"/>
    </row>
    <row r="35" spans="1:14" ht="15.75" customHeight="1">
      <c r="A35" s="43">
        <v>9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2"/>
        <v>3.6445666666666665</v>
      </c>
      <c r="I35" s="14">
        <f t="shared" si="3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2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2"/>
        <v>2.8279200000000002</v>
      </c>
      <c r="I37" s="14">
        <v>0</v>
      </c>
      <c r="J37" s="26"/>
    </row>
    <row r="38" spans="1:14" ht="15.75" hidden="1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hidden="1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4">SUM(F39*G39/1000)</f>
        <v>3.8007399999999998</v>
      </c>
      <c r="I39" s="14">
        <f t="shared" ref="I39:I44" si="5">F39/6*G39</f>
        <v>633.45666666666659</v>
      </c>
      <c r="J39" s="26"/>
    </row>
    <row r="40" spans="1:14" ht="15.75" hidden="1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4"/>
        <v>2.6845187400000001</v>
      </c>
      <c r="I40" s="14">
        <f t="shared" si="5"/>
        <v>447.41978999999998</v>
      </c>
      <c r="J40" s="26"/>
    </row>
    <row r="41" spans="1:14" ht="15.75" hidden="1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4"/>
        <v>2.3136214500000003</v>
      </c>
      <c r="I41" s="14">
        <f t="shared" si="5"/>
        <v>385.60357500000003</v>
      </c>
      <c r="J41" s="26"/>
    </row>
    <row r="42" spans="1:14" ht="47.25" hidden="1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4"/>
        <v>8.6437883699999993</v>
      </c>
      <c r="I42" s="14">
        <f t="shared" si="5"/>
        <v>1440.6313950000001</v>
      </c>
      <c r="J42" s="26"/>
      <c r="L42" s="22"/>
      <c r="M42" s="23"/>
      <c r="N42" s="24"/>
    </row>
    <row r="43" spans="1:14" ht="15.75" hidden="1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4"/>
        <v>0.36487980000000003</v>
      </c>
      <c r="I43" s="14">
        <f t="shared" si="5"/>
        <v>60.813300000000005</v>
      </c>
      <c r="J43" s="26"/>
      <c r="L43" s="22"/>
      <c r="M43" s="23"/>
      <c r="N43" s="24"/>
    </row>
    <row r="44" spans="1:14" ht="15.75" hidden="1" customHeight="1">
      <c r="A44" s="36">
        <v>11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4"/>
        <v>0.49648500000000001</v>
      </c>
      <c r="I44" s="14">
        <f t="shared" si="5"/>
        <v>82.747500000000002</v>
      </c>
      <c r="J44" s="26"/>
      <c r="L44" s="22"/>
      <c r="M44" s="23"/>
      <c r="N44" s="24"/>
    </row>
    <row r="45" spans="1:14" ht="15.75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hidden="1" customHeight="1">
      <c r="A46" s="43">
        <v>12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6">SUM(F46*G46/1000)</f>
        <v>2.6521417440000006</v>
      </c>
      <c r="I46" s="14">
        <f t="shared" ref="I46:I49" si="7">F46/2*G46</f>
        <v>1326.0708720000002</v>
      </c>
      <c r="J46" s="26"/>
      <c r="L46" s="22"/>
      <c r="M46" s="23"/>
      <c r="N46" s="24"/>
    </row>
    <row r="47" spans="1:14" ht="15.75" hidden="1" customHeight="1">
      <c r="A47" s="43">
        <v>13</v>
      </c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6"/>
        <v>2.8553184000000002E-2</v>
      </c>
      <c r="I47" s="14">
        <f t="shared" si="7"/>
        <v>14.276592000000001</v>
      </c>
      <c r="J47" s="26"/>
      <c r="L47" s="22"/>
      <c r="M47" s="23"/>
      <c r="N47" s="24"/>
    </row>
    <row r="48" spans="1:14" ht="15.75" hidden="1" customHeight="1">
      <c r="A48" s="43">
        <v>14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6"/>
        <v>2.2617645503999997</v>
      </c>
      <c r="I48" s="14">
        <f t="shared" si="7"/>
        <v>1130.8822751999999</v>
      </c>
      <c r="J48" s="26"/>
      <c r="L48" s="22"/>
      <c r="M48" s="23"/>
      <c r="N48" s="24"/>
    </row>
    <row r="49" spans="1:14" ht="15.75" hidden="1" customHeight="1">
      <c r="A49" s="43">
        <v>15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6"/>
        <v>2.7280312466000001</v>
      </c>
      <c r="I49" s="14">
        <f t="shared" si="7"/>
        <v>1364.0156233</v>
      </c>
      <c r="J49" s="26"/>
      <c r="L49" s="22"/>
      <c r="M49" s="23"/>
      <c r="N49" s="24"/>
    </row>
    <row r="50" spans="1:14" ht="15.75" hidden="1" customHeight="1">
      <c r="A50" s="43">
        <v>16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6"/>
        <v>3.1061108E-2</v>
      </c>
      <c r="I50" s="14">
        <f>F50/2*G50</f>
        <v>15.530554</v>
      </c>
      <c r="J50" s="26"/>
      <c r="L50" s="22"/>
      <c r="M50" s="23"/>
      <c r="N50" s="24"/>
    </row>
    <row r="51" spans="1:14" ht="15.75" hidden="1" customHeight="1">
      <c r="A51" s="43">
        <v>17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6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customHeight="1">
      <c r="A52" s="43">
        <v>10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6"/>
        <v>2.48555876</v>
      </c>
      <c r="I52" s="14">
        <f>F52/2*G52</f>
        <v>1242.7793799999999</v>
      </c>
      <c r="J52" s="26"/>
      <c r="L52" s="22"/>
      <c r="M52" s="23"/>
      <c r="N52" s="24"/>
    </row>
    <row r="53" spans="1:14" ht="31.5" customHeight="1">
      <c r="A53" s="43">
        <v>11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6"/>
        <v>0.69307200000000002</v>
      </c>
      <c r="I53" s="14">
        <f t="shared" ref="I53:I54" si="8">F53/2*G53</f>
        <v>346.536</v>
      </c>
      <c r="J53" s="26"/>
      <c r="L53" s="22"/>
      <c r="M53" s="23"/>
      <c r="N53" s="24"/>
    </row>
    <row r="54" spans="1:14" ht="15.75" customHeight="1">
      <c r="A54" s="43">
        <v>12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6"/>
        <v>0.1406626</v>
      </c>
      <c r="I54" s="14">
        <f t="shared" si="8"/>
        <v>70.331299999999999</v>
      </c>
      <c r="J54" s="26"/>
      <c r="L54" s="22"/>
      <c r="M54" s="23"/>
      <c r="N54" s="24"/>
    </row>
    <row r="55" spans="1:14" ht="15.75" customHeight="1">
      <c r="A55" s="43">
        <v>13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6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customHeight="1">
      <c r="A56" s="43">
        <v>14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6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customHeight="1">
      <c r="A57" s="125" t="s">
        <v>160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hidden="1" customHeight="1">
      <c r="A58" s="55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hidden="1" customHeight="1">
      <c r="A59" s="43">
        <v>12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hidden="1" customHeight="1">
      <c r="A60" s="43">
        <v>13</v>
      </c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f>G60</f>
        <v>1501</v>
      </c>
      <c r="J60" s="26"/>
      <c r="L60" s="22"/>
      <c r="M60" s="23"/>
      <c r="N60" s="24"/>
    </row>
    <row r="61" spans="1:14" ht="15.75" hidden="1" customHeight="1">
      <c r="A61" s="43"/>
      <c r="B61" s="72" t="s">
        <v>44</v>
      </c>
      <c r="C61" s="72"/>
      <c r="D61" s="72"/>
      <c r="E61" s="72"/>
      <c r="F61" s="72"/>
      <c r="G61" s="72"/>
      <c r="H61" s="72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hidden="1" customHeight="1">
      <c r="A63" s="43"/>
      <c r="B63" s="72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hidden="1" customHeight="1">
      <c r="A64" s="43">
        <v>12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9">SUM(F64*G64/1000)</f>
        <v>2.7674000000000003</v>
      </c>
      <c r="I64" s="14">
        <f>G64</f>
        <v>276.74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9"/>
        <v>0.28467000000000003</v>
      </c>
      <c r="I65" s="14">
        <v>0</v>
      </c>
    </row>
    <row r="66" spans="1:22" ht="15.75" hidden="1" customHeight="1">
      <c r="A66" s="32">
        <v>28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9"/>
        <v>19.820369200000002</v>
      </c>
      <c r="I66" s="14">
        <f>F66*G66</f>
        <v>19820.369200000001</v>
      </c>
    </row>
    <row r="67" spans="1:22" ht="15.75" hidden="1" customHeight="1">
      <c r="A67" s="32">
        <v>29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2">
        <v>30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9"/>
        <v>28.138677000000005</v>
      </c>
      <c r="I68" s="14">
        <f t="shared" si="10"/>
        <v>28138.677000000003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2">
        <v>31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2">
        <v>32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hidden="1" customHeight="1">
      <c r="A71" s="32">
        <v>18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9"/>
        <v>0.18621000000000001</v>
      </c>
      <c r="I71" s="14">
        <f>G71*3</f>
        <v>186.21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11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11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11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11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11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12">SUM(F79*G79/1000)</f>
        <v>4.6354679999999995</v>
      </c>
      <c r="I79" s="14">
        <v>0</v>
      </c>
    </row>
    <row r="80" spans="1:22" ht="15.75" customHeight="1">
      <c r="A80" s="32"/>
      <c r="B80" s="72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13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13"/>
        <v>1.4681999999999997</v>
      </c>
      <c r="I82" s="14">
        <v>0</v>
      </c>
    </row>
    <row r="83" spans="1:9" ht="15.75" customHeight="1">
      <c r="A83" s="32">
        <v>15</v>
      </c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13"/>
        <v>3.19041</v>
      </c>
      <c r="I83" s="14">
        <f>G83*(10/3)</f>
        <v>3544.9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13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13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13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13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13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13"/>
        <v>7.5860399999999988</v>
      </c>
      <c r="I89" s="14">
        <v>0</v>
      </c>
    </row>
    <row r="90" spans="1:9" ht="15.75" hidden="1" customHeight="1">
      <c r="A90" s="32">
        <v>33</v>
      </c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13"/>
        <v>2.8108906600000001</v>
      </c>
      <c r="I90" s="14">
        <f t="shared" ref="I90" si="14">F90/2*G90</f>
        <v>1405.44533</v>
      </c>
    </row>
    <row r="91" spans="1:9" ht="15.75" hidden="1" customHeight="1">
      <c r="A91" s="55"/>
      <c r="B91" s="72" t="s">
        <v>132</v>
      </c>
      <c r="C91" s="72"/>
      <c r="D91" s="72"/>
      <c r="E91" s="72"/>
      <c r="F91" s="72"/>
      <c r="G91" s="72"/>
      <c r="H91" s="72"/>
      <c r="I91" s="21"/>
    </row>
    <row r="92" spans="1:9" ht="15.75" hidden="1" customHeight="1">
      <c r="A92" s="32">
        <v>15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f>G92</f>
        <v>14087.8</v>
      </c>
    </row>
    <row r="93" spans="1:9" ht="15.75" customHeight="1">
      <c r="A93" s="133" t="s">
        <v>161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16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17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55"/>
      <c r="B96" s="42" t="s">
        <v>82</v>
      </c>
      <c r="C96" s="43"/>
      <c r="D96" s="17"/>
      <c r="E96" s="17"/>
      <c r="F96" s="17"/>
      <c r="G96" s="21"/>
      <c r="H96" s="21"/>
      <c r="I96" s="35">
        <f>SUM(I16+I17+I18+I27+I28+I31+I32+I34+I35+I52+I53+I54+I55+I56+I83+I94+I95)</f>
        <v>43517.019081377781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15.75" customHeight="1">
      <c r="A98" s="109">
        <v>18</v>
      </c>
      <c r="B98" s="67" t="s">
        <v>84</v>
      </c>
      <c r="C98" s="102" t="s">
        <v>128</v>
      </c>
      <c r="D98" s="54"/>
      <c r="E98" s="39"/>
      <c r="F98" s="39">
        <v>4</v>
      </c>
      <c r="G98" s="39">
        <v>189.88</v>
      </c>
      <c r="H98" s="104">
        <f>G98*F98/1000</f>
        <v>0.75951999999999997</v>
      </c>
      <c r="I98" s="111">
        <f>G98*2</f>
        <v>379.76</v>
      </c>
    </row>
    <row r="99" spans="1:9" ht="15.75" customHeight="1">
      <c r="A99" s="32"/>
      <c r="B99" s="48" t="s">
        <v>52</v>
      </c>
      <c r="C99" s="44"/>
      <c r="D99" s="56"/>
      <c r="E99" s="56"/>
      <c r="F99" s="44">
        <v>1</v>
      </c>
      <c r="G99" s="44"/>
      <c r="H99" s="44"/>
      <c r="I99" s="35">
        <f>SUM(I98:I98)</f>
        <v>379.76</v>
      </c>
    </row>
    <row r="100" spans="1:9" ht="15.75" customHeight="1">
      <c r="A100" s="32"/>
      <c r="B100" s="54" t="s">
        <v>80</v>
      </c>
      <c r="C100" s="17"/>
      <c r="D100" s="17"/>
      <c r="E100" s="17"/>
      <c r="F100" s="45"/>
      <c r="G100" s="46"/>
      <c r="H100" s="46"/>
      <c r="I100" s="20">
        <v>0</v>
      </c>
    </row>
    <row r="101" spans="1:9" ht="15.75" customHeight="1">
      <c r="A101" s="57"/>
      <c r="B101" s="49" t="s">
        <v>162</v>
      </c>
      <c r="C101" s="37"/>
      <c r="D101" s="37"/>
      <c r="E101" s="37"/>
      <c r="F101" s="37"/>
      <c r="G101" s="37"/>
      <c r="H101" s="37"/>
      <c r="I101" s="47">
        <f>I96+I99</f>
        <v>43896.779081377783</v>
      </c>
    </row>
    <row r="102" spans="1:9" ht="15.75">
      <c r="A102" s="122" t="s">
        <v>211</v>
      </c>
      <c r="B102" s="122"/>
      <c r="C102" s="122"/>
      <c r="D102" s="122"/>
      <c r="E102" s="122"/>
      <c r="F102" s="122"/>
      <c r="G102" s="122"/>
      <c r="H102" s="122"/>
      <c r="I102" s="122"/>
    </row>
    <row r="103" spans="1:9" ht="15.75">
      <c r="A103" s="74"/>
      <c r="B103" s="123" t="s">
        <v>212</v>
      </c>
      <c r="C103" s="123"/>
      <c r="D103" s="123"/>
      <c r="E103" s="123"/>
      <c r="F103" s="123"/>
      <c r="G103" s="123"/>
      <c r="H103" s="81"/>
      <c r="I103" s="3"/>
    </row>
    <row r="104" spans="1:9">
      <c r="A104" s="70"/>
      <c r="B104" s="121" t="s">
        <v>6</v>
      </c>
      <c r="C104" s="121"/>
      <c r="D104" s="121"/>
      <c r="E104" s="121"/>
      <c r="F104" s="121"/>
      <c r="G104" s="121"/>
      <c r="H104" s="27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24" t="s">
        <v>7</v>
      </c>
      <c r="B106" s="124"/>
      <c r="C106" s="124"/>
      <c r="D106" s="124"/>
      <c r="E106" s="124"/>
      <c r="F106" s="124"/>
      <c r="G106" s="124"/>
      <c r="H106" s="124"/>
      <c r="I106" s="124"/>
    </row>
    <row r="107" spans="1:9" ht="15.75">
      <c r="A107" s="124" t="s">
        <v>8</v>
      </c>
      <c r="B107" s="124"/>
      <c r="C107" s="124"/>
      <c r="D107" s="124"/>
      <c r="E107" s="124"/>
      <c r="F107" s="124"/>
      <c r="G107" s="124"/>
      <c r="H107" s="124"/>
      <c r="I107" s="124"/>
    </row>
    <row r="108" spans="1:9" ht="15.75">
      <c r="A108" s="118" t="s">
        <v>62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15.75">
      <c r="A109" s="11"/>
    </row>
    <row r="110" spans="1:9" ht="15.75">
      <c r="A110" s="119" t="s">
        <v>9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ht="15.75">
      <c r="A111" s="4"/>
    </row>
    <row r="112" spans="1:9" ht="15.75">
      <c r="B112" s="71" t="s">
        <v>10</v>
      </c>
      <c r="C112" s="120" t="s">
        <v>94</v>
      </c>
      <c r="D112" s="120"/>
      <c r="E112" s="120"/>
      <c r="F112" s="120"/>
      <c r="I112" s="69"/>
    </row>
    <row r="113" spans="1:9">
      <c r="A113" s="70"/>
      <c r="C113" s="121" t="s">
        <v>11</v>
      </c>
      <c r="D113" s="121"/>
      <c r="E113" s="121"/>
      <c r="F113" s="121"/>
      <c r="I113" s="68" t="s">
        <v>12</v>
      </c>
    </row>
    <row r="114" spans="1:9" ht="15.75">
      <c r="A114" s="28"/>
      <c r="C114" s="12"/>
      <c r="D114" s="12"/>
      <c r="E114" s="12"/>
      <c r="G114" s="12"/>
      <c r="H114" s="12"/>
    </row>
    <row r="115" spans="1:9" ht="15.75">
      <c r="B115" s="71" t="s">
        <v>13</v>
      </c>
      <c r="C115" s="115"/>
      <c r="D115" s="115"/>
      <c r="E115" s="115"/>
      <c r="F115" s="115"/>
      <c r="I115" s="69"/>
    </row>
    <row r="116" spans="1:9">
      <c r="A116" s="70"/>
      <c r="C116" s="116" t="s">
        <v>11</v>
      </c>
      <c r="D116" s="116"/>
      <c r="E116" s="116"/>
      <c r="F116" s="116"/>
      <c r="I116" s="68" t="s">
        <v>12</v>
      </c>
    </row>
    <row r="117" spans="1:9" ht="15.75">
      <c r="A117" s="4" t="s">
        <v>14</v>
      </c>
    </row>
    <row r="118" spans="1:9">
      <c r="A118" s="117" t="s">
        <v>15</v>
      </c>
      <c r="B118" s="117"/>
      <c r="C118" s="117"/>
      <c r="D118" s="117"/>
      <c r="E118" s="117"/>
      <c r="F118" s="117"/>
      <c r="G118" s="117"/>
      <c r="H118" s="117"/>
      <c r="I118" s="117"/>
    </row>
    <row r="119" spans="1:9" ht="45" customHeight="1">
      <c r="A119" s="114" t="s">
        <v>16</v>
      </c>
      <c r="B119" s="114"/>
      <c r="C119" s="114"/>
      <c r="D119" s="114"/>
      <c r="E119" s="114"/>
      <c r="F119" s="114"/>
      <c r="G119" s="114"/>
      <c r="H119" s="114"/>
      <c r="I119" s="114"/>
    </row>
    <row r="120" spans="1:9" ht="30" customHeight="1">
      <c r="A120" s="114" t="s">
        <v>17</v>
      </c>
      <c r="B120" s="114"/>
      <c r="C120" s="114"/>
      <c r="D120" s="114"/>
      <c r="E120" s="114"/>
      <c r="F120" s="114"/>
      <c r="G120" s="114"/>
      <c r="H120" s="114"/>
      <c r="I120" s="114"/>
    </row>
    <row r="121" spans="1:9" ht="30" customHeight="1">
      <c r="A121" s="114" t="s">
        <v>21</v>
      </c>
      <c r="B121" s="114"/>
      <c r="C121" s="114"/>
      <c r="D121" s="114"/>
      <c r="E121" s="114"/>
      <c r="F121" s="114"/>
      <c r="G121" s="114"/>
      <c r="H121" s="114"/>
      <c r="I121" s="114"/>
    </row>
    <row r="122" spans="1:9" ht="15" customHeight="1">
      <c r="A122" s="114" t="s">
        <v>20</v>
      </c>
      <c r="B122" s="114"/>
      <c r="C122" s="114"/>
      <c r="D122" s="114"/>
      <c r="E122" s="114"/>
      <c r="F122" s="114"/>
      <c r="G122" s="114"/>
      <c r="H122" s="114"/>
      <c r="I122" s="114"/>
    </row>
  </sheetData>
  <autoFilter ref="I12:I65"/>
  <mergeCells count="29">
    <mergeCell ref="A118:I118"/>
    <mergeCell ref="A119:I119"/>
    <mergeCell ref="A120:I120"/>
    <mergeCell ref="A121:I121"/>
    <mergeCell ref="A122:I122"/>
    <mergeCell ref="R70:U70"/>
    <mergeCell ref="C116:F116"/>
    <mergeCell ref="A97:I97"/>
    <mergeCell ref="A102:I102"/>
    <mergeCell ref="B103:G103"/>
    <mergeCell ref="B104:G104"/>
    <mergeCell ref="A106:I106"/>
    <mergeCell ref="A107:I107"/>
    <mergeCell ref="A108:I108"/>
    <mergeCell ref="A110:I110"/>
    <mergeCell ref="C112:F112"/>
    <mergeCell ref="C113:F113"/>
    <mergeCell ref="C115:F115"/>
    <mergeCell ref="A93:I9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213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214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79"/>
      <c r="C6" s="79"/>
      <c r="D6" s="79"/>
      <c r="E6" s="79"/>
      <c r="F6" s="79"/>
      <c r="G6" s="79"/>
      <c r="H6" s="79"/>
      <c r="I6" s="33">
        <v>43069</v>
      </c>
      <c r="J6" s="2"/>
      <c r="K6" s="2"/>
      <c r="L6" s="2"/>
      <c r="M6" s="2"/>
    </row>
    <row r="7" spans="1:13" ht="15.75" customHeight="1">
      <c r="B7" s="75"/>
      <c r="C7" s="75"/>
      <c r="D7" s="75"/>
      <c r="E7" s="75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hidden="1" customHeight="1">
      <c r="A19" s="32">
        <v>4</v>
      </c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f>F19/2*G19</f>
        <v>161.9811</v>
      </c>
      <c r="J19" s="25"/>
      <c r="K19" s="8"/>
      <c r="L19" s="8"/>
      <c r="M19" s="8"/>
    </row>
    <row r="20" spans="1:13" ht="15.75" hidden="1" customHeight="1">
      <c r="A20" s="32">
        <v>5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f>F20*G20</f>
        <v>24.247</v>
      </c>
      <c r="J20" s="25"/>
      <c r="K20" s="8"/>
      <c r="L20" s="8"/>
      <c r="M20" s="8"/>
    </row>
    <row r="21" spans="1:13" ht="15.75" hidden="1" customHeight="1">
      <c r="A21" s="32">
        <v>4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f>F21/2*G21</f>
        <v>319.162464</v>
      </c>
      <c r="J21" s="25"/>
      <c r="K21" s="8"/>
      <c r="L21" s="8"/>
      <c r="M21" s="8"/>
    </row>
    <row r="22" spans="1:13" ht="15.75" hidden="1" customHeight="1">
      <c r="A22" s="32">
        <v>5</v>
      </c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f>F22/2*G22</f>
        <v>140.05353599999998</v>
      </c>
      <c r="J22" s="25"/>
      <c r="K22" s="8"/>
      <c r="L22" s="8"/>
      <c r="M22" s="8"/>
    </row>
    <row r="23" spans="1:13" ht="15.75" hidden="1" customHeight="1">
      <c r="A23" s="32">
        <v>8</v>
      </c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f>F23*G23</f>
        <v>720.35749999999996</v>
      </c>
      <c r="J23" s="25"/>
      <c r="K23" s="8"/>
      <c r="L23" s="8"/>
      <c r="M23" s="8"/>
    </row>
    <row r="24" spans="1:13" ht="15.75" hidden="1" customHeight="1">
      <c r="A24" s="32">
        <v>9</v>
      </c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f t="shared" ref="I24:I26" si="1">F24*G24</f>
        <v>9.7196400000000001</v>
      </c>
      <c r="J24" s="25"/>
      <c r="K24" s="8"/>
      <c r="L24" s="8"/>
      <c r="M24" s="8"/>
    </row>
    <row r="25" spans="1:13" ht="15.75" hidden="1" customHeight="1">
      <c r="A25" s="32">
        <v>10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f t="shared" si="1"/>
        <v>93.319200000000009</v>
      </c>
      <c r="J25" s="25"/>
      <c r="K25" s="8"/>
      <c r="L25" s="8"/>
      <c r="M25" s="8"/>
    </row>
    <row r="26" spans="1:13" ht="15.75" hidden="1" customHeight="1">
      <c r="A26" s="32">
        <v>11</v>
      </c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f t="shared" si="1"/>
        <v>24.2028</v>
      </c>
      <c r="J26" s="25"/>
      <c r="K26" s="8"/>
      <c r="L26" s="8"/>
      <c r="M26" s="8"/>
    </row>
    <row r="27" spans="1:13" ht="15.75" customHeight="1">
      <c r="A27" s="32">
        <v>4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32">
        <v>5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hidden="1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hidden="1" customHeight="1">
      <c r="A31" s="43">
        <v>6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2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hidden="1" customHeight="1">
      <c r="A32" s="43">
        <v>7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2"/>
        <v>0.85848703199999998</v>
      </c>
      <c r="I32" s="14">
        <f t="shared" ref="I32:I35" si="3">F32/6*G32</f>
        <v>143.08117200000001</v>
      </c>
      <c r="J32" s="25"/>
      <c r="K32" s="8"/>
      <c r="L32" s="8"/>
      <c r="M32" s="8"/>
    </row>
    <row r="33" spans="1:14" ht="15.75" hidden="1" customHeight="1">
      <c r="A33" s="43">
        <v>16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2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hidden="1" customHeight="1">
      <c r="A34" s="43">
        <v>8</v>
      </c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2"/>
        <v>7.5336975000000015</v>
      </c>
      <c r="I34" s="14">
        <f t="shared" si="3"/>
        <v>1255.61625</v>
      </c>
      <c r="J34" s="25"/>
      <c r="K34" s="8"/>
    </row>
    <row r="35" spans="1:14" ht="15.75" hidden="1" customHeight="1">
      <c r="A35" s="43">
        <v>9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2"/>
        <v>3.6445666666666665</v>
      </c>
      <c r="I35" s="14">
        <f t="shared" si="3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2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2"/>
        <v>2.8279200000000002</v>
      </c>
      <c r="I37" s="14">
        <v>0</v>
      </c>
      <c r="J37" s="26"/>
    </row>
    <row r="38" spans="1:14" ht="15.75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4">SUM(F39*G39/1000)</f>
        <v>3.8007399999999998</v>
      </c>
      <c r="I39" s="14">
        <f t="shared" ref="I39:I44" si="5">F39/6*G39</f>
        <v>633.45666666666659</v>
      </c>
      <c r="J39" s="26"/>
    </row>
    <row r="40" spans="1:14" ht="15.75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4"/>
        <v>2.6845187400000001</v>
      </c>
      <c r="I40" s="14">
        <f t="shared" si="5"/>
        <v>447.41978999999998</v>
      </c>
      <c r="J40" s="26"/>
    </row>
    <row r="41" spans="1:14" ht="15.75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4"/>
        <v>2.3136214500000003</v>
      </c>
      <c r="I41" s="14">
        <f t="shared" si="5"/>
        <v>385.60357500000003</v>
      </c>
      <c r="J41" s="26"/>
    </row>
    <row r="42" spans="1:14" ht="47.25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4"/>
        <v>8.6437883699999993</v>
      </c>
      <c r="I42" s="14">
        <f t="shared" si="5"/>
        <v>1440.6313950000001</v>
      </c>
      <c r="J42" s="26"/>
      <c r="L42" s="22"/>
      <c r="M42" s="23"/>
      <c r="N42" s="24"/>
    </row>
    <row r="43" spans="1:14" ht="15.75" hidden="1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4"/>
        <v>0.36487980000000003</v>
      </c>
      <c r="I43" s="14">
        <f t="shared" si="5"/>
        <v>60.813300000000005</v>
      </c>
      <c r="J43" s="26"/>
      <c r="L43" s="22"/>
      <c r="M43" s="23"/>
      <c r="N43" s="24"/>
    </row>
    <row r="44" spans="1:14" ht="15.75" customHeight="1">
      <c r="A44" s="36">
        <v>10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4"/>
        <v>0.49648500000000001</v>
      </c>
      <c r="I44" s="14">
        <f t="shared" si="5"/>
        <v>82.747500000000002</v>
      </c>
      <c r="J44" s="26"/>
      <c r="L44" s="22"/>
      <c r="M44" s="23"/>
      <c r="N44" s="24"/>
    </row>
    <row r="45" spans="1:14" ht="15.75" hidden="1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hidden="1" customHeight="1">
      <c r="A46" s="43">
        <v>12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6">SUM(F46*G46/1000)</f>
        <v>2.6521417440000006</v>
      </c>
      <c r="I46" s="14">
        <f t="shared" ref="I46:I49" si="7">F46/2*G46</f>
        <v>1326.0708720000002</v>
      </c>
      <c r="J46" s="26"/>
      <c r="L46" s="22"/>
      <c r="M46" s="23"/>
      <c r="N46" s="24"/>
    </row>
    <row r="47" spans="1:14" ht="15.75" hidden="1" customHeight="1">
      <c r="A47" s="43">
        <v>13</v>
      </c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6"/>
        <v>2.8553184000000002E-2</v>
      </c>
      <c r="I47" s="14">
        <f t="shared" si="7"/>
        <v>14.276592000000001</v>
      </c>
      <c r="J47" s="26"/>
      <c r="L47" s="22"/>
      <c r="M47" s="23"/>
      <c r="N47" s="24"/>
    </row>
    <row r="48" spans="1:14" ht="15.75" hidden="1" customHeight="1">
      <c r="A48" s="43">
        <v>14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6"/>
        <v>2.2617645503999997</v>
      </c>
      <c r="I48" s="14">
        <f t="shared" si="7"/>
        <v>1130.8822751999999</v>
      </c>
      <c r="J48" s="26"/>
      <c r="L48" s="22"/>
      <c r="M48" s="23"/>
      <c r="N48" s="24"/>
    </row>
    <row r="49" spans="1:14" ht="15.75" hidden="1" customHeight="1">
      <c r="A49" s="43">
        <v>15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6"/>
        <v>2.7280312466000001</v>
      </c>
      <c r="I49" s="14">
        <f t="shared" si="7"/>
        <v>1364.0156233</v>
      </c>
      <c r="J49" s="26"/>
      <c r="L49" s="22"/>
      <c r="M49" s="23"/>
      <c r="N49" s="24"/>
    </row>
    <row r="50" spans="1:14" ht="15.75" hidden="1" customHeight="1">
      <c r="A50" s="43">
        <v>16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6"/>
        <v>3.1061108E-2</v>
      </c>
      <c r="I50" s="14">
        <f>F50/2*G50</f>
        <v>15.530554</v>
      </c>
      <c r="J50" s="26"/>
      <c r="L50" s="22"/>
      <c r="M50" s="23"/>
      <c r="N50" s="24"/>
    </row>
    <row r="51" spans="1:14" ht="15.75" hidden="1" customHeight="1">
      <c r="A51" s="43">
        <v>17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6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hidden="1" customHeight="1">
      <c r="A52" s="43">
        <v>10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6"/>
        <v>2.48555876</v>
      </c>
      <c r="I52" s="14">
        <f>F52/2*G52</f>
        <v>1242.7793799999999</v>
      </c>
      <c r="J52" s="26"/>
      <c r="L52" s="22"/>
      <c r="M52" s="23"/>
      <c r="N52" s="24"/>
    </row>
    <row r="53" spans="1:14" ht="31.5" hidden="1" customHeight="1">
      <c r="A53" s="43">
        <v>11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6"/>
        <v>0.69307200000000002</v>
      </c>
      <c r="I53" s="14">
        <f t="shared" ref="I53:I54" si="8">F53/2*G53</f>
        <v>346.536</v>
      </c>
      <c r="J53" s="26"/>
      <c r="L53" s="22"/>
      <c r="M53" s="23"/>
      <c r="N53" s="24"/>
    </row>
    <row r="54" spans="1:14" ht="15.75" hidden="1" customHeight="1">
      <c r="A54" s="43">
        <v>12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6"/>
        <v>0.1406626</v>
      </c>
      <c r="I54" s="14">
        <f t="shared" si="8"/>
        <v>70.331299999999999</v>
      </c>
      <c r="J54" s="26"/>
      <c r="L54" s="22"/>
      <c r="M54" s="23"/>
      <c r="N54" s="24"/>
    </row>
    <row r="55" spans="1:14" ht="15.75" hidden="1" customHeight="1">
      <c r="A55" s="43">
        <v>13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6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hidden="1" customHeight="1">
      <c r="A56" s="43">
        <v>14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6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customHeight="1">
      <c r="A57" s="125" t="s">
        <v>171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customHeight="1">
      <c r="A58" s="82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customHeight="1">
      <c r="A59" s="43">
        <v>11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hidden="1" customHeight="1">
      <c r="A60" s="43">
        <v>13</v>
      </c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f>G60</f>
        <v>1501</v>
      </c>
      <c r="J60" s="26"/>
      <c r="L60" s="22"/>
      <c r="M60" s="23"/>
      <c r="N60" s="24"/>
    </row>
    <row r="61" spans="1:14" ht="15.75" hidden="1" customHeight="1">
      <c r="A61" s="43"/>
      <c r="B61" s="80" t="s">
        <v>44</v>
      </c>
      <c r="C61" s="80"/>
      <c r="D61" s="80"/>
      <c r="E61" s="80"/>
      <c r="F61" s="80"/>
      <c r="G61" s="80"/>
      <c r="H61" s="80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hidden="1" customHeight="1">
      <c r="A63" s="43"/>
      <c r="B63" s="80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hidden="1" customHeight="1">
      <c r="A64" s="43">
        <v>12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9">SUM(F64*G64/1000)</f>
        <v>2.7674000000000003</v>
      </c>
      <c r="I64" s="14">
        <f>G64</f>
        <v>276.74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9"/>
        <v>0.28467000000000003</v>
      </c>
      <c r="I65" s="14">
        <v>0</v>
      </c>
    </row>
    <row r="66" spans="1:22" ht="15.75" hidden="1" customHeight="1">
      <c r="A66" s="32">
        <v>28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9"/>
        <v>19.820369200000002</v>
      </c>
      <c r="I66" s="14">
        <f>F66*G66</f>
        <v>19820.369200000001</v>
      </c>
    </row>
    <row r="67" spans="1:22" ht="15.75" hidden="1" customHeight="1">
      <c r="A67" s="32">
        <v>29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2">
        <v>30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9"/>
        <v>28.138677000000005</v>
      </c>
      <c r="I68" s="14">
        <f t="shared" si="10"/>
        <v>28138.677000000003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2">
        <v>31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2">
        <v>32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hidden="1" customHeight="1">
      <c r="A71" s="32">
        <v>18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9"/>
        <v>0.18621000000000001</v>
      </c>
      <c r="I71" s="14">
        <f>G71*3</f>
        <v>186.21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11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11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11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11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11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12">SUM(F79*G79/1000)</f>
        <v>4.6354679999999995</v>
      </c>
      <c r="I79" s="14">
        <v>0</v>
      </c>
    </row>
    <row r="80" spans="1:22" ht="15.75" hidden="1" customHeight="1">
      <c r="A80" s="32"/>
      <c r="B80" s="80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13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13"/>
        <v>1.4681999999999997</v>
      </c>
      <c r="I82" s="14">
        <v>0</v>
      </c>
    </row>
    <row r="83" spans="1:9" ht="15.75" hidden="1" customHeight="1">
      <c r="A83" s="32">
        <v>15</v>
      </c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13"/>
        <v>3.19041</v>
      </c>
      <c r="I83" s="14">
        <f>G83*(10/3)</f>
        <v>3544.9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13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13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13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13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13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13"/>
        <v>7.5860399999999988</v>
      </c>
      <c r="I89" s="14">
        <v>0</v>
      </c>
    </row>
    <row r="90" spans="1:9" ht="15.75" hidden="1" customHeight="1">
      <c r="A90" s="32">
        <v>33</v>
      </c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13"/>
        <v>2.8108906600000001</v>
      </c>
      <c r="I90" s="14">
        <f t="shared" ref="I90" si="14">F90/2*G90</f>
        <v>1405.44533</v>
      </c>
    </row>
    <row r="91" spans="1:9" ht="15.75" hidden="1" customHeight="1">
      <c r="A91" s="82"/>
      <c r="B91" s="80" t="s">
        <v>132</v>
      </c>
      <c r="C91" s="80"/>
      <c r="D91" s="80"/>
      <c r="E91" s="80"/>
      <c r="F91" s="80"/>
      <c r="G91" s="80"/>
      <c r="H91" s="80"/>
      <c r="I91" s="21"/>
    </row>
    <row r="92" spans="1:9" ht="15.75" hidden="1" customHeight="1">
      <c r="A92" s="32">
        <v>15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f>G92</f>
        <v>14087.8</v>
      </c>
    </row>
    <row r="93" spans="1:9" ht="15.75" customHeight="1">
      <c r="A93" s="133" t="s">
        <v>172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12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13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82"/>
      <c r="B96" s="42" t="s">
        <v>82</v>
      </c>
      <c r="C96" s="43"/>
      <c r="D96" s="17"/>
      <c r="E96" s="17"/>
      <c r="F96" s="17"/>
      <c r="G96" s="21"/>
      <c r="H96" s="21"/>
      <c r="I96" s="35">
        <f>SUM(I16+I17+I18+I27+I28+I39+I40+I41+I42+I44+I59+I94+I95)</f>
        <v>31154.396935333338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15.75" customHeight="1">
      <c r="A98" s="109">
        <v>14</v>
      </c>
      <c r="B98" s="67" t="s">
        <v>215</v>
      </c>
      <c r="C98" s="102" t="s">
        <v>128</v>
      </c>
      <c r="D98" s="54"/>
      <c r="E98" s="39"/>
      <c r="F98" s="39">
        <v>4</v>
      </c>
      <c r="G98" s="39">
        <v>1118.72</v>
      </c>
      <c r="H98" s="104">
        <f t="shared" ref="H98:H100" si="15">G98*F98/1000</f>
        <v>4.4748799999999997</v>
      </c>
      <c r="I98" s="111">
        <f>G98*4</f>
        <v>4474.88</v>
      </c>
    </row>
    <row r="99" spans="1:9" ht="15.75" customHeight="1">
      <c r="A99" s="109">
        <v>15</v>
      </c>
      <c r="B99" s="112" t="s">
        <v>216</v>
      </c>
      <c r="C99" s="108" t="s">
        <v>217</v>
      </c>
      <c r="D99" s="54"/>
      <c r="E99" s="39"/>
      <c r="F99" s="39">
        <f>2/10</f>
        <v>0.2</v>
      </c>
      <c r="G99" s="39">
        <v>4005.2</v>
      </c>
      <c r="H99" s="104">
        <f t="shared" si="15"/>
        <v>0.80103999999999997</v>
      </c>
      <c r="I99" s="111">
        <f>G99*0.2</f>
        <v>801.04</v>
      </c>
    </row>
    <row r="100" spans="1:9" ht="15.75" customHeight="1">
      <c r="A100" s="109">
        <v>16</v>
      </c>
      <c r="B100" s="112" t="s">
        <v>218</v>
      </c>
      <c r="C100" s="102" t="s">
        <v>128</v>
      </c>
      <c r="D100" s="54"/>
      <c r="E100" s="39"/>
      <c r="F100" s="39">
        <v>1</v>
      </c>
      <c r="G100" s="39">
        <v>189.67</v>
      </c>
      <c r="H100" s="104">
        <f t="shared" si="15"/>
        <v>0.18966999999999998</v>
      </c>
      <c r="I100" s="111">
        <f>G100</f>
        <v>189.67</v>
      </c>
    </row>
    <row r="101" spans="1:9" ht="15.75" customHeight="1">
      <c r="A101" s="32"/>
      <c r="B101" s="48" t="s">
        <v>52</v>
      </c>
      <c r="C101" s="44"/>
      <c r="D101" s="56"/>
      <c r="E101" s="56"/>
      <c r="F101" s="44">
        <v>1</v>
      </c>
      <c r="G101" s="44"/>
      <c r="H101" s="44"/>
      <c r="I101" s="35">
        <f>SUM(I98:I100)</f>
        <v>5465.59</v>
      </c>
    </row>
    <row r="102" spans="1:9" ht="15.75" customHeight="1">
      <c r="A102" s="32"/>
      <c r="B102" s="54" t="s">
        <v>80</v>
      </c>
      <c r="C102" s="17"/>
      <c r="D102" s="17"/>
      <c r="E102" s="17"/>
      <c r="F102" s="45"/>
      <c r="G102" s="46"/>
      <c r="H102" s="46"/>
      <c r="I102" s="20">
        <v>0</v>
      </c>
    </row>
    <row r="103" spans="1:9" ht="15.75" customHeight="1">
      <c r="A103" s="57"/>
      <c r="B103" s="49" t="s">
        <v>162</v>
      </c>
      <c r="C103" s="37"/>
      <c r="D103" s="37"/>
      <c r="E103" s="37"/>
      <c r="F103" s="37"/>
      <c r="G103" s="37"/>
      <c r="H103" s="37"/>
      <c r="I103" s="47">
        <f>I96+I101</f>
        <v>36619.986935333334</v>
      </c>
    </row>
    <row r="104" spans="1:9" ht="15.75">
      <c r="A104" s="122" t="s">
        <v>229</v>
      </c>
      <c r="B104" s="122"/>
      <c r="C104" s="122"/>
      <c r="D104" s="122"/>
      <c r="E104" s="122"/>
      <c r="F104" s="122"/>
      <c r="G104" s="122"/>
      <c r="H104" s="122"/>
      <c r="I104" s="122"/>
    </row>
    <row r="105" spans="1:9" ht="15.75">
      <c r="A105" s="74"/>
      <c r="B105" s="123" t="s">
        <v>230</v>
      </c>
      <c r="C105" s="123"/>
      <c r="D105" s="123"/>
      <c r="E105" s="123"/>
      <c r="F105" s="123"/>
      <c r="G105" s="123"/>
      <c r="H105" s="81"/>
      <c r="I105" s="3"/>
    </row>
    <row r="106" spans="1:9">
      <c r="A106" s="76"/>
      <c r="B106" s="121" t="s">
        <v>6</v>
      </c>
      <c r="C106" s="121"/>
      <c r="D106" s="121"/>
      <c r="E106" s="121"/>
      <c r="F106" s="121"/>
      <c r="G106" s="121"/>
      <c r="H106" s="27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24" t="s">
        <v>7</v>
      </c>
      <c r="B108" s="124"/>
      <c r="C108" s="124"/>
      <c r="D108" s="124"/>
      <c r="E108" s="124"/>
      <c r="F108" s="124"/>
      <c r="G108" s="124"/>
      <c r="H108" s="124"/>
      <c r="I108" s="124"/>
    </row>
    <row r="109" spans="1:9" ht="15.75">
      <c r="A109" s="124" t="s">
        <v>8</v>
      </c>
      <c r="B109" s="124"/>
      <c r="C109" s="124"/>
      <c r="D109" s="124"/>
      <c r="E109" s="124"/>
      <c r="F109" s="124"/>
      <c r="G109" s="124"/>
      <c r="H109" s="124"/>
      <c r="I109" s="124"/>
    </row>
    <row r="110" spans="1:9" ht="15.75">
      <c r="A110" s="118" t="s">
        <v>62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15.75">
      <c r="A111" s="11"/>
    </row>
    <row r="112" spans="1:9" ht="15.75">
      <c r="A112" s="119" t="s">
        <v>9</v>
      </c>
      <c r="B112" s="119"/>
      <c r="C112" s="119"/>
      <c r="D112" s="119"/>
      <c r="E112" s="119"/>
      <c r="F112" s="119"/>
      <c r="G112" s="119"/>
      <c r="H112" s="119"/>
      <c r="I112" s="119"/>
    </row>
    <row r="113" spans="1:9" ht="15.75">
      <c r="A113" s="4"/>
    </row>
    <row r="114" spans="1:9" ht="15.75">
      <c r="B114" s="75" t="s">
        <v>10</v>
      </c>
      <c r="C114" s="120" t="s">
        <v>94</v>
      </c>
      <c r="D114" s="120"/>
      <c r="E114" s="120"/>
      <c r="F114" s="120"/>
      <c r="I114" s="78"/>
    </row>
    <row r="115" spans="1:9">
      <c r="A115" s="76"/>
      <c r="C115" s="121" t="s">
        <v>11</v>
      </c>
      <c r="D115" s="121"/>
      <c r="E115" s="121"/>
      <c r="F115" s="121"/>
      <c r="I115" s="77" t="s">
        <v>12</v>
      </c>
    </row>
    <row r="116" spans="1:9" ht="15.75">
      <c r="A116" s="28"/>
      <c r="C116" s="12"/>
      <c r="D116" s="12"/>
      <c r="E116" s="12"/>
      <c r="G116" s="12"/>
      <c r="H116" s="12"/>
    </row>
    <row r="117" spans="1:9" ht="15.75">
      <c r="B117" s="75" t="s">
        <v>13</v>
      </c>
      <c r="C117" s="115"/>
      <c r="D117" s="115"/>
      <c r="E117" s="115"/>
      <c r="F117" s="115"/>
      <c r="I117" s="78"/>
    </row>
    <row r="118" spans="1:9">
      <c r="A118" s="76"/>
      <c r="C118" s="116" t="s">
        <v>11</v>
      </c>
      <c r="D118" s="116"/>
      <c r="E118" s="116"/>
      <c r="F118" s="116"/>
      <c r="I118" s="77" t="s">
        <v>12</v>
      </c>
    </row>
    <row r="119" spans="1:9" ht="15.75">
      <c r="A119" s="4" t="s">
        <v>14</v>
      </c>
    </row>
    <row r="120" spans="1:9">
      <c r="A120" s="117" t="s">
        <v>15</v>
      </c>
      <c r="B120" s="117"/>
      <c r="C120" s="117"/>
      <c r="D120" s="117"/>
      <c r="E120" s="117"/>
      <c r="F120" s="117"/>
      <c r="G120" s="117"/>
      <c r="H120" s="117"/>
      <c r="I120" s="117"/>
    </row>
    <row r="121" spans="1:9" ht="45" customHeight="1">
      <c r="A121" s="114" t="s">
        <v>16</v>
      </c>
      <c r="B121" s="114"/>
      <c r="C121" s="114"/>
      <c r="D121" s="114"/>
      <c r="E121" s="114"/>
      <c r="F121" s="114"/>
      <c r="G121" s="114"/>
      <c r="H121" s="114"/>
      <c r="I121" s="114"/>
    </row>
    <row r="122" spans="1:9" ht="30" customHeight="1">
      <c r="A122" s="114" t="s">
        <v>17</v>
      </c>
      <c r="B122" s="114"/>
      <c r="C122" s="114"/>
      <c r="D122" s="114"/>
      <c r="E122" s="114"/>
      <c r="F122" s="114"/>
      <c r="G122" s="114"/>
      <c r="H122" s="114"/>
      <c r="I122" s="114"/>
    </row>
    <row r="123" spans="1:9" ht="30" customHeight="1">
      <c r="A123" s="114" t="s">
        <v>21</v>
      </c>
      <c r="B123" s="114"/>
      <c r="C123" s="114"/>
      <c r="D123" s="114"/>
      <c r="E123" s="114"/>
      <c r="F123" s="114"/>
      <c r="G123" s="114"/>
      <c r="H123" s="114"/>
      <c r="I123" s="114"/>
    </row>
    <row r="124" spans="1:9" ht="15" customHeight="1">
      <c r="A124" s="114" t="s">
        <v>20</v>
      </c>
      <c r="B124" s="114"/>
      <c r="C124" s="114"/>
      <c r="D124" s="114"/>
      <c r="E124" s="114"/>
      <c r="F124" s="114"/>
      <c r="G124" s="114"/>
      <c r="H124" s="114"/>
      <c r="I124" s="114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18:F118"/>
    <mergeCell ref="A97:I97"/>
    <mergeCell ref="A104:I104"/>
    <mergeCell ref="B105:G105"/>
    <mergeCell ref="B106:G106"/>
    <mergeCell ref="A108:I108"/>
    <mergeCell ref="A109:I109"/>
    <mergeCell ref="A110:I110"/>
    <mergeCell ref="A112:I112"/>
    <mergeCell ref="C114:F114"/>
    <mergeCell ref="C115:F115"/>
    <mergeCell ref="C117:F117"/>
    <mergeCell ref="A93:I93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219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220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79"/>
      <c r="C6" s="79"/>
      <c r="D6" s="79"/>
      <c r="E6" s="79"/>
      <c r="F6" s="79"/>
      <c r="G6" s="79"/>
      <c r="H6" s="79"/>
      <c r="I6" s="33">
        <v>43100</v>
      </c>
      <c r="J6" s="2"/>
      <c r="K6" s="2"/>
      <c r="L6" s="2"/>
      <c r="M6" s="2"/>
    </row>
    <row r="7" spans="1:13" ht="15.75" customHeight="1">
      <c r="B7" s="75"/>
      <c r="C7" s="75"/>
      <c r="D7" s="75"/>
      <c r="E7" s="75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hidden="1" customHeight="1">
      <c r="A19" s="32">
        <v>4</v>
      </c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f>F19/2*G19</f>
        <v>161.9811</v>
      </c>
      <c r="J19" s="25"/>
      <c r="K19" s="8"/>
      <c r="L19" s="8"/>
      <c r="M19" s="8"/>
    </row>
    <row r="20" spans="1:13" ht="15.75" hidden="1" customHeight="1">
      <c r="A20" s="32">
        <v>5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f>F20*G20</f>
        <v>24.247</v>
      </c>
      <c r="J20" s="25"/>
      <c r="K20" s="8"/>
      <c r="L20" s="8"/>
      <c r="M20" s="8"/>
    </row>
    <row r="21" spans="1:13" ht="15.75" hidden="1" customHeight="1">
      <c r="A21" s="32">
        <v>4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f>F21/2*G21</f>
        <v>319.162464</v>
      </c>
      <c r="J21" s="25"/>
      <c r="K21" s="8"/>
      <c r="L21" s="8"/>
      <c r="M21" s="8"/>
    </row>
    <row r="22" spans="1:13" ht="15.75" hidden="1" customHeight="1">
      <c r="A22" s="32">
        <v>5</v>
      </c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f>F22/2*G22</f>
        <v>140.05353599999998</v>
      </c>
      <c r="J22" s="25"/>
      <c r="K22" s="8"/>
      <c r="L22" s="8"/>
      <c r="M22" s="8"/>
    </row>
    <row r="23" spans="1:13" ht="15.75" hidden="1" customHeight="1">
      <c r="A23" s="32">
        <v>8</v>
      </c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f>F23*G23</f>
        <v>720.35749999999996</v>
      </c>
      <c r="J23" s="25"/>
      <c r="K23" s="8"/>
      <c r="L23" s="8"/>
      <c r="M23" s="8"/>
    </row>
    <row r="24" spans="1:13" ht="15.75" hidden="1" customHeight="1">
      <c r="A24" s="32">
        <v>9</v>
      </c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f t="shared" ref="I24:I26" si="1">F24*G24</f>
        <v>9.7196400000000001</v>
      </c>
      <c r="J24" s="25"/>
      <c r="K24" s="8"/>
      <c r="L24" s="8"/>
      <c r="M24" s="8"/>
    </row>
    <row r="25" spans="1:13" ht="15.75" hidden="1" customHeight="1">
      <c r="A25" s="32">
        <v>10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f t="shared" si="1"/>
        <v>93.319200000000009</v>
      </c>
      <c r="J25" s="25"/>
      <c r="K25" s="8"/>
      <c r="L25" s="8"/>
      <c r="M25" s="8"/>
    </row>
    <row r="26" spans="1:13" ht="15.75" hidden="1" customHeight="1">
      <c r="A26" s="32">
        <v>11</v>
      </c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f t="shared" si="1"/>
        <v>24.2028</v>
      </c>
      <c r="J26" s="25"/>
      <c r="K26" s="8"/>
      <c r="L26" s="8"/>
      <c r="M26" s="8"/>
    </row>
    <row r="27" spans="1:13" ht="15.75" customHeight="1">
      <c r="A27" s="32">
        <v>4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32">
        <v>5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hidden="1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hidden="1" customHeight="1">
      <c r="A31" s="43">
        <v>6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2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hidden="1" customHeight="1">
      <c r="A32" s="43">
        <v>7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2"/>
        <v>0.85848703199999998</v>
      </c>
      <c r="I32" s="14">
        <f t="shared" ref="I32:I35" si="3">F32/6*G32</f>
        <v>143.08117200000001</v>
      </c>
      <c r="J32" s="25"/>
      <c r="K32" s="8"/>
      <c r="L32" s="8"/>
      <c r="M32" s="8"/>
    </row>
    <row r="33" spans="1:14" ht="15.75" hidden="1" customHeight="1">
      <c r="A33" s="43">
        <v>16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2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hidden="1" customHeight="1">
      <c r="A34" s="43">
        <v>8</v>
      </c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2"/>
        <v>7.5336975000000015</v>
      </c>
      <c r="I34" s="14">
        <f t="shared" si="3"/>
        <v>1255.61625</v>
      </c>
      <c r="J34" s="25"/>
      <c r="K34" s="8"/>
    </row>
    <row r="35" spans="1:14" ht="15.75" hidden="1" customHeight="1">
      <c r="A35" s="43">
        <v>9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2"/>
        <v>3.6445666666666665</v>
      </c>
      <c r="I35" s="14">
        <f t="shared" si="3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2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2"/>
        <v>2.8279200000000002</v>
      </c>
      <c r="I37" s="14">
        <v>0</v>
      </c>
      <c r="J37" s="26"/>
    </row>
    <row r="38" spans="1:14" ht="15.75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4">SUM(F39*G39/1000)</f>
        <v>3.8007399999999998</v>
      </c>
      <c r="I39" s="14">
        <f t="shared" ref="I39:I44" si="5">F39/6*G39</f>
        <v>633.45666666666659</v>
      </c>
      <c r="J39" s="26"/>
    </row>
    <row r="40" spans="1:14" ht="15.75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4"/>
        <v>2.6845187400000001</v>
      </c>
      <c r="I40" s="14">
        <f t="shared" si="5"/>
        <v>447.41978999999998</v>
      </c>
      <c r="J40" s="26"/>
    </row>
    <row r="41" spans="1:14" ht="15.75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4"/>
        <v>2.3136214500000003</v>
      </c>
      <c r="I41" s="14">
        <f t="shared" si="5"/>
        <v>385.60357500000003</v>
      </c>
      <c r="J41" s="26"/>
    </row>
    <row r="42" spans="1:14" ht="47.25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4"/>
        <v>8.6437883699999993</v>
      </c>
      <c r="I42" s="14">
        <f t="shared" si="5"/>
        <v>1440.6313950000001</v>
      </c>
      <c r="J42" s="26"/>
      <c r="L42" s="22"/>
      <c r="M42" s="23"/>
      <c r="N42" s="24"/>
    </row>
    <row r="43" spans="1:14" ht="15.75" hidden="1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4"/>
        <v>0.36487980000000003</v>
      </c>
      <c r="I43" s="14">
        <f t="shared" si="5"/>
        <v>60.813300000000005</v>
      </c>
      <c r="J43" s="26"/>
      <c r="L43" s="22"/>
      <c r="M43" s="23"/>
      <c r="N43" s="24"/>
    </row>
    <row r="44" spans="1:14" ht="15.75" customHeight="1">
      <c r="A44" s="36">
        <v>10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4"/>
        <v>0.49648500000000001</v>
      </c>
      <c r="I44" s="14">
        <f t="shared" si="5"/>
        <v>82.747500000000002</v>
      </c>
      <c r="J44" s="26"/>
      <c r="L44" s="22"/>
      <c r="M44" s="23"/>
      <c r="N44" s="24"/>
    </row>
    <row r="45" spans="1:14" ht="15.75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hidden="1" customHeight="1">
      <c r="A46" s="43">
        <v>12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6">SUM(F46*G46/1000)</f>
        <v>2.6521417440000006</v>
      </c>
      <c r="I46" s="14">
        <f t="shared" ref="I46:I49" si="7">F46/2*G46</f>
        <v>1326.0708720000002</v>
      </c>
      <c r="J46" s="26"/>
      <c r="L46" s="22"/>
      <c r="M46" s="23"/>
      <c r="N46" s="24"/>
    </row>
    <row r="47" spans="1:14" ht="15.75" hidden="1" customHeight="1">
      <c r="A47" s="43">
        <v>13</v>
      </c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6"/>
        <v>2.8553184000000002E-2</v>
      </c>
      <c r="I47" s="14">
        <f t="shared" si="7"/>
        <v>14.276592000000001</v>
      </c>
      <c r="J47" s="26"/>
      <c r="L47" s="22"/>
      <c r="M47" s="23"/>
      <c r="N47" s="24"/>
    </row>
    <row r="48" spans="1:14" ht="15.75" hidden="1" customHeight="1">
      <c r="A48" s="43">
        <v>14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6"/>
        <v>2.2617645503999997</v>
      </c>
      <c r="I48" s="14">
        <f t="shared" si="7"/>
        <v>1130.8822751999999</v>
      </c>
      <c r="J48" s="26"/>
      <c r="L48" s="22"/>
      <c r="M48" s="23"/>
      <c r="N48" s="24"/>
    </row>
    <row r="49" spans="1:14" ht="15.75" hidden="1" customHeight="1">
      <c r="A49" s="43">
        <v>15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6"/>
        <v>2.7280312466000001</v>
      </c>
      <c r="I49" s="14">
        <f t="shared" si="7"/>
        <v>1364.0156233</v>
      </c>
      <c r="J49" s="26"/>
      <c r="L49" s="22"/>
      <c r="M49" s="23"/>
      <c r="N49" s="24"/>
    </row>
    <row r="50" spans="1:14" ht="15.75" hidden="1" customHeight="1">
      <c r="A50" s="43">
        <v>16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6"/>
        <v>3.1061108E-2</v>
      </c>
      <c r="I50" s="14">
        <f>F50/2*G50</f>
        <v>15.530554</v>
      </c>
      <c r="J50" s="26"/>
      <c r="L50" s="22"/>
      <c r="M50" s="23"/>
      <c r="N50" s="24"/>
    </row>
    <row r="51" spans="1:14" ht="15.75" customHeight="1">
      <c r="A51" s="43">
        <v>11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6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hidden="1" customHeight="1">
      <c r="A52" s="43">
        <v>10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6"/>
        <v>2.48555876</v>
      </c>
      <c r="I52" s="14">
        <f>F52/2*G52</f>
        <v>1242.7793799999999</v>
      </c>
      <c r="J52" s="26"/>
      <c r="L52" s="22"/>
      <c r="M52" s="23"/>
      <c r="N52" s="24"/>
    </row>
    <row r="53" spans="1:14" ht="31.5" hidden="1" customHeight="1">
      <c r="A53" s="43">
        <v>11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6"/>
        <v>0.69307200000000002</v>
      </c>
      <c r="I53" s="14">
        <f t="shared" ref="I53:I54" si="8">F53/2*G53</f>
        <v>346.536</v>
      </c>
      <c r="J53" s="26"/>
      <c r="L53" s="22"/>
      <c r="M53" s="23"/>
      <c r="N53" s="24"/>
    </row>
    <row r="54" spans="1:14" ht="15.75" hidden="1" customHeight="1">
      <c r="A54" s="43">
        <v>12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6"/>
        <v>0.1406626</v>
      </c>
      <c r="I54" s="14">
        <f t="shared" si="8"/>
        <v>70.331299999999999</v>
      </c>
      <c r="J54" s="26"/>
      <c r="L54" s="22"/>
      <c r="M54" s="23"/>
      <c r="N54" s="24"/>
    </row>
    <row r="55" spans="1:14" ht="15.75" hidden="1" customHeight="1">
      <c r="A55" s="43">
        <v>13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6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hidden="1" customHeight="1">
      <c r="A56" s="43">
        <v>14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6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customHeight="1">
      <c r="A57" s="125" t="s">
        <v>160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customHeight="1">
      <c r="A58" s="82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customHeight="1">
      <c r="A59" s="43">
        <v>12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hidden="1" customHeight="1">
      <c r="A60" s="43">
        <v>13</v>
      </c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f>G60</f>
        <v>1501</v>
      </c>
      <c r="J60" s="26"/>
      <c r="L60" s="22"/>
      <c r="M60" s="23"/>
      <c r="N60" s="24"/>
    </row>
    <row r="61" spans="1:14" ht="15.75" hidden="1" customHeight="1">
      <c r="A61" s="43"/>
      <c r="B61" s="80" t="s">
        <v>44</v>
      </c>
      <c r="C61" s="80"/>
      <c r="D61" s="80"/>
      <c r="E61" s="80"/>
      <c r="F61" s="80"/>
      <c r="G61" s="80"/>
      <c r="H61" s="80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hidden="1" customHeight="1">
      <c r="A63" s="43"/>
      <c r="B63" s="80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hidden="1" customHeight="1">
      <c r="A64" s="43">
        <v>12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9">SUM(F64*G64/1000)</f>
        <v>2.7674000000000003</v>
      </c>
      <c r="I64" s="14">
        <f>G64</f>
        <v>276.74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9"/>
        <v>0.28467000000000003</v>
      </c>
      <c r="I65" s="14">
        <v>0</v>
      </c>
    </row>
    <row r="66" spans="1:22" ht="15.75" hidden="1" customHeight="1">
      <c r="A66" s="32">
        <v>28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9"/>
        <v>19.820369200000002</v>
      </c>
      <c r="I66" s="14">
        <f>F66*G66</f>
        <v>19820.369200000001</v>
      </c>
    </row>
    <row r="67" spans="1:22" ht="15.75" hidden="1" customHeight="1">
      <c r="A67" s="32">
        <v>29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2">
        <v>30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9"/>
        <v>28.138677000000005</v>
      </c>
      <c r="I68" s="14">
        <f t="shared" si="10"/>
        <v>28138.677000000003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2">
        <v>31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2">
        <v>32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hidden="1" customHeight="1">
      <c r="A71" s="32">
        <v>18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9"/>
        <v>0.18621000000000001</v>
      </c>
      <c r="I71" s="14">
        <f>G71*3</f>
        <v>186.21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11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11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11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11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11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12">SUM(F79*G79/1000)</f>
        <v>4.6354679999999995</v>
      </c>
      <c r="I79" s="14">
        <v>0</v>
      </c>
    </row>
    <row r="80" spans="1:22" ht="15.75" hidden="1" customHeight="1">
      <c r="A80" s="32"/>
      <c r="B80" s="80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13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13"/>
        <v>1.4681999999999997</v>
      </c>
      <c r="I82" s="14">
        <v>0</v>
      </c>
    </row>
    <row r="83" spans="1:9" ht="15.75" hidden="1" customHeight="1">
      <c r="A83" s="32">
        <v>15</v>
      </c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13"/>
        <v>3.19041</v>
      </c>
      <c r="I83" s="14">
        <f>G83*(10/3)</f>
        <v>3544.9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13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13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13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13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13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13"/>
        <v>7.5860399999999988</v>
      </c>
      <c r="I89" s="14">
        <v>0</v>
      </c>
    </row>
    <row r="90" spans="1:9" ht="15.75" hidden="1" customHeight="1">
      <c r="A90" s="32">
        <v>33</v>
      </c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13"/>
        <v>2.8108906600000001</v>
      </c>
      <c r="I90" s="14">
        <f t="shared" ref="I90" si="14">F90/2*G90</f>
        <v>1405.44533</v>
      </c>
    </row>
    <row r="91" spans="1:9" ht="15.75" hidden="1" customHeight="1">
      <c r="A91" s="82"/>
      <c r="B91" s="80" t="s">
        <v>132</v>
      </c>
      <c r="C91" s="80"/>
      <c r="D91" s="80"/>
      <c r="E91" s="80"/>
      <c r="F91" s="80"/>
      <c r="G91" s="80"/>
      <c r="H91" s="80"/>
      <c r="I91" s="21"/>
    </row>
    <row r="92" spans="1:9" ht="15.75" hidden="1" customHeight="1">
      <c r="A92" s="32">
        <v>15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f>G92</f>
        <v>14087.8</v>
      </c>
    </row>
    <row r="93" spans="1:9" ht="15.75" customHeight="1">
      <c r="A93" s="133" t="s">
        <v>161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13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14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82"/>
      <c r="B96" s="42" t="s">
        <v>82</v>
      </c>
      <c r="C96" s="43"/>
      <c r="D96" s="17"/>
      <c r="E96" s="17"/>
      <c r="F96" s="17"/>
      <c r="G96" s="21"/>
      <c r="H96" s="21"/>
      <c r="I96" s="35">
        <f>SUM(I16+I17+I18+I27+I28+I39+I40+I41+I42+I44+I51+I59+I94+I95)</f>
        <v>32562.780375333343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15.75" customHeight="1">
      <c r="A98" s="32"/>
      <c r="B98" s="48" t="s">
        <v>52</v>
      </c>
      <c r="C98" s="44"/>
      <c r="D98" s="56"/>
      <c r="E98" s="56"/>
      <c r="F98" s="44">
        <v>1</v>
      </c>
      <c r="G98" s="44"/>
      <c r="H98" s="44"/>
      <c r="I98" s="35">
        <f>SUM(A97)</f>
        <v>0</v>
      </c>
    </row>
    <row r="99" spans="1:9" ht="15.75" customHeight="1">
      <c r="A99" s="32"/>
      <c r="B99" s="54" t="s">
        <v>80</v>
      </c>
      <c r="C99" s="17"/>
      <c r="D99" s="17"/>
      <c r="E99" s="17"/>
      <c r="F99" s="45"/>
      <c r="G99" s="46"/>
      <c r="H99" s="46"/>
      <c r="I99" s="20">
        <v>0</v>
      </c>
    </row>
    <row r="100" spans="1:9" ht="15.75" customHeight="1">
      <c r="A100" s="57"/>
      <c r="B100" s="49" t="s">
        <v>162</v>
      </c>
      <c r="C100" s="37"/>
      <c r="D100" s="37"/>
      <c r="E100" s="37"/>
      <c r="F100" s="37"/>
      <c r="G100" s="37"/>
      <c r="H100" s="37"/>
      <c r="I100" s="47">
        <f>I96+I98</f>
        <v>32562.780375333343</v>
      </c>
    </row>
    <row r="101" spans="1:9" ht="15.75">
      <c r="A101" s="122" t="s">
        <v>231</v>
      </c>
      <c r="B101" s="122"/>
      <c r="C101" s="122"/>
      <c r="D101" s="122"/>
      <c r="E101" s="122"/>
      <c r="F101" s="122"/>
      <c r="G101" s="122"/>
      <c r="H101" s="122"/>
      <c r="I101" s="122"/>
    </row>
    <row r="102" spans="1:9" ht="15.75">
      <c r="A102" s="74"/>
      <c r="B102" s="123" t="s">
        <v>232</v>
      </c>
      <c r="C102" s="123"/>
      <c r="D102" s="123"/>
      <c r="E102" s="123"/>
      <c r="F102" s="123"/>
      <c r="G102" s="123"/>
      <c r="H102" s="81"/>
      <c r="I102" s="3"/>
    </row>
    <row r="103" spans="1:9">
      <c r="A103" s="76"/>
      <c r="B103" s="121" t="s">
        <v>6</v>
      </c>
      <c r="C103" s="121"/>
      <c r="D103" s="121"/>
      <c r="E103" s="121"/>
      <c r="F103" s="121"/>
      <c r="G103" s="121"/>
      <c r="H103" s="27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124" t="s">
        <v>7</v>
      </c>
      <c r="B105" s="124"/>
      <c r="C105" s="124"/>
      <c r="D105" s="124"/>
      <c r="E105" s="124"/>
      <c r="F105" s="124"/>
      <c r="G105" s="124"/>
      <c r="H105" s="124"/>
      <c r="I105" s="124"/>
    </row>
    <row r="106" spans="1:9" ht="15.75">
      <c r="A106" s="124" t="s">
        <v>8</v>
      </c>
      <c r="B106" s="124"/>
      <c r="C106" s="124"/>
      <c r="D106" s="124"/>
      <c r="E106" s="124"/>
      <c r="F106" s="124"/>
      <c r="G106" s="124"/>
      <c r="H106" s="124"/>
      <c r="I106" s="124"/>
    </row>
    <row r="107" spans="1:9" ht="15.75">
      <c r="A107" s="118" t="s">
        <v>62</v>
      </c>
      <c r="B107" s="118"/>
      <c r="C107" s="118"/>
      <c r="D107" s="118"/>
      <c r="E107" s="118"/>
      <c r="F107" s="118"/>
      <c r="G107" s="118"/>
      <c r="H107" s="118"/>
      <c r="I107" s="118"/>
    </row>
    <row r="108" spans="1:9" ht="15.75">
      <c r="A108" s="11"/>
    </row>
    <row r="109" spans="1:9" ht="15.75">
      <c r="A109" s="119" t="s">
        <v>9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>
      <c r="A110" s="4"/>
    </row>
    <row r="111" spans="1:9" ht="15.75">
      <c r="B111" s="75" t="s">
        <v>10</v>
      </c>
      <c r="C111" s="120" t="s">
        <v>94</v>
      </c>
      <c r="D111" s="120"/>
      <c r="E111" s="120"/>
      <c r="F111" s="120"/>
      <c r="I111" s="78"/>
    </row>
    <row r="112" spans="1:9">
      <c r="A112" s="76"/>
      <c r="C112" s="121" t="s">
        <v>11</v>
      </c>
      <c r="D112" s="121"/>
      <c r="E112" s="121"/>
      <c r="F112" s="121"/>
      <c r="I112" s="77" t="s">
        <v>12</v>
      </c>
    </row>
    <row r="113" spans="1:9" ht="15.75">
      <c r="A113" s="28"/>
      <c r="C113" s="12"/>
      <c r="D113" s="12"/>
      <c r="E113" s="12"/>
      <c r="G113" s="12"/>
      <c r="H113" s="12"/>
    </row>
    <row r="114" spans="1:9" ht="15.75">
      <c r="B114" s="75" t="s">
        <v>13</v>
      </c>
      <c r="C114" s="115"/>
      <c r="D114" s="115"/>
      <c r="E114" s="115"/>
      <c r="F114" s="115"/>
      <c r="I114" s="78"/>
    </row>
    <row r="115" spans="1:9">
      <c r="A115" s="76"/>
      <c r="C115" s="116" t="s">
        <v>11</v>
      </c>
      <c r="D115" s="116"/>
      <c r="E115" s="116"/>
      <c r="F115" s="116"/>
      <c r="I115" s="77" t="s">
        <v>12</v>
      </c>
    </row>
    <row r="116" spans="1:9" ht="15.75">
      <c r="A116" s="4" t="s">
        <v>14</v>
      </c>
    </row>
    <row r="117" spans="1:9">
      <c r="A117" s="117" t="s">
        <v>15</v>
      </c>
      <c r="B117" s="117"/>
      <c r="C117" s="117"/>
      <c r="D117" s="117"/>
      <c r="E117" s="117"/>
      <c r="F117" s="117"/>
      <c r="G117" s="117"/>
      <c r="H117" s="117"/>
      <c r="I117" s="117"/>
    </row>
    <row r="118" spans="1:9" ht="45" customHeight="1">
      <c r="A118" s="114" t="s">
        <v>16</v>
      </c>
      <c r="B118" s="114"/>
      <c r="C118" s="114"/>
      <c r="D118" s="114"/>
      <c r="E118" s="114"/>
      <c r="F118" s="114"/>
      <c r="G118" s="114"/>
      <c r="H118" s="114"/>
      <c r="I118" s="114"/>
    </row>
    <row r="119" spans="1:9" ht="30" customHeight="1">
      <c r="A119" s="114" t="s">
        <v>17</v>
      </c>
      <c r="B119" s="114"/>
      <c r="C119" s="114"/>
      <c r="D119" s="114"/>
      <c r="E119" s="114"/>
      <c r="F119" s="114"/>
      <c r="G119" s="114"/>
      <c r="H119" s="114"/>
      <c r="I119" s="114"/>
    </row>
    <row r="120" spans="1:9" ht="30" customHeight="1">
      <c r="A120" s="114" t="s">
        <v>21</v>
      </c>
      <c r="B120" s="114"/>
      <c r="C120" s="114"/>
      <c r="D120" s="114"/>
      <c r="E120" s="114"/>
      <c r="F120" s="114"/>
      <c r="G120" s="114"/>
      <c r="H120" s="114"/>
      <c r="I120" s="114"/>
    </row>
    <row r="121" spans="1:9" ht="15" customHeight="1">
      <c r="A121" s="114" t="s">
        <v>20</v>
      </c>
      <c r="B121" s="114"/>
      <c r="C121" s="114"/>
      <c r="D121" s="114"/>
      <c r="E121" s="114"/>
      <c r="F121" s="114"/>
      <c r="G121" s="114"/>
      <c r="H121" s="114"/>
      <c r="I121" s="114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15:F115"/>
    <mergeCell ref="A97:I97"/>
    <mergeCell ref="A101:I101"/>
    <mergeCell ref="B102:G102"/>
    <mergeCell ref="B103:G103"/>
    <mergeCell ref="A105:I105"/>
    <mergeCell ref="A106:I106"/>
    <mergeCell ref="A107:I107"/>
    <mergeCell ref="A109:I109"/>
    <mergeCell ref="C111:F111"/>
    <mergeCell ref="C112:F112"/>
    <mergeCell ref="C114:F114"/>
    <mergeCell ref="A93:I93"/>
    <mergeCell ref="A117:I117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167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168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3">
        <v>42794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hidden="1" customHeight="1">
      <c r="A19" s="32"/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v>0</v>
      </c>
      <c r="J20" s="25"/>
      <c r="K20" s="8"/>
      <c r="L20" s="8"/>
      <c r="M20" s="8"/>
    </row>
    <row r="21" spans="1:13" ht="15.75" hidden="1" customHeight="1">
      <c r="A21" s="32">
        <v>5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v>0</v>
      </c>
      <c r="J21" s="25"/>
      <c r="K21" s="8"/>
      <c r="L21" s="8"/>
      <c r="M21" s="8"/>
    </row>
    <row r="22" spans="1:13" ht="15.75" hidden="1" customHeight="1">
      <c r="A22" s="32"/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v>0</v>
      </c>
      <c r="J22" s="25"/>
      <c r="K22" s="8"/>
      <c r="L22" s="8"/>
      <c r="M22" s="8"/>
    </row>
    <row r="23" spans="1:13" ht="15.75" hidden="1" customHeight="1">
      <c r="A23" s="32"/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v>0</v>
      </c>
      <c r="J23" s="25"/>
      <c r="K23" s="8"/>
      <c r="L23" s="8"/>
      <c r="M23" s="8"/>
    </row>
    <row r="24" spans="1:13" ht="15.75" hidden="1" customHeight="1">
      <c r="A24" s="32"/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v>0</v>
      </c>
      <c r="J24" s="25"/>
      <c r="K24" s="8"/>
      <c r="L24" s="8"/>
      <c r="M24" s="8"/>
    </row>
    <row r="25" spans="1:13" ht="15.75" hidden="1" customHeight="1">
      <c r="A25" s="43">
        <v>6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v>0</v>
      </c>
      <c r="J25" s="25"/>
      <c r="K25" s="8"/>
      <c r="L25" s="8"/>
      <c r="M25" s="8"/>
    </row>
    <row r="26" spans="1:13" ht="15.75" hidden="1" customHeight="1">
      <c r="A26" s="43"/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v>0</v>
      </c>
      <c r="J26" s="25"/>
      <c r="K26" s="8"/>
      <c r="L26" s="8"/>
      <c r="M26" s="8"/>
    </row>
    <row r="27" spans="1:13" ht="15.75" customHeight="1">
      <c r="A27" s="43">
        <v>4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43">
        <v>5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hidden="1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hidden="1" customHeight="1">
      <c r="A31" s="43">
        <v>2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1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hidden="1" customHeight="1">
      <c r="A32" s="43">
        <v>3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1"/>
        <v>0.85848703199999998</v>
      </c>
      <c r="I32" s="14">
        <f t="shared" ref="I32:I35" si="2">F32/6*G32</f>
        <v>143.08117200000001</v>
      </c>
      <c r="J32" s="25"/>
      <c r="K32" s="8"/>
      <c r="L32" s="8"/>
      <c r="M32" s="8"/>
    </row>
    <row r="33" spans="1:14" ht="15.75" hidden="1" customHeight="1">
      <c r="A33" s="43">
        <v>4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1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hidden="1" customHeight="1">
      <c r="A34" s="43"/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1"/>
        <v>7.5336975000000015</v>
      </c>
      <c r="I34" s="14">
        <f t="shared" si="2"/>
        <v>1255.61625</v>
      </c>
      <c r="J34" s="25"/>
      <c r="K34" s="8"/>
    </row>
    <row r="35" spans="1:14" ht="15.75" hidden="1" customHeight="1">
      <c r="A35" s="43">
        <v>5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1"/>
        <v>3.6445666666666665</v>
      </c>
      <c r="I35" s="14">
        <f t="shared" si="2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1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1"/>
        <v>2.8279200000000002</v>
      </c>
      <c r="I37" s="14">
        <v>0</v>
      </c>
      <c r="J37" s="26"/>
    </row>
    <row r="38" spans="1:14" ht="15.75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3">SUM(F39*G39/1000)</f>
        <v>3.8007399999999998</v>
      </c>
      <c r="I39" s="14">
        <f t="shared" ref="I39:I44" si="4">F39/6*G39</f>
        <v>633.45666666666659</v>
      </c>
      <c r="J39" s="26"/>
    </row>
    <row r="40" spans="1:14" ht="15.75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3"/>
        <v>2.6845187400000001</v>
      </c>
      <c r="I40" s="14">
        <f t="shared" si="4"/>
        <v>447.41978999999998</v>
      </c>
      <c r="J40" s="26"/>
    </row>
    <row r="41" spans="1:14" ht="15.75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3"/>
        <v>2.3136214500000003</v>
      </c>
      <c r="I41" s="14">
        <f t="shared" si="4"/>
        <v>385.60357500000003</v>
      </c>
      <c r="J41" s="26"/>
    </row>
    <row r="42" spans="1:14" ht="47.25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3"/>
        <v>8.6437883699999993</v>
      </c>
      <c r="I42" s="14">
        <f t="shared" si="4"/>
        <v>1440.6313950000001</v>
      </c>
      <c r="J42" s="26"/>
      <c r="L42" s="22"/>
      <c r="M42" s="23"/>
      <c r="N42" s="24"/>
    </row>
    <row r="43" spans="1:14" ht="15.75" hidden="1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3"/>
        <v>0.36487980000000003</v>
      </c>
      <c r="I43" s="14">
        <f t="shared" si="4"/>
        <v>60.813300000000005</v>
      </c>
      <c r="J43" s="26"/>
      <c r="L43" s="22"/>
      <c r="M43" s="23"/>
      <c r="N43" s="24"/>
    </row>
    <row r="44" spans="1:14" ht="15.75" customHeight="1">
      <c r="A44" s="36">
        <v>10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3"/>
        <v>0.49648500000000001</v>
      </c>
      <c r="I44" s="14">
        <f t="shared" si="4"/>
        <v>82.747500000000002</v>
      </c>
      <c r="J44" s="26"/>
      <c r="L44" s="22"/>
      <c r="M44" s="23"/>
      <c r="N44" s="24"/>
    </row>
    <row r="45" spans="1:14" ht="15.75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hidden="1" customHeight="1">
      <c r="A46" s="43">
        <v>15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5">SUM(F46*G46/1000)</f>
        <v>2.6521417440000006</v>
      </c>
      <c r="I46" s="14">
        <v>0</v>
      </c>
      <c r="J46" s="26"/>
      <c r="L46" s="22"/>
      <c r="M46" s="23"/>
      <c r="N46" s="24"/>
    </row>
    <row r="47" spans="1:14" ht="15.75" hidden="1" customHeight="1">
      <c r="A47" s="43"/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5"/>
        <v>2.8553184000000002E-2</v>
      </c>
      <c r="I47" s="14">
        <v>0</v>
      </c>
      <c r="J47" s="26"/>
      <c r="L47" s="22"/>
      <c r="M47" s="23"/>
      <c r="N47" s="24"/>
    </row>
    <row r="48" spans="1:14" ht="15.75" hidden="1" customHeight="1">
      <c r="A48" s="43">
        <v>16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5"/>
        <v>2.2617645503999997</v>
      </c>
      <c r="I48" s="14">
        <v>0</v>
      </c>
      <c r="J48" s="26"/>
      <c r="L48" s="22"/>
      <c r="M48" s="23"/>
      <c r="N48" s="24"/>
    </row>
    <row r="49" spans="1:14" ht="15.75" hidden="1" customHeight="1">
      <c r="A49" s="43">
        <v>17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5"/>
        <v>2.7280312466000001</v>
      </c>
      <c r="I49" s="14">
        <v>0</v>
      </c>
      <c r="J49" s="26"/>
      <c r="L49" s="22"/>
      <c r="M49" s="23"/>
      <c r="N49" s="24"/>
    </row>
    <row r="50" spans="1:14" ht="15.75" hidden="1" customHeight="1">
      <c r="A50" s="43">
        <v>18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5"/>
        <v>3.1061108E-2</v>
      </c>
      <c r="I50" s="14">
        <v>0</v>
      </c>
      <c r="J50" s="26"/>
      <c r="L50" s="22"/>
      <c r="M50" s="23"/>
      <c r="N50" s="24"/>
    </row>
    <row r="51" spans="1:14" ht="15.75" customHeight="1">
      <c r="A51" s="43">
        <v>11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5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hidden="1" customHeight="1">
      <c r="A52" s="43">
        <v>13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5"/>
        <v>2.48555876</v>
      </c>
      <c r="I52" s="14">
        <v>0</v>
      </c>
      <c r="J52" s="26"/>
      <c r="L52" s="22"/>
      <c r="M52" s="23"/>
      <c r="N52" s="24"/>
    </row>
    <row r="53" spans="1:14" ht="31.5" hidden="1" customHeight="1">
      <c r="A53" s="43">
        <v>14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5"/>
        <v>0.69307200000000002</v>
      </c>
      <c r="I53" s="14">
        <v>0</v>
      </c>
      <c r="J53" s="26"/>
      <c r="L53" s="22"/>
      <c r="M53" s="23"/>
      <c r="N53" s="24"/>
    </row>
    <row r="54" spans="1:14" ht="15.75" hidden="1" customHeight="1">
      <c r="A54" s="43">
        <v>15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5"/>
        <v>0.1406626</v>
      </c>
      <c r="I54" s="14">
        <v>0</v>
      </c>
      <c r="J54" s="26"/>
      <c r="L54" s="22"/>
      <c r="M54" s="23"/>
      <c r="N54" s="24"/>
    </row>
    <row r="55" spans="1:14" ht="15.75" hidden="1" customHeight="1">
      <c r="A55" s="43">
        <v>13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5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hidden="1" customHeight="1">
      <c r="A56" s="43">
        <v>14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5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customHeight="1">
      <c r="A57" s="125" t="s">
        <v>160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customHeight="1">
      <c r="A58" s="55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customHeight="1">
      <c r="A59" s="43">
        <v>12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customHeight="1">
      <c r="A60" s="43">
        <v>13</v>
      </c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f>G60*2</f>
        <v>3002</v>
      </c>
      <c r="J60" s="26"/>
      <c r="L60" s="22"/>
      <c r="M60" s="23"/>
      <c r="N60" s="24"/>
    </row>
    <row r="61" spans="1:14" ht="15.75" hidden="1" customHeight="1">
      <c r="A61" s="43"/>
      <c r="B61" s="72" t="s">
        <v>44</v>
      </c>
      <c r="C61" s="72"/>
      <c r="D61" s="72"/>
      <c r="E61" s="72"/>
      <c r="F61" s="72"/>
      <c r="G61" s="72"/>
      <c r="H61" s="72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hidden="1" customHeight="1">
      <c r="A63" s="43"/>
      <c r="B63" s="72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hidden="1" customHeight="1">
      <c r="A64" s="43">
        <v>17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6">SUM(F64*G64/1000)</f>
        <v>2.7674000000000003</v>
      </c>
      <c r="I64" s="14">
        <v>0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6"/>
        <v>0.28467000000000003</v>
      </c>
      <c r="I65" s="14">
        <v>0</v>
      </c>
    </row>
    <row r="66" spans="1:22" ht="15.75" hidden="1" customHeight="1">
      <c r="A66" s="32">
        <v>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6"/>
        <v>19.820369200000002</v>
      </c>
      <c r="I66" s="14">
        <v>0</v>
      </c>
    </row>
    <row r="67" spans="1:22" ht="15.75" hidden="1" customHeight="1">
      <c r="A67" s="32">
        <v>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6"/>
        <v>1.54341956</v>
      </c>
      <c r="I67" s="14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2">
        <v>10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6"/>
        <v>28.138677000000005</v>
      </c>
      <c r="I68" s="14">
        <v>0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2">
        <v>11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6"/>
        <v>0.35113000000000005</v>
      </c>
      <c r="I69" s="14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2">
        <v>12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6"/>
        <v>0.327598</v>
      </c>
      <c r="I70" s="14">
        <v>0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hidden="1" customHeight="1">
      <c r="A71" s="32">
        <v>13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6"/>
        <v>0.18621000000000001</v>
      </c>
      <c r="I71" s="14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7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7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7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7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7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8">SUM(F79*G79/1000)</f>
        <v>4.6354679999999995</v>
      </c>
      <c r="I79" s="14">
        <v>0</v>
      </c>
    </row>
    <row r="80" spans="1:22" ht="15.75" hidden="1" customHeight="1">
      <c r="A80" s="32"/>
      <c r="B80" s="72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9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9"/>
        <v>1.4681999999999997</v>
      </c>
      <c r="I82" s="14">
        <v>0</v>
      </c>
    </row>
    <row r="83" spans="1:9" ht="15.75" hidden="1" customHeight="1">
      <c r="A83" s="32"/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9"/>
        <v>3.19041</v>
      </c>
      <c r="I83" s="14">
        <v>0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9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9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9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9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9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9"/>
        <v>7.5860399999999988</v>
      </c>
      <c r="I89" s="14">
        <v>0</v>
      </c>
    </row>
    <row r="90" spans="1:9" ht="15.75" hidden="1" customHeight="1">
      <c r="A90" s="32"/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9"/>
        <v>2.8108906600000001</v>
      </c>
      <c r="I90" s="14">
        <v>0</v>
      </c>
    </row>
    <row r="91" spans="1:9" ht="15.75" customHeight="1">
      <c r="A91" s="55"/>
      <c r="B91" s="72" t="s">
        <v>132</v>
      </c>
      <c r="C91" s="72"/>
      <c r="D91" s="72"/>
      <c r="E91" s="72"/>
      <c r="F91" s="72"/>
      <c r="G91" s="72"/>
      <c r="H91" s="72"/>
      <c r="I91" s="21"/>
    </row>
    <row r="92" spans="1:9" ht="15.75" customHeight="1">
      <c r="A92" s="32">
        <v>14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f>G92</f>
        <v>14087.8</v>
      </c>
    </row>
    <row r="93" spans="1:9" ht="15.75" customHeight="1">
      <c r="A93" s="133" t="s">
        <v>161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15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16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55"/>
      <c r="B96" s="42" t="s">
        <v>82</v>
      </c>
      <c r="C96" s="43"/>
      <c r="D96" s="17"/>
      <c r="E96" s="17"/>
      <c r="F96" s="17"/>
      <c r="G96" s="21"/>
      <c r="H96" s="21"/>
      <c r="I96" s="35">
        <f>SUM(I16+I17+I18+I27+I28+I39+I40+I41+I42+I44+I51+I59+I60+I92+I94+I95)</f>
        <v>49652.580375333338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31.5" customHeight="1">
      <c r="A98" s="32">
        <v>17</v>
      </c>
      <c r="B98" s="67" t="s">
        <v>93</v>
      </c>
      <c r="C98" s="102" t="s">
        <v>95</v>
      </c>
      <c r="D98" s="54"/>
      <c r="E98" s="14"/>
      <c r="F98" s="14">
        <v>1</v>
      </c>
      <c r="G98" s="14">
        <v>589.84</v>
      </c>
      <c r="H98" s="99">
        <f t="shared" ref="H98" si="10">G98*F98/1000</f>
        <v>0.58984000000000003</v>
      </c>
      <c r="I98" s="14">
        <f>G98</f>
        <v>589.84</v>
      </c>
    </row>
    <row r="99" spans="1:9" ht="15.75" customHeight="1">
      <c r="A99" s="32">
        <v>18</v>
      </c>
      <c r="B99" s="67" t="s">
        <v>84</v>
      </c>
      <c r="C99" s="102" t="s">
        <v>128</v>
      </c>
      <c r="D99" s="54"/>
      <c r="E99" s="14"/>
      <c r="F99" s="14">
        <v>2</v>
      </c>
      <c r="G99" s="14">
        <v>189.88</v>
      </c>
      <c r="H99" s="99">
        <f>G99*F99/1000</f>
        <v>0.37975999999999999</v>
      </c>
      <c r="I99" s="14">
        <f>G99</f>
        <v>189.88</v>
      </c>
    </row>
    <row r="100" spans="1:9" ht="15.75" customHeight="1">
      <c r="A100" s="32"/>
      <c r="B100" s="48" t="s">
        <v>52</v>
      </c>
      <c r="C100" s="44"/>
      <c r="D100" s="56"/>
      <c r="E100" s="56"/>
      <c r="F100" s="44">
        <v>1</v>
      </c>
      <c r="G100" s="44"/>
      <c r="H100" s="44"/>
      <c r="I100" s="35">
        <f>SUM(I98:I99)</f>
        <v>779.72</v>
      </c>
    </row>
    <row r="101" spans="1:9" ht="15.75" customHeight="1">
      <c r="A101" s="32"/>
      <c r="B101" s="54" t="s">
        <v>80</v>
      </c>
      <c r="C101" s="17"/>
      <c r="D101" s="17"/>
      <c r="E101" s="17"/>
      <c r="F101" s="45"/>
      <c r="G101" s="46"/>
      <c r="H101" s="46"/>
      <c r="I101" s="20">
        <v>0</v>
      </c>
    </row>
    <row r="102" spans="1:9" ht="15.75" customHeight="1">
      <c r="A102" s="57"/>
      <c r="B102" s="49" t="s">
        <v>162</v>
      </c>
      <c r="C102" s="37"/>
      <c r="D102" s="37"/>
      <c r="E102" s="37"/>
      <c r="F102" s="37"/>
      <c r="G102" s="37"/>
      <c r="H102" s="37"/>
      <c r="I102" s="47">
        <f>I96+I100</f>
        <v>50432.30037533334</v>
      </c>
    </row>
    <row r="103" spans="1:9" ht="15.75">
      <c r="A103" s="122" t="s">
        <v>223</v>
      </c>
      <c r="B103" s="122"/>
      <c r="C103" s="122"/>
      <c r="D103" s="122"/>
      <c r="E103" s="122"/>
      <c r="F103" s="122"/>
      <c r="G103" s="122"/>
      <c r="H103" s="122"/>
      <c r="I103" s="122"/>
    </row>
    <row r="104" spans="1:9" ht="15.75">
      <c r="A104" s="74"/>
      <c r="B104" s="123" t="s">
        <v>224</v>
      </c>
      <c r="C104" s="123"/>
      <c r="D104" s="123"/>
      <c r="E104" s="123"/>
      <c r="F104" s="123"/>
      <c r="G104" s="123"/>
      <c r="H104" s="81"/>
      <c r="I104" s="3"/>
    </row>
    <row r="105" spans="1:9">
      <c r="A105" s="70"/>
      <c r="B105" s="121" t="s">
        <v>6</v>
      </c>
      <c r="C105" s="121"/>
      <c r="D105" s="121"/>
      <c r="E105" s="121"/>
      <c r="F105" s="121"/>
      <c r="G105" s="121"/>
      <c r="H105" s="27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24" t="s">
        <v>7</v>
      </c>
      <c r="B107" s="124"/>
      <c r="C107" s="124"/>
      <c r="D107" s="124"/>
      <c r="E107" s="124"/>
      <c r="F107" s="124"/>
      <c r="G107" s="124"/>
      <c r="H107" s="124"/>
      <c r="I107" s="124"/>
    </row>
    <row r="108" spans="1:9" ht="15.75">
      <c r="A108" s="124" t="s">
        <v>8</v>
      </c>
      <c r="B108" s="124"/>
      <c r="C108" s="124"/>
      <c r="D108" s="124"/>
      <c r="E108" s="124"/>
      <c r="F108" s="124"/>
      <c r="G108" s="124"/>
      <c r="H108" s="124"/>
      <c r="I108" s="124"/>
    </row>
    <row r="109" spans="1:9" ht="15.75">
      <c r="A109" s="118" t="s">
        <v>62</v>
      </c>
      <c r="B109" s="118"/>
      <c r="C109" s="118"/>
      <c r="D109" s="118"/>
      <c r="E109" s="118"/>
      <c r="F109" s="118"/>
      <c r="G109" s="118"/>
      <c r="H109" s="118"/>
      <c r="I109" s="118"/>
    </row>
    <row r="110" spans="1:9" ht="15.75">
      <c r="A110" s="11"/>
    </row>
    <row r="111" spans="1:9" ht="15.75">
      <c r="A111" s="119" t="s">
        <v>9</v>
      </c>
      <c r="B111" s="119"/>
      <c r="C111" s="119"/>
      <c r="D111" s="119"/>
      <c r="E111" s="119"/>
      <c r="F111" s="119"/>
      <c r="G111" s="119"/>
      <c r="H111" s="119"/>
      <c r="I111" s="119"/>
    </row>
    <row r="112" spans="1:9" ht="15.75">
      <c r="A112" s="4"/>
    </row>
    <row r="113" spans="1:9" ht="15.75">
      <c r="B113" s="71" t="s">
        <v>10</v>
      </c>
      <c r="C113" s="120" t="s">
        <v>94</v>
      </c>
      <c r="D113" s="120"/>
      <c r="E113" s="120"/>
      <c r="F113" s="120"/>
      <c r="I113" s="69"/>
    </row>
    <row r="114" spans="1:9">
      <c r="A114" s="70"/>
      <c r="C114" s="121" t="s">
        <v>11</v>
      </c>
      <c r="D114" s="121"/>
      <c r="E114" s="121"/>
      <c r="F114" s="121"/>
      <c r="I114" s="68" t="s">
        <v>12</v>
      </c>
    </row>
    <row r="115" spans="1:9" ht="15.75">
      <c r="A115" s="28"/>
      <c r="C115" s="12"/>
      <c r="D115" s="12"/>
      <c r="E115" s="12"/>
      <c r="G115" s="12"/>
      <c r="H115" s="12"/>
    </row>
    <row r="116" spans="1:9" ht="15.75">
      <c r="B116" s="71" t="s">
        <v>13</v>
      </c>
      <c r="C116" s="115"/>
      <c r="D116" s="115"/>
      <c r="E116" s="115"/>
      <c r="F116" s="115"/>
      <c r="I116" s="69"/>
    </row>
    <row r="117" spans="1:9">
      <c r="A117" s="70"/>
      <c r="C117" s="116" t="s">
        <v>11</v>
      </c>
      <c r="D117" s="116"/>
      <c r="E117" s="116"/>
      <c r="F117" s="116"/>
      <c r="I117" s="68" t="s">
        <v>12</v>
      </c>
    </row>
    <row r="118" spans="1:9" ht="15.75">
      <c r="A118" s="4" t="s">
        <v>14</v>
      </c>
    </row>
    <row r="119" spans="1:9">
      <c r="A119" s="117" t="s">
        <v>15</v>
      </c>
      <c r="B119" s="117"/>
      <c r="C119" s="117"/>
      <c r="D119" s="117"/>
      <c r="E119" s="117"/>
      <c r="F119" s="117"/>
      <c r="G119" s="117"/>
      <c r="H119" s="117"/>
      <c r="I119" s="117"/>
    </row>
    <row r="120" spans="1:9" ht="45" customHeight="1">
      <c r="A120" s="114" t="s">
        <v>16</v>
      </c>
      <c r="B120" s="114"/>
      <c r="C120" s="114"/>
      <c r="D120" s="114"/>
      <c r="E120" s="114"/>
      <c r="F120" s="114"/>
      <c r="G120" s="114"/>
      <c r="H120" s="114"/>
      <c r="I120" s="114"/>
    </row>
    <row r="121" spans="1:9" ht="30" customHeight="1">
      <c r="A121" s="114" t="s">
        <v>17</v>
      </c>
      <c r="B121" s="114"/>
      <c r="C121" s="114"/>
      <c r="D121" s="114"/>
      <c r="E121" s="114"/>
      <c r="F121" s="114"/>
      <c r="G121" s="114"/>
      <c r="H121" s="114"/>
      <c r="I121" s="114"/>
    </row>
    <row r="122" spans="1:9" ht="30" customHeight="1">
      <c r="A122" s="114" t="s">
        <v>21</v>
      </c>
      <c r="B122" s="114"/>
      <c r="C122" s="114"/>
      <c r="D122" s="114"/>
      <c r="E122" s="114"/>
      <c r="F122" s="114"/>
      <c r="G122" s="114"/>
      <c r="H122" s="114"/>
      <c r="I122" s="114"/>
    </row>
    <row r="123" spans="1:9" ht="15" customHeight="1">
      <c r="A123" s="114" t="s">
        <v>20</v>
      </c>
      <c r="B123" s="114"/>
      <c r="C123" s="114"/>
      <c r="D123" s="114"/>
      <c r="E123" s="114"/>
      <c r="F123" s="114"/>
      <c r="G123" s="114"/>
      <c r="H123" s="114"/>
      <c r="I123" s="114"/>
    </row>
  </sheetData>
  <autoFilter ref="I12:I65"/>
  <mergeCells count="29">
    <mergeCell ref="A119:I119"/>
    <mergeCell ref="A120:I120"/>
    <mergeCell ref="A121:I121"/>
    <mergeCell ref="A122:I122"/>
    <mergeCell ref="A123:I123"/>
    <mergeCell ref="R70:U70"/>
    <mergeCell ref="C117:F117"/>
    <mergeCell ref="A97:I97"/>
    <mergeCell ref="A103:I103"/>
    <mergeCell ref="B104:G104"/>
    <mergeCell ref="B105:G105"/>
    <mergeCell ref="A107:I107"/>
    <mergeCell ref="A108:I108"/>
    <mergeCell ref="A109:I109"/>
    <mergeCell ref="A111:I111"/>
    <mergeCell ref="C113:F113"/>
    <mergeCell ref="C114:F114"/>
    <mergeCell ref="C116:F116"/>
    <mergeCell ref="A93:I9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169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170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3">
        <v>42825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hidden="1" customHeight="1">
      <c r="A19" s="32"/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v>0</v>
      </c>
      <c r="J20" s="25"/>
      <c r="K20" s="8"/>
      <c r="L20" s="8"/>
      <c r="M20" s="8"/>
    </row>
    <row r="21" spans="1:13" ht="15.75" hidden="1" customHeight="1">
      <c r="A21" s="32">
        <v>5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v>0</v>
      </c>
      <c r="J21" s="25"/>
      <c r="K21" s="8"/>
      <c r="L21" s="8"/>
      <c r="M21" s="8"/>
    </row>
    <row r="22" spans="1:13" ht="15.75" hidden="1" customHeight="1">
      <c r="A22" s="32"/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v>0</v>
      </c>
      <c r="J22" s="25"/>
      <c r="K22" s="8"/>
      <c r="L22" s="8"/>
      <c r="M22" s="8"/>
    </row>
    <row r="23" spans="1:13" ht="15.75" hidden="1" customHeight="1">
      <c r="A23" s="32"/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v>0</v>
      </c>
      <c r="J23" s="25"/>
      <c r="K23" s="8"/>
      <c r="L23" s="8"/>
      <c r="M23" s="8"/>
    </row>
    <row r="24" spans="1:13" ht="15.75" hidden="1" customHeight="1">
      <c r="A24" s="32"/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v>0</v>
      </c>
      <c r="J24" s="25"/>
      <c r="K24" s="8"/>
      <c r="L24" s="8"/>
      <c r="M24" s="8"/>
    </row>
    <row r="25" spans="1:13" ht="15.75" hidden="1" customHeight="1">
      <c r="A25" s="43">
        <v>6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v>0</v>
      </c>
      <c r="J25" s="25"/>
      <c r="K25" s="8"/>
      <c r="L25" s="8"/>
      <c r="M25" s="8"/>
    </row>
    <row r="26" spans="1:13" ht="15.75" hidden="1" customHeight="1">
      <c r="A26" s="43"/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v>0</v>
      </c>
      <c r="J26" s="25"/>
      <c r="K26" s="8"/>
      <c r="L26" s="8"/>
      <c r="M26" s="8"/>
    </row>
    <row r="27" spans="1:13" ht="15.75" customHeight="1">
      <c r="A27" s="43">
        <v>4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43">
        <v>5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hidden="1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hidden="1" customHeight="1">
      <c r="A31" s="43">
        <v>2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1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hidden="1" customHeight="1">
      <c r="A32" s="43">
        <v>3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1"/>
        <v>0.85848703199999998</v>
      </c>
      <c r="I32" s="14">
        <f t="shared" ref="I32:I35" si="2">F32/6*G32</f>
        <v>143.08117200000001</v>
      </c>
      <c r="J32" s="25"/>
      <c r="K32" s="8"/>
      <c r="L32" s="8"/>
      <c r="M32" s="8"/>
    </row>
    <row r="33" spans="1:14" ht="15.75" hidden="1" customHeight="1">
      <c r="A33" s="43">
        <v>4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1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hidden="1" customHeight="1">
      <c r="A34" s="43"/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1"/>
        <v>7.5336975000000015</v>
      </c>
      <c r="I34" s="14">
        <f t="shared" si="2"/>
        <v>1255.61625</v>
      </c>
      <c r="J34" s="25"/>
      <c r="K34" s="8"/>
    </row>
    <row r="35" spans="1:14" ht="15.75" hidden="1" customHeight="1">
      <c r="A35" s="43">
        <v>5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1"/>
        <v>3.6445666666666665</v>
      </c>
      <c r="I35" s="14">
        <f t="shared" si="2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1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1"/>
        <v>2.8279200000000002</v>
      </c>
      <c r="I37" s="14">
        <v>0</v>
      </c>
      <c r="J37" s="26"/>
    </row>
    <row r="38" spans="1:14" ht="15.75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3">SUM(F39*G39/1000)</f>
        <v>3.8007399999999998</v>
      </c>
      <c r="I39" s="14">
        <f t="shared" ref="I39:I44" si="4">F39/6*G39</f>
        <v>633.45666666666659</v>
      </c>
      <c r="J39" s="26"/>
    </row>
    <row r="40" spans="1:14" ht="15.75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3"/>
        <v>2.6845187400000001</v>
      </c>
      <c r="I40" s="14">
        <f t="shared" si="4"/>
        <v>447.41978999999998</v>
      </c>
      <c r="J40" s="26"/>
    </row>
    <row r="41" spans="1:14" ht="15.75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3"/>
        <v>2.3136214500000003</v>
      </c>
      <c r="I41" s="14">
        <f t="shared" si="4"/>
        <v>385.60357500000003</v>
      </c>
      <c r="J41" s="26"/>
    </row>
    <row r="42" spans="1:14" ht="47.25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3"/>
        <v>8.6437883699999993</v>
      </c>
      <c r="I42" s="14">
        <f t="shared" si="4"/>
        <v>1440.6313950000001</v>
      </c>
      <c r="J42" s="26"/>
      <c r="L42" s="22"/>
      <c r="M42" s="23"/>
      <c r="N42" s="24"/>
    </row>
    <row r="43" spans="1:14" ht="15.75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3"/>
        <v>0.36487980000000003</v>
      </c>
      <c r="I43" s="14">
        <f>F43/2*G43</f>
        <v>182.43990000000002</v>
      </c>
      <c r="J43" s="26"/>
      <c r="L43" s="22"/>
      <c r="M43" s="23"/>
      <c r="N43" s="24"/>
    </row>
    <row r="44" spans="1:14" ht="15.75" customHeight="1">
      <c r="A44" s="36">
        <v>11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3"/>
        <v>0.49648500000000001</v>
      </c>
      <c r="I44" s="14">
        <f t="shared" si="4"/>
        <v>82.747500000000002</v>
      </c>
      <c r="J44" s="26"/>
      <c r="L44" s="22"/>
      <c r="M44" s="23"/>
      <c r="N44" s="24"/>
    </row>
    <row r="45" spans="1:14" ht="15.75" hidden="1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hidden="1" customHeight="1">
      <c r="A46" s="43">
        <v>15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5">SUM(F46*G46/1000)</f>
        <v>2.6521417440000006</v>
      </c>
      <c r="I46" s="14">
        <v>0</v>
      </c>
      <c r="J46" s="26"/>
      <c r="L46" s="22"/>
      <c r="M46" s="23"/>
      <c r="N46" s="24"/>
    </row>
    <row r="47" spans="1:14" ht="15.75" hidden="1" customHeight="1">
      <c r="A47" s="43"/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5"/>
        <v>2.8553184000000002E-2</v>
      </c>
      <c r="I47" s="14">
        <v>0</v>
      </c>
      <c r="J47" s="26"/>
      <c r="L47" s="22"/>
      <c r="M47" s="23"/>
      <c r="N47" s="24"/>
    </row>
    <row r="48" spans="1:14" ht="15.75" hidden="1" customHeight="1">
      <c r="A48" s="43">
        <v>16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5"/>
        <v>2.2617645503999997</v>
      </c>
      <c r="I48" s="14">
        <v>0</v>
      </c>
      <c r="J48" s="26"/>
      <c r="L48" s="22"/>
      <c r="M48" s="23"/>
      <c r="N48" s="24"/>
    </row>
    <row r="49" spans="1:14" ht="15.75" hidden="1" customHeight="1">
      <c r="A49" s="43">
        <v>17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5"/>
        <v>2.7280312466000001</v>
      </c>
      <c r="I49" s="14">
        <v>0</v>
      </c>
      <c r="J49" s="26"/>
      <c r="L49" s="22"/>
      <c r="M49" s="23"/>
      <c r="N49" s="24"/>
    </row>
    <row r="50" spans="1:14" ht="15.75" hidden="1" customHeight="1">
      <c r="A50" s="43">
        <v>18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5"/>
        <v>3.1061108E-2</v>
      </c>
      <c r="I50" s="14">
        <v>0</v>
      </c>
      <c r="J50" s="26"/>
      <c r="L50" s="22"/>
      <c r="M50" s="23"/>
      <c r="N50" s="24"/>
    </row>
    <row r="51" spans="1:14" ht="15.75" hidden="1" customHeight="1">
      <c r="A51" s="43">
        <v>12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5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hidden="1" customHeight="1">
      <c r="A52" s="43">
        <v>13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5"/>
        <v>2.48555876</v>
      </c>
      <c r="I52" s="14">
        <v>0</v>
      </c>
      <c r="J52" s="26"/>
      <c r="L52" s="22"/>
      <c r="M52" s="23"/>
      <c r="N52" s="24"/>
    </row>
    <row r="53" spans="1:14" ht="31.5" hidden="1" customHeight="1">
      <c r="A53" s="43">
        <v>14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5"/>
        <v>0.69307200000000002</v>
      </c>
      <c r="I53" s="14">
        <v>0</v>
      </c>
      <c r="J53" s="26"/>
      <c r="L53" s="22"/>
      <c r="M53" s="23"/>
      <c r="N53" s="24"/>
    </row>
    <row r="54" spans="1:14" ht="15.75" hidden="1" customHeight="1">
      <c r="A54" s="43">
        <v>15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5"/>
        <v>0.1406626</v>
      </c>
      <c r="I54" s="14">
        <v>0</v>
      </c>
      <c r="J54" s="26"/>
      <c r="L54" s="22"/>
      <c r="M54" s="23"/>
      <c r="N54" s="24"/>
    </row>
    <row r="55" spans="1:14" ht="15.75" hidden="1" customHeight="1">
      <c r="A55" s="43">
        <v>13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5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hidden="1" customHeight="1">
      <c r="A56" s="43">
        <v>14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5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customHeight="1">
      <c r="A57" s="125" t="s">
        <v>171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customHeight="1">
      <c r="A58" s="55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customHeight="1">
      <c r="A59" s="43">
        <v>12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hidden="1" customHeight="1">
      <c r="A60" s="43">
        <v>14</v>
      </c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f>G60*2</f>
        <v>3002</v>
      </c>
      <c r="J60" s="26"/>
      <c r="L60" s="22"/>
      <c r="M60" s="23"/>
      <c r="N60" s="24"/>
    </row>
    <row r="61" spans="1:14" ht="15.75" hidden="1" customHeight="1">
      <c r="A61" s="43"/>
      <c r="B61" s="72" t="s">
        <v>44</v>
      </c>
      <c r="C61" s="72"/>
      <c r="D61" s="72"/>
      <c r="E61" s="72"/>
      <c r="F61" s="72"/>
      <c r="G61" s="72"/>
      <c r="H61" s="72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hidden="1" customHeight="1">
      <c r="A63" s="43"/>
      <c r="B63" s="72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hidden="1" customHeight="1">
      <c r="A64" s="43">
        <v>17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6">SUM(F64*G64/1000)</f>
        <v>2.7674000000000003</v>
      </c>
      <c r="I64" s="14">
        <v>0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6"/>
        <v>0.28467000000000003</v>
      </c>
      <c r="I65" s="14">
        <v>0</v>
      </c>
    </row>
    <row r="66" spans="1:22" ht="15.75" hidden="1" customHeight="1">
      <c r="A66" s="32">
        <v>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6"/>
        <v>19.820369200000002</v>
      </c>
      <c r="I66" s="14">
        <v>0</v>
      </c>
    </row>
    <row r="67" spans="1:22" ht="15.75" hidden="1" customHeight="1">
      <c r="A67" s="32">
        <v>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6"/>
        <v>1.54341956</v>
      </c>
      <c r="I67" s="14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2">
        <v>10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6"/>
        <v>28.138677000000005</v>
      </c>
      <c r="I68" s="14">
        <v>0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2">
        <v>11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6"/>
        <v>0.35113000000000005</v>
      </c>
      <c r="I69" s="14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2">
        <v>12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6"/>
        <v>0.327598</v>
      </c>
      <c r="I70" s="14">
        <v>0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hidden="1" customHeight="1">
      <c r="A71" s="32">
        <v>13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6"/>
        <v>0.18621000000000001</v>
      </c>
      <c r="I71" s="14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7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7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7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7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7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8">SUM(F79*G79/1000)</f>
        <v>4.6354679999999995</v>
      </c>
      <c r="I79" s="14">
        <v>0</v>
      </c>
    </row>
    <row r="80" spans="1:22" ht="15.75" hidden="1" customHeight="1">
      <c r="A80" s="32"/>
      <c r="B80" s="72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9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9"/>
        <v>1.4681999999999997</v>
      </c>
      <c r="I82" s="14">
        <v>0</v>
      </c>
    </row>
    <row r="83" spans="1:9" ht="15.75" hidden="1" customHeight="1">
      <c r="A83" s="32"/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9"/>
        <v>3.19041</v>
      </c>
      <c r="I83" s="14">
        <v>0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9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9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9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9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9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9"/>
        <v>7.5860399999999988</v>
      </c>
      <c r="I89" s="14">
        <v>0</v>
      </c>
    </row>
    <row r="90" spans="1:9" ht="15.75" hidden="1" customHeight="1">
      <c r="A90" s="32"/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9"/>
        <v>2.8108906600000001</v>
      </c>
      <c r="I90" s="14">
        <v>0</v>
      </c>
    </row>
    <row r="91" spans="1:9" ht="15.75" hidden="1" customHeight="1">
      <c r="A91" s="55"/>
      <c r="B91" s="72" t="s">
        <v>132</v>
      </c>
      <c r="C91" s="72"/>
      <c r="D91" s="72"/>
      <c r="E91" s="72"/>
      <c r="F91" s="72"/>
      <c r="G91" s="72"/>
      <c r="H91" s="72"/>
      <c r="I91" s="21"/>
    </row>
    <row r="92" spans="1:9" ht="15.75" hidden="1" customHeight="1">
      <c r="A92" s="32">
        <v>15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f>G92</f>
        <v>14087.8</v>
      </c>
    </row>
    <row r="93" spans="1:9" ht="15.75" customHeight="1">
      <c r="A93" s="133" t="s">
        <v>172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13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14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55"/>
      <c r="B96" s="42" t="s">
        <v>82</v>
      </c>
      <c r="C96" s="43"/>
      <c r="D96" s="17"/>
      <c r="E96" s="17"/>
      <c r="F96" s="17"/>
      <c r="G96" s="21"/>
      <c r="H96" s="21"/>
      <c r="I96" s="35">
        <f>SUM(I16+I17+I18+I27+I28+I39+I40+I41+I42+I43+I44+I59+I94+I95)</f>
        <v>31336.836835333343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31.5" customHeight="1">
      <c r="A98" s="32">
        <v>15</v>
      </c>
      <c r="B98" s="67" t="s">
        <v>173</v>
      </c>
      <c r="C98" s="102" t="s">
        <v>83</v>
      </c>
      <c r="D98" s="54"/>
      <c r="E98" s="14"/>
      <c r="F98" s="14">
        <v>0.5</v>
      </c>
      <c r="G98" s="14">
        <v>1183.51</v>
      </c>
      <c r="H98" s="99">
        <f>G98*F98/1000</f>
        <v>0.59175500000000003</v>
      </c>
      <c r="I98" s="14">
        <f>G98*0.5</f>
        <v>591.755</v>
      </c>
    </row>
    <row r="99" spans="1:9" ht="31.5" customHeight="1">
      <c r="A99" s="32">
        <v>16</v>
      </c>
      <c r="B99" s="67" t="s">
        <v>174</v>
      </c>
      <c r="C99" s="102" t="s">
        <v>175</v>
      </c>
      <c r="D99" s="54"/>
      <c r="E99" s="14"/>
      <c r="F99" s="14">
        <v>1</v>
      </c>
      <c r="G99" s="14">
        <v>663.38</v>
      </c>
      <c r="H99" s="99">
        <f>G99*F99/1000</f>
        <v>0.66337999999999997</v>
      </c>
      <c r="I99" s="14">
        <f>G99</f>
        <v>663.38</v>
      </c>
    </row>
    <row r="100" spans="1:9" ht="31.5" customHeight="1">
      <c r="A100" s="32">
        <v>17</v>
      </c>
      <c r="B100" s="103" t="s">
        <v>176</v>
      </c>
      <c r="C100" s="32" t="s">
        <v>98</v>
      </c>
      <c r="D100" s="54"/>
      <c r="E100" s="14"/>
      <c r="F100" s="19">
        <f>0.03/10</f>
        <v>3.0000000000000001E-3</v>
      </c>
      <c r="G100" s="14">
        <v>41341.03</v>
      </c>
      <c r="H100" s="99">
        <f>G100*F100/1000</f>
        <v>0.12402309</v>
      </c>
      <c r="I100" s="14">
        <f>G100*(0.03/10)</f>
        <v>124.02309</v>
      </c>
    </row>
    <row r="101" spans="1:9" ht="15.75" customHeight="1">
      <c r="A101" s="32"/>
      <c r="B101" s="48" t="s">
        <v>52</v>
      </c>
      <c r="C101" s="44"/>
      <c r="D101" s="56"/>
      <c r="E101" s="56"/>
      <c r="F101" s="44">
        <v>1</v>
      </c>
      <c r="G101" s="44"/>
      <c r="H101" s="44"/>
      <c r="I101" s="35">
        <f>SUM(I98:I100)</f>
        <v>1379.1580899999999</v>
      </c>
    </row>
    <row r="102" spans="1:9" ht="15.75" customHeight="1">
      <c r="A102" s="32"/>
      <c r="B102" s="54" t="s">
        <v>80</v>
      </c>
      <c r="C102" s="17"/>
      <c r="D102" s="17"/>
      <c r="E102" s="17"/>
      <c r="F102" s="45"/>
      <c r="G102" s="46"/>
      <c r="H102" s="46"/>
      <c r="I102" s="20">
        <v>0</v>
      </c>
    </row>
    <row r="103" spans="1:9" ht="15.75" customHeight="1">
      <c r="A103" s="57"/>
      <c r="B103" s="49" t="s">
        <v>162</v>
      </c>
      <c r="C103" s="37"/>
      <c r="D103" s="37"/>
      <c r="E103" s="37"/>
      <c r="F103" s="37"/>
      <c r="G103" s="37"/>
      <c r="H103" s="37"/>
      <c r="I103" s="47">
        <f>I96+I101</f>
        <v>32715.994925333343</v>
      </c>
    </row>
    <row r="104" spans="1:9" ht="15.75">
      <c r="A104" s="122" t="s">
        <v>225</v>
      </c>
      <c r="B104" s="122"/>
      <c r="C104" s="122"/>
      <c r="D104" s="122"/>
      <c r="E104" s="122"/>
      <c r="F104" s="122"/>
      <c r="G104" s="122"/>
      <c r="H104" s="122"/>
      <c r="I104" s="122"/>
    </row>
    <row r="105" spans="1:9" ht="15.75">
      <c r="A105" s="74"/>
      <c r="B105" s="123" t="s">
        <v>226</v>
      </c>
      <c r="C105" s="123"/>
      <c r="D105" s="123"/>
      <c r="E105" s="123"/>
      <c r="F105" s="123"/>
      <c r="G105" s="123"/>
      <c r="H105" s="81"/>
      <c r="I105" s="3"/>
    </row>
    <row r="106" spans="1:9">
      <c r="A106" s="70"/>
      <c r="B106" s="121" t="s">
        <v>6</v>
      </c>
      <c r="C106" s="121"/>
      <c r="D106" s="121"/>
      <c r="E106" s="121"/>
      <c r="F106" s="121"/>
      <c r="G106" s="121"/>
      <c r="H106" s="27"/>
      <c r="I106" s="5"/>
    </row>
    <row r="107" spans="1:9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24" t="s">
        <v>7</v>
      </c>
      <c r="B108" s="124"/>
      <c r="C108" s="124"/>
      <c r="D108" s="124"/>
      <c r="E108" s="124"/>
      <c r="F108" s="124"/>
      <c r="G108" s="124"/>
      <c r="H108" s="124"/>
      <c r="I108" s="124"/>
    </row>
    <row r="109" spans="1:9" ht="15.75">
      <c r="A109" s="124" t="s">
        <v>8</v>
      </c>
      <c r="B109" s="124"/>
      <c r="C109" s="124"/>
      <c r="D109" s="124"/>
      <c r="E109" s="124"/>
      <c r="F109" s="124"/>
      <c r="G109" s="124"/>
      <c r="H109" s="124"/>
      <c r="I109" s="124"/>
    </row>
    <row r="110" spans="1:9" ht="15.75">
      <c r="A110" s="118" t="s">
        <v>62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15.75">
      <c r="A111" s="11"/>
    </row>
    <row r="112" spans="1:9" ht="15.75">
      <c r="A112" s="119" t="s">
        <v>9</v>
      </c>
      <c r="B112" s="119"/>
      <c r="C112" s="119"/>
      <c r="D112" s="119"/>
      <c r="E112" s="119"/>
      <c r="F112" s="119"/>
      <c r="G112" s="119"/>
      <c r="H112" s="119"/>
      <c r="I112" s="119"/>
    </row>
    <row r="113" spans="1:9" ht="15.75">
      <c r="A113" s="4"/>
    </row>
    <row r="114" spans="1:9" ht="15.75">
      <c r="B114" s="71" t="s">
        <v>10</v>
      </c>
      <c r="C114" s="120" t="s">
        <v>94</v>
      </c>
      <c r="D114" s="120"/>
      <c r="E114" s="120"/>
      <c r="F114" s="120"/>
      <c r="I114" s="69"/>
    </row>
    <row r="115" spans="1:9">
      <c r="A115" s="70"/>
      <c r="C115" s="121" t="s">
        <v>11</v>
      </c>
      <c r="D115" s="121"/>
      <c r="E115" s="121"/>
      <c r="F115" s="121"/>
      <c r="I115" s="68" t="s">
        <v>12</v>
      </c>
    </row>
    <row r="116" spans="1:9" ht="15.75">
      <c r="A116" s="28"/>
      <c r="C116" s="12"/>
      <c r="D116" s="12"/>
      <c r="E116" s="12"/>
      <c r="G116" s="12"/>
      <c r="H116" s="12"/>
    </row>
    <row r="117" spans="1:9" ht="15.75">
      <c r="B117" s="71" t="s">
        <v>13</v>
      </c>
      <c r="C117" s="115"/>
      <c r="D117" s="115"/>
      <c r="E117" s="115"/>
      <c r="F117" s="115"/>
      <c r="I117" s="69"/>
    </row>
    <row r="118" spans="1:9">
      <c r="A118" s="70"/>
      <c r="C118" s="116" t="s">
        <v>11</v>
      </c>
      <c r="D118" s="116"/>
      <c r="E118" s="116"/>
      <c r="F118" s="116"/>
      <c r="I118" s="68" t="s">
        <v>12</v>
      </c>
    </row>
    <row r="119" spans="1:9" ht="15.75">
      <c r="A119" s="4" t="s">
        <v>14</v>
      </c>
    </row>
    <row r="120" spans="1:9">
      <c r="A120" s="117" t="s">
        <v>15</v>
      </c>
      <c r="B120" s="117"/>
      <c r="C120" s="117"/>
      <c r="D120" s="117"/>
      <c r="E120" s="117"/>
      <c r="F120" s="117"/>
      <c r="G120" s="117"/>
      <c r="H120" s="117"/>
      <c r="I120" s="117"/>
    </row>
    <row r="121" spans="1:9" ht="45" customHeight="1">
      <c r="A121" s="114" t="s">
        <v>16</v>
      </c>
      <c r="B121" s="114"/>
      <c r="C121" s="114"/>
      <c r="D121" s="114"/>
      <c r="E121" s="114"/>
      <c r="F121" s="114"/>
      <c r="G121" s="114"/>
      <c r="H121" s="114"/>
      <c r="I121" s="114"/>
    </row>
    <row r="122" spans="1:9" ht="30" customHeight="1">
      <c r="A122" s="114" t="s">
        <v>17</v>
      </c>
      <c r="B122" s="114"/>
      <c r="C122" s="114"/>
      <c r="D122" s="114"/>
      <c r="E122" s="114"/>
      <c r="F122" s="114"/>
      <c r="G122" s="114"/>
      <c r="H122" s="114"/>
      <c r="I122" s="114"/>
    </row>
    <row r="123" spans="1:9" ht="30" customHeight="1">
      <c r="A123" s="114" t="s">
        <v>21</v>
      </c>
      <c r="B123" s="114"/>
      <c r="C123" s="114"/>
      <c r="D123" s="114"/>
      <c r="E123" s="114"/>
      <c r="F123" s="114"/>
      <c r="G123" s="114"/>
      <c r="H123" s="114"/>
      <c r="I123" s="114"/>
    </row>
    <row r="124" spans="1:9" ht="15" customHeight="1">
      <c r="A124" s="114" t="s">
        <v>20</v>
      </c>
      <c r="B124" s="114"/>
      <c r="C124" s="114"/>
      <c r="D124" s="114"/>
      <c r="E124" s="114"/>
      <c r="F124" s="114"/>
      <c r="G124" s="114"/>
      <c r="H124" s="114"/>
      <c r="I124" s="114"/>
    </row>
  </sheetData>
  <autoFilter ref="I12:I65"/>
  <mergeCells count="29">
    <mergeCell ref="A120:I120"/>
    <mergeCell ref="A121:I121"/>
    <mergeCell ref="A122:I122"/>
    <mergeCell ref="A123:I123"/>
    <mergeCell ref="A124:I124"/>
    <mergeCell ref="R70:U70"/>
    <mergeCell ref="C118:F118"/>
    <mergeCell ref="A97:I97"/>
    <mergeCell ref="A104:I104"/>
    <mergeCell ref="B105:G105"/>
    <mergeCell ref="B106:G106"/>
    <mergeCell ref="A108:I108"/>
    <mergeCell ref="A109:I109"/>
    <mergeCell ref="A110:I110"/>
    <mergeCell ref="A112:I112"/>
    <mergeCell ref="C114:F114"/>
    <mergeCell ref="C115:F115"/>
    <mergeCell ref="C117:F117"/>
    <mergeCell ref="A93:I9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177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178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3">
        <v>42855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hidden="1" customHeight="1">
      <c r="A19" s="32"/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v>0</v>
      </c>
      <c r="J19" s="25"/>
      <c r="K19" s="8"/>
      <c r="L19" s="8"/>
      <c r="M19" s="8"/>
    </row>
    <row r="20" spans="1:13" ht="15.75" hidden="1" customHeight="1">
      <c r="A20" s="32">
        <v>4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v>0</v>
      </c>
      <c r="J20" s="25"/>
      <c r="K20" s="8"/>
      <c r="L20" s="8"/>
      <c r="M20" s="8"/>
    </row>
    <row r="21" spans="1:13" ht="15.75" hidden="1" customHeight="1">
      <c r="A21" s="32">
        <v>5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v>0</v>
      </c>
      <c r="J21" s="25"/>
      <c r="K21" s="8"/>
      <c r="L21" s="8"/>
      <c r="M21" s="8"/>
    </row>
    <row r="22" spans="1:13" ht="15.75" hidden="1" customHeight="1">
      <c r="A22" s="32"/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v>0</v>
      </c>
      <c r="J22" s="25"/>
      <c r="K22" s="8"/>
      <c r="L22" s="8"/>
      <c r="M22" s="8"/>
    </row>
    <row r="23" spans="1:13" ht="15.75" hidden="1" customHeight="1">
      <c r="A23" s="32"/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v>0</v>
      </c>
      <c r="J23" s="25"/>
      <c r="K23" s="8"/>
      <c r="L23" s="8"/>
      <c r="M23" s="8"/>
    </row>
    <row r="24" spans="1:13" ht="15.75" hidden="1" customHeight="1">
      <c r="A24" s="32"/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v>0</v>
      </c>
      <c r="J24" s="25"/>
      <c r="K24" s="8"/>
      <c r="L24" s="8"/>
      <c r="M24" s="8"/>
    </row>
    <row r="25" spans="1:13" ht="15.75" hidden="1" customHeight="1">
      <c r="A25" s="43">
        <v>6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v>0</v>
      </c>
      <c r="J25" s="25"/>
      <c r="K25" s="8"/>
      <c r="L25" s="8"/>
      <c r="M25" s="8"/>
    </row>
    <row r="26" spans="1:13" ht="15.75" hidden="1" customHeight="1">
      <c r="A26" s="43"/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v>0</v>
      </c>
      <c r="J26" s="25"/>
      <c r="K26" s="8"/>
      <c r="L26" s="8"/>
      <c r="M26" s="8"/>
    </row>
    <row r="27" spans="1:13" ht="15.75" customHeight="1">
      <c r="A27" s="43">
        <v>4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43">
        <v>5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hidden="1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hidden="1" customHeight="1">
      <c r="A31" s="43">
        <v>2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1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hidden="1" customHeight="1">
      <c r="A32" s="43">
        <v>3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1"/>
        <v>0.85848703199999998</v>
      </c>
      <c r="I32" s="14">
        <f t="shared" ref="I32:I35" si="2">F32/6*G32</f>
        <v>143.08117200000001</v>
      </c>
      <c r="J32" s="25"/>
      <c r="K32" s="8"/>
      <c r="L32" s="8"/>
      <c r="M32" s="8"/>
    </row>
    <row r="33" spans="1:14" ht="15.75" hidden="1" customHeight="1">
      <c r="A33" s="43">
        <v>4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1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hidden="1" customHeight="1">
      <c r="A34" s="43"/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1"/>
        <v>7.5336975000000015</v>
      </c>
      <c r="I34" s="14">
        <f t="shared" si="2"/>
        <v>1255.61625</v>
      </c>
      <c r="J34" s="25"/>
      <c r="K34" s="8"/>
    </row>
    <row r="35" spans="1:14" ht="15.75" hidden="1" customHeight="1">
      <c r="A35" s="43">
        <v>5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1"/>
        <v>3.6445666666666665</v>
      </c>
      <c r="I35" s="14">
        <f t="shared" si="2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1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1"/>
        <v>2.8279200000000002</v>
      </c>
      <c r="I37" s="14">
        <v>0</v>
      </c>
      <c r="J37" s="26"/>
    </row>
    <row r="38" spans="1:14" ht="15.75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3">SUM(F39*G39/1000)</f>
        <v>3.8007399999999998</v>
      </c>
      <c r="I39" s="14">
        <f t="shared" ref="I39:I44" si="4">F39/6*G39</f>
        <v>633.45666666666659</v>
      </c>
      <c r="J39" s="26"/>
    </row>
    <row r="40" spans="1:14" ht="15.75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3"/>
        <v>2.6845187400000001</v>
      </c>
      <c r="I40" s="14">
        <f t="shared" si="4"/>
        <v>447.41978999999998</v>
      </c>
      <c r="J40" s="26"/>
    </row>
    <row r="41" spans="1:14" ht="15.75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3"/>
        <v>2.3136214500000003</v>
      </c>
      <c r="I41" s="14">
        <f t="shared" si="4"/>
        <v>385.60357500000003</v>
      </c>
      <c r="J41" s="26"/>
    </row>
    <row r="42" spans="1:14" ht="47.25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3"/>
        <v>8.6437883699999993</v>
      </c>
      <c r="I42" s="14">
        <f t="shared" si="4"/>
        <v>1440.6313950000001</v>
      </c>
      <c r="J42" s="26"/>
      <c r="L42" s="22"/>
      <c r="M42" s="23"/>
      <c r="N42" s="24"/>
    </row>
    <row r="43" spans="1:14" ht="15.75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3"/>
        <v>0.36487980000000003</v>
      </c>
      <c r="I43" s="14">
        <f>F43/2*G43</f>
        <v>182.43990000000002</v>
      </c>
      <c r="J43" s="26"/>
      <c r="L43" s="22"/>
      <c r="M43" s="23"/>
      <c r="N43" s="24"/>
    </row>
    <row r="44" spans="1:14" ht="15.75" customHeight="1">
      <c r="A44" s="36">
        <v>11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3"/>
        <v>0.49648500000000001</v>
      </c>
      <c r="I44" s="14">
        <f t="shared" si="4"/>
        <v>82.747500000000002</v>
      </c>
      <c r="J44" s="26"/>
      <c r="L44" s="22"/>
      <c r="M44" s="23"/>
      <c r="N44" s="24"/>
    </row>
    <row r="45" spans="1:14" ht="15.75" hidden="1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hidden="1" customHeight="1">
      <c r="A46" s="43">
        <v>15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5">SUM(F46*G46/1000)</f>
        <v>2.6521417440000006</v>
      </c>
      <c r="I46" s="14">
        <v>0</v>
      </c>
      <c r="J46" s="26"/>
      <c r="L46" s="22"/>
      <c r="M46" s="23"/>
      <c r="N46" s="24"/>
    </row>
    <row r="47" spans="1:14" ht="15.75" hidden="1" customHeight="1">
      <c r="A47" s="43"/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5"/>
        <v>2.8553184000000002E-2</v>
      </c>
      <c r="I47" s="14">
        <v>0</v>
      </c>
      <c r="J47" s="26"/>
      <c r="L47" s="22"/>
      <c r="M47" s="23"/>
      <c r="N47" s="24"/>
    </row>
    <row r="48" spans="1:14" ht="15.75" hidden="1" customHeight="1">
      <c r="A48" s="43">
        <v>16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5"/>
        <v>2.2617645503999997</v>
      </c>
      <c r="I48" s="14">
        <v>0</v>
      </c>
      <c r="J48" s="26"/>
      <c r="L48" s="22"/>
      <c r="M48" s="23"/>
      <c r="N48" s="24"/>
    </row>
    <row r="49" spans="1:14" ht="15.75" hidden="1" customHeight="1">
      <c r="A49" s="43">
        <v>17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5"/>
        <v>2.7280312466000001</v>
      </c>
      <c r="I49" s="14">
        <v>0</v>
      </c>
      <c r="J49" s="26"/>
      <c r="L49" s="22"/>
      <c r="M49" s="23"/>
      <c r="N49" s="24"/>
    </row>
    <row r="50" spans="1:14" ht="15.75" hidden="1" customHeight="1">
      <c r="A50" s="43">
        <v>18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5"/>
        <v>3.1061108E-2</v>
      </c>
      <c r="I50" s="14">
        <v>0</v>
      </c>
      <c r="J50" s="26"/>
      <c r="L50" s="22"/>
      <c r="M50" s="23"/>
      <c r="N50" s="24"/>
    </row>
    <row r="51" spans="1:14" ht="15.75" hidden="1" customHeight="1">
      <c r="A51" s="43">
        <v>12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5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hidden="1" customHeight="1">
      <c r="A52" s="43">
        <v>13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5"/>
        <v>2.48555876</v>
      </c>
      <c r="I52" s="14">
        <v>0</v>
      </c>
      <c r="J52" s="26"/>
      <c r="L52" s="22"/>
      <c r="M52" s="23"/>
      <c r="N52" s="24"/>
    </row>
    <row r="53" spans="1:14" ht="31.5" hidden="1" customHeight="1">
      <c r="A53" s="43">
        <v>14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5"/>
        <v>0.69307200000000002</v>
      </c>
      <c r="I53" s="14">
        <v>0</v>
      </c>
      <c r="J53" s="26"/>
      <c r="L53" s="22"/>
      <c r="M53" s="23"/>
      <c r="N53" s="24"/>
    </row>
    <row r="54" spans="1:14" ht="15.75" hidden="1" customHeight="1">
      <c r="A54" s="43">
        <v>15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5"/>
        <v>0.1406626</v>
      </c>
      <c r="I54" s="14">
        <v>0</v>
      </c>
      <c r="J54" s="26"/>
      <c r="L54" s="22"/>
      <c r="M54" s="23"/>
      <c r="N54" s="24"/>
    </row>
    <row r="55" spans="1:14" ht="15.75" hidden="1" customHeight="1">
      <c r="A55" s="43">
        <v>13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5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hidden="1" customHeight="1">
      <c r="A56" s="43">
        <v>14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5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customHeight="1">
      <c r="A57" s="125" t="s">
        <v>171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customHeight="1">
      <c r="A58" s="55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customHeight="1">
      <c r="A59" s="43">
        <v>12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customHeight="1">
      <c r="A60" s="43">
        <v>13</v>
      </c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f>G60</f>
        <v>1501</v>
      </c>
      <c r="J60" s="26"/>
      <c r="L60" s="22"/>
      <c r="M60" s="23"/>
      <c r="N60" s="24"/>
    </row>
    <row r="61" spans="1:14" ht="15.75" hidden="1" customHeight="1">
      <c r="A61" s="43"/>
      <c r="B61" s="72" t="s">
        <v>44</v>
      </c>
      <c r="C61" s="72"/>
      <c r="D61" s="72"/>
      <c r="E61" s="72"/>
      <c r="F61" s="72"/>
      <c r="G61" s="72"/>
      <c r="H61" s="72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hidden="1" customHeight="1">
      <c r="A63" s="43"/>
      <c r="B63" s="72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hidden="1" customHeight="1">
      <c r="A64" s="43">
        <v>17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6">SUM(F64*G64/1000)</f>
        <v>2.7674000000000003</v>
      </c>
      <c r="I64" s="14">
        <v>0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6"/>
        <v>0.28467000000000003</v>
      </c>
      <c r="I65" s="14">
        <v>0</v>
      </c>
    </row>
    <row r="66" spans="1:22" ht="15.75" hidden="1" customHeight="1">
      <c r="A66" s="32">
        <v>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6"/>
        <v>19.820369200000002</v>
      </c>
      <c r="I66" s="14">
        <v>0</v>
      </c>
    </row>
    <row r="67" spans="1:22" ht="15.75" hidden="1" customHeight="1">
      <c r="A67" s="32">
        <v>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6"/>
        <v>1.54341956</v>
      </c>
      <c r="I67" s="14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2">
        <v>10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6"/>
        <v>28.138677000000005</v>
      </c>
      <c r="I68" s="14">
        <v>0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2">
        <v>11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6"/>
        <v>0.35113000000000005</v>
      </c>
      <c r="I69" s="14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2">
        <v>12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6"/>
        <v>0.327598</v>
      </c>
      <c r="I70" s="14">
        <v>0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hidden="1" customHeight="1">
      <c r="A71" s="32">
        <v>13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6"/>
        <v>0.18621000000000001</v>
      </c>
      <c r="I71" s="14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7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7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7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7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7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8">SUM(F79*G79/1000)</f>
        <v>4.6354679999999995</v>
      </c>
      <c r="I79" s="14">
        <v>0</v>
      </c>
    </row>
    <row r="80" spans="1:22" ht="15.75" hidden="1" customHeight="1">
      <c r="A80" s="32"/>
      <c r="B80" s="72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9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9"/>
        <v>1.4681999999999997</v>
      </c>
      <c r="I82" s="14">
        <v>0</v>
      </c>
    </row>
    <row r="83" spans="1:9" ht="15.75" hidden="1" customHeight="1">
      <c r="A83" s="32"/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9"/>
        <v>3.19041</v>
      </c>
      <c r="I83" s="14">
        <v>0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9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9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9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9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9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9"/>
        <v>7.5860399999999988</v>
      </c>
      <c r="I89" s="14">
        <v>0</v>
      </c>
    </row>
    <row r="90" spans="1:9" ht="15.75" hidden="1" customHeight="1">
      <c r="A90" s="32"/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9"/>
        <v>2.8108906600000001</v>
      </c>
      <c r="I90" s="14">
        <v>0</v>
      </c>
    </row>
    <row r="91" spans="1:9" ht="15.75" hidden="1" customHeight="1">
      <c r="A91" s="55"/>
      <c r="B91" s="72" t="s">
        <v>132</v>
      </c>
      <c r="C91" s="72"/>
      <c r="D91" s="72"/>
      <c r="E91" s="72"/>
      <c r="F91" s="72"/>
      <c r="G91" s="72"/>
      <c r="H91" s="72"/>
      <c r="I91" s="21"/>
    </row>
    <row r="92" spans="1:9" ht="15.75" hidden="1" customHeight="1">
      <c r="A92" s="32">
        <v>15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f>G92</f>
        <v>14087.8</v>
      </c>
    </row>
    <row r="93" spans="1:9" ht="15.75" customHeight="1">
      <c r="A93" s="133" t="s">
        <v>172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14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15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55"/>
      <c r="B96" s="42" t="s">
        <v>82</v>
      </c>
      <c r="C96" s="43"/>
      <c r="D96" s="17"/>
      <c r="E96" s="17"/>
      <c r="F96" s="17"/>
      <c r="G96" s="21"/>
      <c r="H96" s="21"/>
      <c r="I96" s="35">
        <f>SUM(I16+I17+I18+I27+I28+I39+I40+I41+I42+I43+I44+I59+I60+I94+I95)</f>
        <v>32837.836835333343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15.75" customHeight="1">
      <c r="A98" s="32">
        <v>16</v>
      </c>
      <c r="B98" s="54" t="s">
        <v>166</v>
      </c>
      <c r="C98" s="18" t="s">
        <v>86</v>
      </c>
      <c r="D98" s="54"/>
      <c r="E98" s="14"/>
      <c r="F98" s="14">
        <v>2</v>
      </c>
      <c r="G98" s="14">
        <v>195.85</v>
      </c>
      <c r="H98" s="99">
        <v>0.39</v>
      </c>
      <c r="I98" s="14">
        <f>G98</f>
        <v>195.85</v>
      </c>
    </row>
    <row r="99" spans="1:9" ht="31.5" customHeight="1">
      <c r="A99" s="32">
        <v>17</v>
      </c>
      <c r="B99" s="67" t="s">
        <v>179</v>
      </c>
      <c r="C99" s="102" t="s">
        <v>83</v>
      </c>
      <c r="D99" s="54"/>
      <c r="E99" s="39"/>
      <c r="F99" s="39">
        <v>5</v>
      </c>
      <c r="G99" s="39">
        <v>1187</v>
      </c>
      <c r="H99" s="104">
        <f t="shared" ref="H99:H102" si="10">G99*F99/1000</f>
        <v>5.9349999999999996</v>
      </c>
      <c r="I99" s="14">
        <f>G99</f>
        <v>1187</v>
      </c>
    </row>
    <row r="100" spans="1:9" ht="15.75" customHeight="1">
      <c r="A100" s="32">
        <v>18</v>
      </c>
      <c r="B100" s="67" t="s">
        <v>180</v>
      </c>
      <c r="C100" s="102" t="s">
        <v>181</v>
      </c>
      <c r="D100" s="66"/>
      <c r="E100" s="39"/>
      <c r="F100" s="39">
        <v>1.5</v>
      </c>
      <c r="G100" s="39">
        <v>3300.56</v>
      </c>
      <c r="H100" s="104">
        <f t="shared" si="10"/>
        <v>4.9508400000000004</v>
      </c>
      <c r="I100" s="14">
        <f>G100*1.5</f>
        <v>4950.84</v>
      </c>
    </row>
    <row r="101" spans="1:9" ht="15.75" customHeight="1">
      <c r="A101" s="32">
        <v>19</v>
      </c>
      <c r="B101" s="105" t="s">
        <v>182</v>
      </c>
      <c r="C101" s="43" t="s">
        <v>96</v>
      </c>
      <c r="D101" s="66"/>
      <c r="E101" s="39"/>
      <c r="F101" s="39">
        <f>1/10</f>
        <v>0.1</v>
      </c>
      <c r="G101" s="39">
        <v>381.08</v>
      </c>
      <c r="H101" s="104">
        <f t="shared" si="10"/>
        <v>3.8107999999999996E-2</v>
      </c>
      <c r="I101" s="14">
        <f>G101*(1/10)</f>
        <v>38.107999999999997</v>
      </c>
    </row>
    <row r="102" spans="1:9" ht="15.75" customHeight="1">
      <c r="A102" s="32">
        <v>20</v>
      </c>
      <c r="B102" s="106" t="s">
        <v>183</v>
      </c>
      <c r="C102" s="107" t="s">
        <v>53</v>
      </c>
      <c r="D102" s="66"/>
      <c r="E102" s="39"/>
      <c r="F102" s="39">
        <f>1/100</f>
        <v>0.01</v>
      </c>
      <c r="G102" s="39">
        <v>51118.77</v>
      </c>
      <c r="H102" s="104">
        <f t="shared" si="10"/>
        <v>0.51118770000000002</v>
      </c>
      <c r="I102" s="14">
        <f>G102*(1/100)</f>
        <v>511.18770000000001</v>
      </c>
    </row>
    <row r="103" spans="1:9" ht="15.75" customHeight="1">
      <c r="A103" s="32"/>
      <c r="B103" s="48" t="s">
        <v>52</v>
      </c>
      <c r="C103" s="44"/>
      <c r="D103" s="56"/>
      <c r="E103" s="56"/>
      <c r="F103" s="44">
        <v>1</v>
      </c>
      <c r="G103" s="44"/>
      <c r="H103" s="44"/>
      <c r="I103" s="35">
        <f>SUM(I98:I102)</f>
        <v>6882.9857000000011</v>
      </c>
    </row>
    <row r="104" spans="1:9" ht="15.75" customHeight="1">
      <c r="A104" s="32"/>
      <c r="B104" s="54" t="s">
        <v>80</v>
      </c>
      <c r="C104" s="17"/>
      <c r="D104" s="17"/>
      <c r="E104" s="17"/>
      <c r="F104" s="45"/>
      <c r="G104" s="46"/>
      <c r="H104" s="46"/>
      <c r="I104" s="20">
        <v>0</v>
      </c>
    </row>
    <row r="105" spans="1:9" ht="15.75" customHeight="1">
      <c r="A105" s="57"/>
      <c r="B105" s="49" t="s">
        <v>162</v>
      </c>
      <c r="C105" s="37"/>
      <c r="D105" s="37"/>
      <c r="E105" s="37"/>
      <c r="F105" s="37"/>
      <c r="G105" s="37"/>
      <c r="H105" s="37"/>
      <c r="I105" s="47">
        <f>I96+I103</f>
        <v>39720.82253533334</v>
      </c>
    </row>
    <row r="106" spans="1:9" ht="15.75">
      <c r="A106" s="122" t="s">
        <v>227</v>
      </c>
      <c r="B106" s="122"/>
      <c r="C106" s="122"/>
      <c r="D106" s="122"/>
      <c r="E106" s="122"/>
      <c r="F106" s="122"/>
      <c r="G106" s="122"/>
      <c r="H106" s="122"/>
      <c r="I106" s="122"/>
    </row>
    <row r="107" spans="1:9" ht="15.75">
      <c r="A107" s="74"/>
      <c r="B107" s="123" t="s">
        <v>228</v>
      </c>
      <c r="C107" s="123"/>
      <c r="D107" s="123"/>
      <c r="E107" s="123"/>
      <c r="F107" s="123"/>
      <c r="G107" s="123"/>
      <c r="H107" s="81"/>
      <c r="I107" s="3"/>
    </row>
    <row r="108" spans="1:9">
      <c r="A108" s="70"/>
      <c r="B108" s="121" t="s">
        <v>6</v>
      </c>
      <c r="C108" s="121"/>
      <c r="D108" s="121"/>
      <c r="E108" s="121"/>
      <c r="F108" s="121"/>
      <c r="G108" s="121"/>
      <c r="H108" s="27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24" t="s">
        <v>7</v>
      </c>
      <c r="B110" s="124"/>
      <c r="C110" s="124"/>
      <c r="D110" s="124"/>
      <c r="E110" s="124"/>
      <c r="F110" s="124"/>
      <c r="G110" s="124"/>
      <c r="H110" s="124"/>
      <c r="I110" s="124"/>
    </row>
    <row r="111" spans="1:9" ht="15.75">
      <c r="A111" s="124" t="s">
        <v>8</v>
      </c>
      <c r="B111" s="124"/>
      <c r="C111" s="124"/>
      <c r="D111" s="124"/>
      <c r="E111" s="124"/>
      <c r="F111" s="124"/>
      <c r="G111" s="124"/>
      <c r="H111" s="124"/>
      <c r="I111" s="124"/>
    </row>
    <row r="112" spans="1:9" ht="15.75">
      <c r="A112" s="118" t="s">
        <v>62</v>
      </c>
      <c r="B112" s="118"/>
      <c r="C112" s="118"/>
      <c r="D112" s="118"/>
      <c r="E112" s="118"/>
      <c r="F112" s="118"/>
      <c r="G112" s="118"/>
      <c r="H112" s="118"/>
      <c r="I112" s="118"/>
    </row>
    <row r="113" spans="1:9" ht="15.75">
      <c r="A113" s="11"/>
    </row>
    <row r="114" spans="1:9" ht="15.75">
      <c r="A114" s="119" t="s">
        <v>9</v>
      </c>
      <c r="B114" s="119"/>
      <c r="C114" s="119"/>
      <c r="D114" s="119"/>
      <c r="E114" s="119"/>
      <c r="F114" s="119"/>
      <c r="G114" s="119"/>
      <c r="H114" s="119"/>
      <c r="I114" s="119"/>
    </row>
    <row r="115" spans="1:9" ht="15.75">
      <c r="A115" s="4"/>
    </row>
    <row r="116" spans="1:9" ht="15.75">
      <c r="B116" s="71" t="s">
        <v>10</v>
      </c>
      <c r="C116" s="120" t="s">
        <v>94</v>
      </c>
      <c r="D116" s="120"/>
      <c r="E116" s="120"/>
      <c r="F116" s="120"/>
      <c r="I116" s="69"/>
    </row>
    <row r="117" spans="1:9">
      <c r="A117" s="70"/>
      <c r="C117" s="121" t="s">
        <v>11</v>
      </c>
      <c r="D117" s="121"/>
      <c r="E117" s="121"/>
      <c r="F117" s="121"/>
      <c r="I117" s="68" t="s">
        <v>12</v>
      </c>
    </row>
    <row r="118" spans="1:9" ht="15.75">
      <c r="A118" s="28"/>
      <c r="C118" s="12"/>
      <c r="D118" s="12"/>
      <c r="E118" s="12"/>
      <c r="G118" s="12"/>
      <c r="H118" s="12"/>
    </row>
    <row r="119" spans="1:9" ht="15.75">
      <c r="B119" s="71" t="s">
        <v>13</v>
      </c>
      <c r="C119" s="115"/>
      <c r="D119" s="115"/>
      <c r="E119" s="115"/>
      <c r="F119" s="115"/>
      <c r="I119" s="69"/>
    </row>
    <row r="120" spans="1:9">
      <c r="A120" s="70"/>
      <c r="C120" s="116" t="s">
        <v>11</v>
      </c>
      <c r="D120" s="116"/>
      <c r="E120" s="116"/>
      <c r="F120" s="116"/>
      <c r="I120" s="68" t="s">
        <v>12</v>
      </c>
    </row>
    <row r="121" spans="1:9" ht="15.75">
      <c r="A121" s="4" t="s">
        <v>14</v>
      </c>
    </row>
    <row r="122" spans="1:9">
      <c r="A122" s="117" t="s">
        <v>15</v>
      </c>
      <c r="B122" s="117"/>
      <c r="C122" s="117"/>
      <c r="D122" s="117"/>
      <c r="E122" s="117"/>
      <c r="F122" s="117"/>
      <c r="G122" s="117"/>
      <c r="H122" s="117"/>
      <c r="I122" s="117"/>
    </row>
    <row r="123" spans="1:9" ht="45" customHeight="1">
      <c r="A123" s="114" t="s">
        <v>16</v>
      </c>
      <c r="B123" s="114"/>
      <c r="C123" s="114"/>
      <c r="D123" s="114"/>
      <c r="E123" s="114"/>
      <c r="F123" s="114"/>
      <c r="G123" s="114"/>
      <c r="H123" s="114"/>
      <c r="I123" s="114"/>
    </row>
    <row r="124" spans="1:9" ht="30" customHeight="1">
      <c r="A124" s="114" t="s">
        <v>17</v>
      </c>
      <c r="B124" s="114"/>
      <c r="C124" s="114"/>
      <c r="D124" s="114"/>
      <c r="E124" s="114"/>
      <c r="F124" s="114"/>
      <c r="G124" s="114"/>
      <c r="H124" s="114"/>
      <c r="I124" s="114"/>
    </row>
    <row r="125" spans="1:9" ht="30" customHeight="1">
      <c r="A125" s="114" t="s">
        <v>21</v>
      </c>
      <c r="B125" s="114"/>
      <c r="C125" s="114"/>
      <c r="D125" s="114"/>
      <c r="E125" s="114"/>
      <c r="F125" s="114"/>
      <c r="G125" s="114"/>
      <c r="H125" s="114"/>
      <c r="I125" s="114"/>
    </row>
    <row r="126" spans="1:9" ht="15" customHeight="1">
      <c r="A126" s="114" t="s">
        <v>20</v>
      </c>
      <c r="B126" s="114"/>
      <c r="C126" s="114"/>
      <c r="D126" s="114"/>
      <c r="E126" s="114"/>
      <c r="F126" s="114"/>
      <c r="G126" s="114"/>
      <c r="H126" s="114"/>
      <c r="I126" s="114"/>
    </row>
  </sheetData>
  <autoFilter ref="I12:I65"/>
  <mergeCells count="29">
    <mergeCell ref="A122:I122"/>
    <mergeCell ref="A123:I123"/>
    <mergeCell ref="A124:I124"/>
    <mergeCell ref="A125:I125"/>
    <mergeCell ref="A126:I126"/>
    <mergeCell ref="R70:U70"/>
    <mergeCell ref="C120:F120"/>
    <mergeCell ref="A97:I97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C119:F119"/>
    <mergeCell ref="A93:I9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185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186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3">
        <v>42886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customHeight="1">
      <c r="A19" s="32">
        <v>4</v>
      </c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f>F19/2*G19</f>
        <v>161.9811</v>
      </c>
      <c r="J19" s="25"/>
      <c r="K19" s="8"/>
      <c r="L19" s="8"/>
      <c r="M19" s="8"/>
    </row>
    <row r="20" spans="1:13" ht="15.75" customHeight="1">
      <c r="A20" s="32">
        <v>5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f>F20*G20</f>
        <v>24.247</v>
      </c>
      <c r="J20" s="25"/>
      <c r="K20" s="8"/>
      <c r="L20" s="8"/>
      <c r="M20" s="8"/>
    </row>
    <row r="21" spans="1:13" ht="15.75" customHeight="1">
      <c r="A21" s="32">
        <v>6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f>F21/2*G21</f>
        <v>319.162464</v>
      </c>
      <c r="J21" s="25"/>
      <c r="K21" s="8"/>
      <c r="L21" s="8"/>
      <c r="M21" s="8"/>
    </row>
    <row r="22" spans="1:13" ht="15.75" customHeight="1">
      <c r="A22" s="32">
        <v>7</v>
      </c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f>F22/2*G22</f>
        <v>140.05353599999998</v>
      </c>
      <c r="J22" s="25"/>
      <c r="K22" s="8"/>
      <c r="L22" s="8"/>
      <c r="M22" s="8"/>
    </row>
    <row r="23" spans="1:13" ht="15.75" customHeight="1">
      <c r="A23" s="32">
        <v>8</v>
      </c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f>F23*G23</f>
        <v>720.35749999999996</v>
      </c>
      <c r="J23" s="25"/>
      <c r="K23" s="8"/>
      <c r="L23" s="8"/>
      <c r="M23" s="8"/>
    </row>
    <row r="24" spans="1:13" ht="15.75" customHeight="1">
      <c r="A24" s="32">
        <v>9</v>
      </c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f t="shared" ref="I24:I26" si="1">F24*G24</f>
        <v>9.7196400000000001</v>
      </c>
      <c r="J24" s="25"/>
      <c r="K24" s="8"/>
      <c r="L24" s="8"/>
      <c r="M24" s="8"/>
    </row>
    <row r="25" spans="1:13" ht="15.75" customHeight="1">
      <c r="A25" s="32">
        <v>10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f t="shared" si="1"/>
        <v>93.319200000000009</v>
      </c>
      <c r="J25" s="25"/>
      <c r="K25" s="8"/>
      <c r="L25" s="8"/>
      <c r="M25" s="8"/>
    </row>
    <row r="26" spans="1:13" ht="15.75" customHeight="1">
      <c r="A26" s="32">
        <v>11</v>
      </c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f t="shared" si="1"/>
        <v>24.2028</v>
      </c>
      <c r="J26" s="25"/>
      <c r="K26" s="8"/>
      <c r="L26" s="8"/>
      <c r="M26" s="8"/>
    </row>
    <row r="27" spans="1:13" ht="15.75" customHeight="1">
      <c r="A27" s="32">
        <v>12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32">
        <v>13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customHeight="1">
      <c r="A31" s="43">
        <v>14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2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customHeight="1">
      <c r="A32" s="43">
        <v>15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2"/>
        <v>0.85848703199999998</v>
      </c>
      <c r="I32" s="14">
        <f t="shared" ref="I32:I35" si="3">F32/6*G32</f>
        <v>143.08117200000001</v>
      </c>
      <c r="J32" s="25"/>
      <c r="K32" s="8"/>
      <c r="L32" s="8"/>
      <c r="M32" s="8"/>
    </row>
    <row r="33" spans="1:14" ht="15.75" customHeight="1">
      <c r="A33" s="43">
        <v>16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2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customHeight="1">
      <c r="A34" s="43">
        <v>17</v>
      </c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2"/>
        <v>7.5336975000000015</v>
      </c>
      <c r="I34" s="14">
        <f t="shared" si="3"/>
        <v>1255.61625</v>
      </c>
      <c r="J34" s="25"/>
      <c r="K34" s="8"/>
    </row>
    <row r="35" spans="1:14" ht="15.75" customHeight="1">
      <c r="A35" s="43">
        <v>18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2"/>
        <v>3.6445666666666665</v>
      </c>
      <c r="I35" s="14">
        <f t="shared" si="3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2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2"/>
        <v>2.8279200000000002</v>
      </c>
      <c r="I37" s="14">
        <v>0</v>
      </c>
      <c r="J37" s="26"/>
    </row>
    <row r="38" spans="1:14" ht="15.75" hidden="1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hidden="1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4">SUM(F39*G39/1000)</f>
        <v>3.8007399999999998</v>
      </c>
      <c r="I39" s="14">
        <f t="shared" ref="I39:I44" si="5">F39/6*G39</f>
        <v>633.45666666666659</v>
      </c>
      <c r="J39" s="26"/>
    </row>
    <row r="40" spans="1:14" ht="15.75" hidden="1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4"/>
        <v>2.6845187400000001</v>
      </c>
      <c r="I40" s="14">
        <f t="shared" si="5"/>
        <v>447.41978999999998</v>
      </c>
      <c r="J40" s="26"/>
    </row>
    <row r="41" spans="1:14" ht="15.75" hidden="1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4"/>
        <v>2.3136214500000003</v>
      </c>
      <c r="I41" s="14">
        <f t="shared" si="5"/>
        <v>385.60357500000003</v>
      </c>
      <c r="J41" s="26"/>
    </row>
    <row r="42" spans="1:14" ht="47.25" hidden="1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4"/>
        <v>8.6437883699999993</v>
      </c>
      <c r="I42" s="14">
        <f t="shared" si="5"/>
        <v>1440.6313950000001</v>
      </c>
      <c r="J42" s="26"/>
      <c r="L42" s="22"/>
      <c r="M42" s="23"/>
      <c r="N42" s="24"/>
    </row>
    <row r="43" spans="1:14" ht="15.75" hidden="1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4"/>
        <v>0.36487980000000003</v>
      </c>
      <c r="I43" s="14">
        <f t="shared" si="5"/>
        <v>60.813300000000005</v>
      </c>
      <c r="J43" s="26"/>
      <c r="L43" s="22"/>
      <c r="M43" s="23"/>
      <c r="N43" s="24"/>
    </row>
    <row r="44" spans="1:14" ht="15.75" hidden="1" customHeight="1">
      <c r="A44" s="36">
        <v>11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4"/>
        <v>0.49648500000000001</v>
      </c>
      <c r="I44" s="14">
        <f t="shared" si="5"/>
        <v>82.747500000000002</v>
      </c>
      <c r="J44" s="26"/>
      <c r="L44" s="22"/>
      <c r="M44" s="23"/>
      <c r="N44" s="24"/>
    </row>
    <row r="45" spans="1:14" ht="15.75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customHeight="1">
      <c r="A46" s="43">
        <v>19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6">SUM(F46*G46/1000)</f>
        <v>2.6521417440000006</v>
      </c>
      <c r="I46" s="14">
        <f t="shared" ref="I46:I49" si="7">F46/2*G46</f>
        <v>1326.0708720000002</v>
      </c>
      <c r="J46" s="26"/>
      <c r="L46" s="22"/>
      <c r="M46" s="23"/>
      <c r="N46" s="24"/>
    </row>
    <row r="47" spans="1:14" ht="15.75" customHeight="1">
      <c r="A47" s="43">
        <v>20</v>
      </c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6"/>
        <v>2.8553184000000002E-2</v>
      </c>
      <c r="I47" s="14">
        <f t="shared" si="7"/>
        <v>14.276592000000001</v>
      </c>
      <c r="J47" s="26"/>
      <c r="L47" s="22"/>
      <c r="M47" s="23"/>
      <c r="N47" s="24"/>
    </row>
    <row r="48" spans="1:14" ht="15.75" customHeight="1">
      <c r="A48" s="43">
        <v>21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6"/>
        <v>2.2617645503999997</v>
      </c>
      <c r="I48" s="14">
        <f t="shared" si="7"/>
        <v>1130.8822751999999</v>
      </c>
      <c r="J48" s="26"/>
      <c r="L48" s="22"/>
      <c r="M48" s="23"/>
      <c r="N48" s="24"/>
    </row>
    <row r="49" spans="1:14" ht="15.75" customHeight="1">
      <c r="A49" s="43">
        <v>22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6"/>
        <v>2.7280312466000001</v>
      </c>
      <c r="I49" s="14">
        <f t="shared" si="7"/>
        <v>1364.0156233</v>
      </c>
      <c r="J49" s="26"/>
      <c r="L49" s="22"/>
      <c r="M49" s="23"/>
      <c r="N49" s="24"/>
    </row>
    <row r="50" spans="1:14" ht="15.75" customHeight="1">
      <c r="A50" s="43">
        <v>23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6"/>
        <v>3.1061108E-2</v>
      </c>
      <c r="I50" s="14">
        <f>F50/2*G50</f>
        <v>15.530554</v>
      </c>
      <c r="J50" s="26"/>
      <c r="L50" s="22"/>
      <c r="M50" s="23"/>
      <c r="N50" s="24"/>
    </row>
    <row r="51" spans="1:14" ht="15.75" customHeight="1">
      <c r="A51" s="43">
        <v>24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6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customHeight="1">
      <c r="A52" s="43">
        <v>25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6"/>
        <v>2.48555876</v>
      </c>
      <c r="I52" s="14">
        <f>F52/2*G52</f>
        <v>1242.7793799999999</v>
      </c>
      <c r="J52" s="26"/>
      <c r="L52" s="22"/>
      <c r="M52" s="23"/>
      <c r="N52" s="24"/>
    </row>
    <row r="53" spans="1:14" ht="31.5" customHeight="1">
      <c r="A53" s="43">
        <v>26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6"/>
        <v>0.69307200000000002</v>
      </c>
      <c r="I53" s="14">
        <f t="shared" ref="I53:I54" si="8">F53/2*G53</f>
        <v>346.536</v>
      </c>
      <c r="J53" s="26"/>
      <c r="L53" s="22"/>
      <c r="M53" s="23"/>
      <c r="N53" s="24"/>
    </row>
    <row r="54" spans="1:14" ht="15.75" customHeight="1">
      <c r="A54" s="43">
        <v>27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6"/>
        <v>0.1406626</v>
      </c>
      <c r="I54" s="14">
        <f t="shared" si="8"/>
        <v>70.331299999999999</v>
      </c>
      <c r="J54" s="26"/>
      <c r="L54" s="22"/>
      <c r="M54" s="23"/>
      <c r="N54" s="24"/>
    </row>
    <row r="55" spans="1:14" ht="15.75" hidden="1" customHeight="1">
      <c r="A55" s="43">
        <v>13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6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hidden="1" customHeight="1">
      <c r="A56" s="43">
        <v>14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6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customHeight="1">
      <c r="A57" s="125" t="s">
        <v>160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hidden="1" customHeight="1">
      <c r="A58" s="55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hidden="1" customHeight="1">
      <c r="A59" s="43">
        <v>12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hidden="1" customHeight="1">
      <c r="A60" s="43">
        <v>13</v>
      </c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f>G60</f>
        <v>1501</v>
      </c>
      <c r="J60" s="26"/>
      <c r="L60" s="22"/>
      <c r="M60" s="23"/>
      <c r="N60" s="24"/>
    </row>
    <row r="61" spans="1:14" ht="15.75" hidden="1" customHeight="1">
      <c r="A61" s="43"/>
      <c r="B61" s="72" t="s">
        <v>44</v>
      </c>
      <c r="C61" s="72"/>
      <c r="D61" s="72"/>
      <c r="E61" s="72"/>
      <c r="F61" s="72"/>
      <c r="G61" s="72"/>
      <c r="H61" s="72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customHeight="1">
      <c r="A63" s="43"/>
      <c r="B63" s="72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hidden="1" customHeight="1">
      <c r="A64" s="43">
        <v>17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9">SUM(F64*G64/1000)</f>
        <v>2.7674000000000003</v>
      </c>
      <c r="I64" s="14">
        <v>0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9"/>
        <v>0.28467000000000003</v>
      </c>
      <c r="I65" s="14">
        <v>0</v>
      </c>
    </row>
    <row r="66" spans="1:22" ht="15.75" customHeight="1">
      <c r="A66" s="32">
        <v>28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9"/>
        <v>19.820369200000002</v>
      </c>
      <c r="I66" s="14">
        <f>F66*G66</f>
        <v>19820.369200000001</v>
      </c>
    </row>
    <row r="67" spans="1:22" ht="15.75" customHeight="1">
      <c r="A67" s="32">
        <v>29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customHeight="1">
      <c r="A68" s="32">
        <v>30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9"/>
        <v>28.138677000000005</v>
      </c>
      <c r="I68" s="14">
        <f t="shared" si="10"/>
        <v>28138.677000000003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customHeight="1">
      <c r="A69" s="32">
        <v>31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2">
        <v>32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hidden="1" customHeight="1">
      <c r="A71" s="32">
        <v>13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9"/>
        <v>0.18621000000000001</v>
      </c>
      <c r="I71" s="14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11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11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11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11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11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12">SUM(F79*G79/1000)</f>
        <v>4.6354679999999995</v>
      </c>
      <c r="I79" s="14">
        <v>0</v>
      </c>
    </row>
    <row r="80" spans="1:22" ht="15.75" customHeight="1">
      <c r="A80" s="32"/>
      <c r="B80" s="72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13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13"/>
        <v>1.4681999999999997</v>
      </c>
      <c r="I82" s="14">
        <v>0</v>
      </c>
    </row>
    <row r="83" spans="1:9" ht="15.75" hidden="1" customHeight="1">
      <c r="A83" s="32"/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13"/>
        <v>3.19041</v>
      </c>
      <c r="I83" s="14">
        <v>0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13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13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13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13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13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13"/>
        <v>7.5860399999999988</v>
      </c>
      <c r="I89" s="14">
        <v>0</v>
      </c>
    </row>
    <row r="90" spans="1:9" ht="15.75" customHeight="1">
      <c r="A90" s="32">
        <v>33</v>
      </c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13"/>
        <v>2.8108906600000001</v>
      </c>
      <c r="I90" s="14">
        <f t="shared" ref="I90" si="14">F90/2*G90</f>
        <v>1405.44533</v>
      </c>
    </row>
    <row r="91" spans="1:9" ht="15.75" hidden="1" customHeight="1">
      <c r="A91" s="55"/>
      <c r="B91" s="72" t="s">
        <v>132</v>
      </c>
      <c r="C91" s="72"/>
      <c r="D91" s="72"/>
      <c r="E91" s="72"/>
      <c r="F91" s="72"/>
      <c r="G91" s="72"/>
      <c r="H91" s="72"/>
      <c r="I91" s="21"/>
    </row>
    <row r="92" spans="1:9" ht="15.75" hidden="1" customHeight="1">
      <c r="A92" s="32">
        <v>15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f>G92</f>
        <v>14087.8</v>
      </c>
    </row>
    <row r="93" spans="1:9" ht="15.75" customHeight="1">
      <c r="A93" s="133" t="s">
        <v>161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34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35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55"/>
      <c r="B96" s="42" t="s">
        <v>82</v>
      </c>
      <c r="C96" s="43"/>
      <c r="D96" s="17"/>
      <c r="E96" s="17"/>
      <c r="F96" s="17"/>
      <c r="G96" s="21"/>
      <c r="H96" s="21"/>
      <c r="I96" s="35">
        <f>SUM(I16+I17+I18+I19+I20+I21+I22+I23+I24+I25+I26+I27+I28+I31+I32+I33+I34+I35+I46+I47+I48+I49+I50+I51+I52+I53+I54+I66+I67+I68+I69+I70+I90+I94+I95)</f>
        <v>90130.743223077792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15.75" customHeight="1">
      <c r="A98" s="32">
        <v>36</v>
      </c>
      <c r="B98" s="67" t="s">
        <v>84</v>
      </c>
      <c r="C98" s="102" t="s">
        <v>128</v>
      </c>
      <c r="D98" s="54"/>
      <c r="E98" s="39"/>
      <c r="F98" s="39">
        <v>2</v>
      </c>
      <c r="G98" s="39">
        <v>189.88</v>
      </c>
      <c r="H98" s="104">
        <f>G98*F98/1000</f>
        <v>0.37975999999999999</v>
      </c>
      <c r="I98" s="14">
        <f>G98</f>
        <v>189.88</v>
      </c>
    </row>
    <row r="99" spans="1:9" ht="15.75" customHeight="1">
      <c r="A99" s="32"/>
      <c r="B99" s="48" t="s">
        <v>52</v>
      </c>
      <c r="C99" s="44"/>
      <c r="D99" s="56"/>
      <c r="E99" s="56"/>
      <c r="F99" s="44">
        <v>1</v>
      </c>
      <c r="G99" s="44"/>
      <c r="H99" s="44"/>
      <c r="I99" s="35">
        <f>SUM(I98:I98)</f>
        <v>189.88</v>
      </c>
    </row>
    <row r="100" spans="1:9" ht="15.75" customHeight="1">
      <c r="A100" s="32"/>
      <c r="B100" s="54" t="s">
        <v>80</v>
      </c>
      <c r="C100" s="17"/>
      <c r="D100" s="17"/>
      <c r="E100" s="17"/>
      <c r="F100" s="45"/>
      <c r="G100" s="46"/>
      <c r="H100" s="46"/>
      <c r="I100" s="20">
        <v>0</v>
      </c>
    </row>
    <row r="101" spans="1:9" ht="15.75" customHeight="1">
      <c r="A101" s="57"/>
      <c r="B101" s="49" t="s">
        <v>162</v>
      </c>
      <c r="C101" s="37"/>
      <c r="D101" s="37"/>
      <c r="E101" s="37"/>
      <c r="F101" s="37"/>
      <c r="G101" s="37"/>
      <c r="H101" s="37"/>
      <c r="I101" s="47">
        <f>I96+I99</f>
        <v>90320.623223077797</v>
      </c>
    </row>
    <row r="102" spans="1:9" ht="15.75">
      <c r="A102" s="122" t="s">
        <v>187</v>
      </c>
      <c r="B102" s="122"/>
      <c r="C102" s="122"/>
      <c r="D102" s="122"/>
      <c r="E102" s="122"/>
      <c r="F102" s="122"/>
      <c r="G102" s="122"/>
      <c r="H102" s="122"/>
      <c r="I102" s="122"/>
    </row>
    <row r="103" spans="1:9" ht="15.75">
      <c r="A103" s="74"/>
      <c r="B103" s="123" t="s">
        <v>188</v>
      </c>
      <c r="C103" s="123"/>
      <c r="D103" s="123"/>
      <c r="E103" s="123"/>
      <c r="F103" s="123"/>
      <c r="G103" s="123"/>
      <c r="H103" s="81"/>
      <c r="I103" s="3"/>
    </row>
    <row r="104" spans="1:9">
      <c r="A104" s="70"/>
      <c r="B104" s="121" t="s">
        <v>6</v>
      </c>
      <c r="C104" s="121"/>
      <c r="D104" s="121"/>
      <c r="E104" s="121"/>
      <c r="F104" s="121"/>
      <c r="G104" s="121"/>
      <c r="H104" s="27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24" t="s">
        <v>7</v>
      </c>
      <c r="B106" s="124"/>
      <c r="C106" s="124"/>
      <c r="D106" s="124"/>
      <c r="E106" s="124"/>
      <c r="F106" s="124"/>
      <c r="G106" s="124"/>
      <c r="H106" s="124"/>
      <c r="I106" s="124"/>
    </row>
    <row r="107" spans="1:9" ht="15.75">
      <c r="A107" s="124" t="s">
        <v>8</v>
      </c>
      <c r="B107" s="124"/>
      <c r="C107" s="124"/>
      <c r="D107" s="124"/>
      <c r="E107" s="124"/>
      <c r="F107" s="124"/>
      <c r="G107" s="124"/>
      <c r="H107" s="124"/>
      <c r="I107" s="124"/>
    </row>
    <row r="108" spans="1:9" ht="15.75">
      <c r="A108" s="118" t="s">
        <v>62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15.75">
      <c r="A109" s="11"/>
    </row>
    <row r="110" spans="1:9" ht="15.75">
      <c r="A110" s="119" t="s">
        <v>9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ht="15.75">
      <c r="A111" s="4"/>
    </row>
    <row r="112" spans="1:9" ht="15.75">
      <c r="B112" s="71" t="s">
        <v>10</v>
      </c>
      <c r="C112" s="120" t="s">
        <v>94</v>
      </c>
      <c r="D112" s="120"/>
      <c r="E112" s="120"/>
      <c r="F112" s="120"/>
      <c r="I112" s="69"/>
    </row>
    <row r="113" spans="1:9">
      <c r="A113" s="70"/>
      <c r="C113" s="121" t="s">
        <v>11</v>
      </c>
      <c r="D113" s="121"/>
      <c r="E113" s="121"/>
      <c r="F113" s="121"/>
      <c r="I113" s="68" t="s">
        <v>12</v>
      </c>
    </row>
    <row r="114" spans="1:9" ht="15.75">
      <c r="A114" s="28"/>
      <c r="C114" s="12"/>
      <c r="D114" s="12"/>
      <c r="E114" s="12"/>
      <c r="G114" s="12"/>
      <c r="H114" s="12"/>
    </row>
    <row r="115" spans="1:9" ht="15.75">
      <c r="B115" s="71" t="s">
        <v>13</v>
      </c>
      <c r="C115" s="115"/>
      <c r="D115" s="115"/>
      <c r="E115" s="115"/>
      <c r="F115" s="115"/>
      <c r="I115" s="69"/>
    </row>
    <row r="116" spans="1:9">
      <c r="A116" s="70"/>
      <c r="C116" s="116" t="s">
        <v>11</v>
      </c>
      <c r="D116" s="116"/>
      <c r="E116" s="116"/>
      <c r="F116" s="116"/>
      <c r="I116" s="68" t="s">
        <v>12</v>
      </c>
    </row>
    <row r="117" spans="1:9" ht="15.75">
      <c r="A117" s="4" t="s">
        <v>14</v>
      </c>
    </row>
    <row r="118" spans="1:9">
      <c r="A118" s="117" t="s">
        <v>15</v>
      </c>
      <c r="B118" s="117"/>
      <c r="C118" s="117"/>
      <c r="D118" s="117"/>
      <c r="E118" s="117"/>
      <c r="F118" s="117"/>
      <c r="G118" s="117"/>
      <c r="H118" s="117"/>
      <c r="I118" s="117"/>
    </row>
    <row r="119" spans="1:9" ht="45" customHeight="1">
      <c r="A119" s="114" t="s">
        <v>16</v>
      </c>
      <c r="B119" s="114"/>
      <c r="C119" s="114"/>
      <c r="D119" s="114"/>
      <c r="E119" s="114"/>
      <c r="F119" s="114"/>
      <c r="G119" s="114"/>
      <c r="H119" s="114"/>
      <c r="I119" s="114"/>
    </row>
    <row r="120" spans="1:9" ht="30" customHeight="1">
      <c r="A120" s="114" t="s">
        <v>17</v>
      </c>
      <c r="B120" s="114"/>
      <c r="C120" s="114"/>
      <c r="D120" s="114"/>
      <c r="E120" s="114"/>
      <c r="F120" s="114"/>
      <c r="G120" s="114"/>
      <c r="H120" s="114"/>
      <c r="I120" s="114"/>
    </row>
    <row r="121" spans="1:9" ht="30" customHeight="1">
      <c r="A121" s="114" t="s">
        <v>21</v>
      </c>
      <c r="B121" s="114"/>
      <c r="C121" s="114"/>
      <c r="D121" s="114"/>
      <c r="E121" s="114"/>
      <c r="F121" s="114"/>
      <c r="G121" s="114"/>
      <c r="H121" s="114"/>
      <c r="I121" s="114"/>
    </row>
    <row r="122" spans="1:9" ht="15" customHeight="1">
      <c r="A122" s="114" t="s">
        <v>20</v>
      </c>
      <c r="B122" s="114"/>
      <c r="C122" s="114"/>
      <c r="D122" s="114"/>
      <c r="E122" s="114"/>
      <c r="F122" s="114"/>
      <c r="G122" s="114"/>
      <c r="H122" s="114"/>
      <c r="I122" s="114"/>
    </row>
  </sheetData>
  <autoFilter ref="I12:I65"/>
  <mergeCells count="29">
    <mergeCell ref="A118:I118"/>
    <mergeCell ref="A119:I119"/>
    <mergeCell ref="A120:I120"/>
    <mergeCell ref="A121:I121"/>
    <mergeCell ref="A122:I122"/>
    <mergeCell ref="R70:U70"/>
    <mergeCell ref="C116:F116"/>
    <mergeCell ref="A97:I97"/>
    <mergeCell ref="A102:I102"/>
    <mergeCell ref="B103:G103"/>
    <mergeCell ref="B104:G104"/>
    <mergeCell ref="A106:I106"/>
    <mergeCell ref="A107:I107"/>
    <mergeCell ref="A108:I108"/>
    <mergeCell ref="A110:I110"/>
    <mergeCell ref="C112:F112"/>
    <mergeCell ref="C113:F113"/>
    <mergeCell ref="C115:F115"/>
    <mergeCell ref="A93:I9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189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190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3">
        <v>42916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hidden="1" customHeight="1">
      <c r="A19" s="32">
        <v>4</v>
      </c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f>F19/2*G19</f>
        <v>161.9811</v>
      </c>
      <c r="J19" s="25"/>
      <c r="K19" s="8"/>
      <c r="L19" s="8"/>
      <c r="M19" s="8"/>
    </row>
    <row r="20" spans="1:13" ht="15.75" hidden="1" customHeight="1">
      <c r="A20" s="32">
        <v>5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f>F20*G20</f>
        <v>24.247</v>
      </c>
      <c r="J20" s="25"/>
      <c r="K20" s="8"/>
      <c r="L20" s="8"/>
      <c r="M20" s="8"/>
    </row>
    <row r="21" spans="1:13" ht="15.75" hidden="1" customHeight="1">
      <c r="A21" s="32">
        <v>6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f>F21/2*G21</f>
        <v>319.162464</v>
      </c>
      <c r="J21" s="25"/>
      <c r="K21" s="8"/>
      <c r="L21" s="8"/>
      <c r="M21" s="8"/>
    </row>
    <row r="22" spans="1:13" ht="15.75" hidden="1" customHeight="1">
      <c r="A22" s="32">
        <v>7</v>
      </c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f>F22/2*G22</f>
        <v>140.05353599999998</v>
      </c>
      <c r="J22" s="25"/>
      <c r="K22" s="8"/>
      <c r="L22" s="8"/>
      <c r="M22" s="8"/>
    </row>
    <row r="23" spans="1:13" ht="15.75" hidden="1" customHeight="1">
      <c r="A23" s="32">
        <v>8</v>
      </c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f>F23*G23</f>
        <v>720.35749999999996</v>
      </c>
      <c r="J23" s="25"/>
      <c r="K23" s="8"/>
      <c r="L23" s="8"/>
      <c r="M23" s="8"/>
    </row>
    <row r="24" spans="1:13" ht="15.75" hidden="1" customHeight="1">
      <c r="A24" s="32">
        <v>9</v>
      </c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f t="shared" ref="I24:I26" si="1">F24*G24</f>
        <v>9.7196400000000001</v>
      </c>
      <c r="J24" s="25"/>
      <c r="K24" s="8"/>
      <c r="L24" s="8"/>
      <c r="M24" s="8"/>
    </row>
    <row r="25" spans="1:13" ht="15.75" hidden="1" customHeight="1">
      <c r="A25" s="32">
        <v>10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f t="shared" si="1"/>
        <v>93.319200000000009</v>
      </c>
      <c r="J25" s="25"/>
      <c r="K25" s="8"/>
      <c r="L25" s="8"/>
      <c r="M25" s="8"/>
    </row>
    <row r="26" spans="1:13" ht="15.75" hidden="1" customHeight="1">
      <c r="A26" s="32">
        <v>11</v>
      </c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f t="shared" si="1"/>
        <v>24.2028</v>
      </c>
      <c r="J26" s="25"/>
      <c r="K26" s="8"/>
      <c r="L26" s="8"/>
      <c r="M26" s="8"/>
    </row>
    <row r="27" spans="1:13" ht="15.75" customHeight="1">
      <c r="A27" s="32">
        <v>4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32">
        <v>5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customHeight="1">
      <c r="A31" s="43">
        <v>6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2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customHeight="1">
      <c r="A32" s="43">
        <v>7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2"/>
        <v>0.85848703199999998</v>
      </c>
      <c r="I32" s="14">
        <f t="shared" ref="I32:I35" si="3">F32/6*G32</f>
        <v>143.08117200000001</v>
      </c>
      <c r="J32" s="25"/>
      <c r="K32" s="8"/>
      <c r="L32" s="8"/>
      <c r="M32" s="8"/>
    </row>
    <row r="33" spans="1:14" ht="15.75" hidden="1" customHeight="1">
      <c r="A33" s="43">
        <v>16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2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customHeight="1">
      <c r="A34" s="43">
        <v>8</v>
      </c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2"/>
        <v>7.5336975000000015</v>
      </c>
      <c r="I34" s="14">
        <f t="shared" si="3"/>
        <v>1255.61625</v>
      </c>
      <c r="J34" s="25"/>
      <c r="K34" s="8"/>
    </row>
    <row r="35" spans="1:14" ht="15.75" customHeight="1">
      <c r="A35" s="43">
        <v>9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2"/>
        <v>3.6445666666666665</v>
      </c>
      <c r="I35" s="14">
        <f t="shared" si="3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2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2"/>
        <v>2.8279200000000002</v>
      </c>
      <c r="I37" s="14">
        <v>0</v>
      </c>
      <c r="J37" s="26"/>
    </row>
    <row r="38" spans="1:14" ht="15.75" hidden="1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hidden="1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4">SUM(F39*G39/1000)</f>
        <v>3.8007399999999998</v>
      </c>
      <c r="I39" s="14">
        <f t="shared" ref="I39:I44" si="5">F39/6*G39</f>
        <v>633.45666666666659</v>
      </c>
      <c r="J39" s="26"/>
    </row>
    <row r="40" spans="1:14" ht="15.75" hidden="1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4"/>
        <v>2.6845187400000001</v>
      </c>
      <c r="I40" s="14">
        <f t="shared" si="5"/>
        <v>447.41978999999998</v>
      </c>
      <c r="J40" s="26"/>
    </row>
    <row r="41" spans="1:14" ht="15.75" hidden="1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4"/>
        <v>2.3136214500000003</v>
      </c>
      <c r="I41" s="14">
        <f t="shared" si="5"/>
        <v>385.60357500000003</v>
      </c>
      <c r="J41" s="26"/>
    </row>
    <row r="42" spans="1:14" ht="47.25" hidden="1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4"/>
        <v>8.6437883699999993</v>
      </c>
      <c r="I42" s="14">
        <f t="shared" si="5"/>
        <v>1440.6313950000001</v>
      </c>
      <c r="J42" s="26"/>
      <c r="L42" s="22"/>
      <c r="M42" s="23"/>
      <c r="N42" s="24"/>
    </row>
    <row r="43" spans="1:14" ht="15.75" hidden="1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4"/>
        <v>0.36487980000000003</v>
      </c>
      <c r="I43" s="14">
        <f t="shared" si="5"/>
        <v>60.813300000000005</v>
      </c>
      <c r="J43" s="26"/>
      <c r="L43" s="22"/>
      <c r="M43" s="23"/>
      <c r="N43" s="24"/>
    </row>
    <row r="44" spans="1:14" ht="15.75" hidden="1" customHeight="1">
      <c r="A44" s="36">
        <v>11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4"/>
        <v>0.49648500000000001</v>
      </c>
      <c r="I44" s="14">
        <f t="shared" si="5"/>
        <v>82.747500000000002</v>
      </c>
      <c r="J44" s="26"/>
      <c r="L44" s="22"/>
      <c r="M44" s="23"/>
      <c r="N44" s="24"/>
    </row>
    <row r="45" spans="1:14" ht="15.75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hidden="1" customHeight="1">
      <c r="A46" s="43">
        <v>19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6">SUM(F46*G46/1000)</f>
        <v>2.6521417440000006</v>
      </c>
      <c r="I46" s="14">
        <f t="shared" ref="I46:I49" si="7">F46/2*G46</f>
        <v>1326.0708720000002</v>
      </c>
      <c r="J46" s="26"/>
      <c r="L46" s="22"/>
      <c r="M46" s="23"/>
      <c r="N46" s="24"/>
    </row>
    <row r="47" spans="1:14" ht="15.75" hidden="1" customHeight="1">
      <c r="A47" s="43">
        <v>20</v>
      </c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6"/>
        <v>2.8553184000000002E-2</v>
      </c>
      <c r="I47" s="14">
        <f t="shared" si="7"/>
        <v>14.276592000000001</v>
      </c>
      <c r="J47" s="26"/>
      <c r="L47" s="22"/>
      <c r="M47" s="23"/>
      <c r="N47" s="24"/>
    </row>
    <row r="48" spans="1:14" ht="15.75" hidden="1" customHeight="1">
      <c r="A48" s="43">
        <v>21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6"/>
        <v>2.2617645503999997</v>
      </c>
      <c r="I48" s="14">
        <f t="shared" si="7"/>
        <v>1130.8822751999999</v>
      </c>
      <c r="J48" s="26"/>
      <c r="L48" s="22"/>
      <c r="M48" s="23"/>
      <c r="N48" s="24"/>
    </row>
    <row r="49" spans="1:14" ht="15.75" hidden="1" customHeight="1">
      <c r="A49" s="43">
        <v>22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6"/>
        <v>2.7280312466000001</v>
      </c>
      <c r="I49" s="14">
        <f t="shared" si="7"/>
        <v>1364.0156233</v>
      </c>
      <c r="J49" s="26"/>
      <c r="L49" s="22"/>
      <c r="M49" s="23"/>
      <c r="N49" s="24"/>
    </row>
    <row r="50" spans="1:14" ht="15.75" hidden="1" customHeight="1">
      <c r="A50" s="43">
        <v>23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6"/>
        <v>3.1061108E-2</v>
      </c>
      <c r="I50" s="14">
        <f>F50/2*G50</f>
        <v>15.530554</v>
      </c>
      <c r="J50" s="26"/>
      <c r="L50" s="22"/>
      <c r="M50" s="23"/>
      <c r="N50" s="24"/>
    </row>
    <row r="51" spans="1:14" ht="15.75" hidden="1" customHeight="1">
      <c r="A51" s="43">
        <v>24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6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hidden="1" customHeight="1">
      <c r="A52" s="43">
        <v>25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6"/>
        <v>2.48555876</v>
      </c>
      <c r="I52" s="14">
        <f>F52/2*G52</f>
        <v>1242.7793799999999</v>
      </c>
      <c r="J52" s="26"/>
      <c r="L52" s="22"/>
      <c r="M52" s="23"/>
      <c r="N52" s="24"/>
    </row>
    <row r="53" spans="1:14" ht="31.5" hidden="1" customHeight="1">
      <c r="A53" s="43">
        <v>26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6"/>
        <v>0.69307200000000002</v>
      </c>
      <c r="I53" s="14">
        <f t="shared" ref="I53:I54" si="8">F53/2*G53</f>
        <v>346.536</v>
      </c>
      <c r="J53" s="26"/>
      <c r="L53" s="22"/>
      <c r="M53" s="23"/>
      <c r="N53" s="24"/>
    </row>
    <row r="54" spans="1:14" ht="15.75" hidden="1" customHeight="1">
      <c r="A54" s="43">
        <v>27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6"/>
        <v>0.1406626</v>
      </c>
      <c r="I54" s="14">
        <f t="shared" si="8"/>
        <v>70.331299999999999</v>
      </c>
      <c r="J54" s="26"/>
      <c r="L54" s="22"/>
      <c r="M54" s="23"/>
      <c r="N54" s="24"/>
    </row>
    <row r="55" spans="1:14" ht="15.75" customHeight="1">
      <c r="A55" s="43">
        <v>10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6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customHeight="1">
      <c r="A56" s="43">
        <v>11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6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customHeight="1">
      <c r="A57" s="125" t="s">
        <v>160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hidden="1" customHeight="1">
      <c r="A58" s="55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hidden="1" customHeight="1">
      <c r="A59" s="43">
        <v>12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hidden="1" customHeight="1">
      <c r="A60" s="43">
        <v>13</v>
      </c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f>G60</f>
        <v>1501</v>
      </c>
      <c r="J60" s="26"/>
      <c r="L60" s="22"/>
      <c r="M60" s="23"/>
      <c r="N60" s="24"/>
    </row>
    <row r="61" spans="1:14" ht="15.75" hidden="1" customHeight="1">
      <c r="A61" s="43"/>
      <c r="B61" s="72" t="s">
        <v>44</v>
      </c>
      <c r="C61" s="72"/>
      <c r="D61" s="72"/>
      <c r="E61" s="72"/>
      <c r="F61" s="72"/>
      <c r="G61" s="72"/>
      <c r="H61" s="72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customHeight="1">
      <c r="A63" s="43"/>
      <c r="B63" s="72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customHeight="1">
      <c r="A64" s="43">
        <v>12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9">SUM(F64*G64/1000)</f>
        <v>2.7674000000000003</v>
      </c>
      <c r="I64" s="14">
        <f>G64</f>
        <v>276.74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9"/>
        <v>0.28467000000000003</v>
      </c>
      <c r="I65" s="14">
        <v>0</v>
      </c>
    </row>
    <row r="66" spans="1:22" ht="15.75" hidden="1" customHeight="1">
      <c r="A66" s="32">
        <v>28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9"/>
        <v>19.820369200000002</v>
      </c>
      <c r="I66" s="14">
        <f>F66*G66</f>
        <v>19820.369200000001</v>
      </c>
    </row>
    <row r="67" spans="1:22" ht="15.75" hidden="1" customHeight="1">
      <c r="A67" s="32">
        <v>29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2">
        <v>30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9"/>
        <v>28.138677000000005</v>
      </c>
      <c r="I68" s="14">
        <f t="shared" si="10"/>
        <v>28138.677000000003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2">
        <v>31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2">
        <v>32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hidden="1" customHeight="1">
      <c r="A71" s="32">
        <v>13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9"/>
        <v>0.18621000000000001</v>
      </c>
      <c r="I71" s="14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11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11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11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11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11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12">SUM(F79*G79/1000)</f>
        <v>4.6354679999999995</v>
      </c>
      <c r="I79" s="14">
        <v>0</v>
      </c>
    </row>
    <row r="80" spans="1:22" ht="15.75" hidden="1" customHeight="1">
      <c r="A80" s="32"/>
      <c r="B80" s="72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13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13"/>
        <v>1.4681999999999997</v>
      </c>
      <c r="I82" s="14">
        <v>0</v>
      </c>
    </row>
    <row r="83" spans="1:9" ht="15.75" hidden="1" customHeight="1">
      <c r="A83" s="32"/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13"/>
        <v>3.19041</v>
      </c>
      <c r="I83" s="14">
        <v>0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13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13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13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13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13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13"/>
        <v>7.5860399999999988</v>
      </c>
      <c r="I89" s="14">
        <v>0</v>
      </c>
    </row>
    <row r="90" spans="1:9" ht="15.75" hidden="1" customHeight="1">
      <c r="A90" s="32">
        <v>33</v>
      </c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13"/>
        <v>2.8108906600000001</v>
      </c>
      <c r="I90" s="14">
        <f t="shared" ref="I90" si="14">F90/2*G90</f>
        <v>1405.44533</v>
      </c>
    </row>
    <row r="91" spans="1:9" ht="15.75" hidden="1" customHeight="1">
      <c r="A91" s="55"/>
      <c r="B91" s="72" t="s">
        <v>132</v>
      </c>
      <c r="C91" s="72"/>
      <c r="D91" s="72"/>
      <c r="E91" s="72"/>
      <c r="F91" s="72"/>
      <c r="G91" s="72"/>
      <c r="H91" s="72"/>
      <c r="I91" s="21"/>
    </row>
    <row r="92" spans="1:9" ht="15.75" hidden="1" customHeight="1">
      <c r="A92" s="32">
        <v>15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f>G92</f>
        <v>14087.8</v>
      </c>
    </row>
    <row r="93" spans="1:9" ht="15.75" customHeight="1">
      <c r="A93" s="133" t="s">
        <v>161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13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14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55"/>
      <c r="B96" s="42" t="s">
        <v>82</v>
      </c>
      <c r="C96" s="43"/>
      <c r="D96" s="17"/>
      <c r="E96" s="17"/>
      <c r="F96" s="17"/>
      <c r="G96" s="21"/>
      <c r="H96" s="21"/>
      <c r="I96" s="35">
        <f>SUM(I16+I17+I18+I27+I28+I31+I32+I34+I35+I55+I56+I64+I94+I95)</f>
        <v>38589.212401377779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15.75" customHeight="1">
      <c r="A98" s="32"/>
      <c r="B98" s="48" t="s">
        <v>52</v>
      </c>
      <c r="C98" s="44"/>
      <c r="D98" s="56"/>
      <c r="E98" s="56"/>
      <c r="F98" s="44">
        <v>1</v>
      </c>
      <c r="G98" s="44"/>
      <c r="H98" s="44"/>
      <c r="I98" s="35">
        <f>SUM(A97)</f>
        <v>0</v>
      </c>
    </row>
    <row r="99" spans="1:9" ht="15.75" customHeight="1">
      <c r="A99" s="32"/>
      <c r="B99" s="54" t="s">
        <v>80</v>
      </c>
      <c r="C99" s="17"/>
      <c r="D99" s="17"/>
      <c r="E99" s="17"/>
      <c r="F99" s="45"/>
      <c r="G99" s="46"/>
      <c r="H99" s="46"/>
      <c r="I99" s="20">
        <v>0</v>
      </c>
    </row>
    <row r="100" spans="1:9" ht="15.75" customHeight="1">
      <c r="A100" s="57"/>
      <c r="B100" s="49" t="s">
        <v>162</v>
      </c>
      <c r="C100" s="37"/>
      <c r="D100" s="37"/>
      <c r="E100" s="37"/>
      <c r="F100" s="37"/>
      <c r="G100" s="37"/>
      <c r="H100" s="37"/>
      <c r="I100" s="47">
        <f>I96+I98</f>
        <v>38589.212401377779</v>
      </c>
    </row>
    <row r="101" spans="1:9" ht="15.75">
      <c r="A101" s="122" t="s">
        <v>191</v>
      </c>
      <c r="B101" s="122"/>
      <c r="C101" s="122"/>
      <c r="D101" s="122"/>
      <c r="E101" s="122"/>
      <c r="F101" s="122"/>
      <c r="G101" s="122"/>
      <c r="H101" s="122"/>
      <c r="I101" s="122"/>
    </row>
    <row r="102" spans="1:9" ht="15.75">
      <c r="A102" s="74"/>
      <c r="B102" s="123" t="s">
        <v>192</v>
      </c>
      <c r="C102" s="123"/>
      <c r="D102" s="123"/>
      <c r="E102" s="123"/>
      <c r="F102" s="123"/>
      <c r="G102" s="123"/>
      <c r="H102" s="81"/>
      <c r="I102" s="3"/>
    </row>
    <row r="103" spans="1:9">
      <c r="A103" s="70"/>
      <c r="B103" s="121" t="s">
        <v>6</v>
      </c>
      <c r="C103" s="121"/>
      <c r="D103" s="121"/>
      <c r="E103" s="121"/>
      <c r="F103" s="121"/>
      <c r="G103" s="121"/>
      <c r="H103" s="27"/>
      <c r="I103" s="5"/>
    </row>
    <row r="104" spans="1:9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124" t="s">
        <v>7</v>
      </c>
      <c r="B105" s="124"/>
      <c r="C105" s="124"/>
      <c r="D105" s="124"/>
      <c r="E105" s="124"/>
      <c r="F105" s="124"/>
      <c r="G105" s="124"/>
      <c r="H105" s="124"/>
      <c r="I105" s="124"/>
    </row>
    <row r="106" spans="1:9" ht="15.75">
      <c r="A106" s="124" t="s">
        <v>8</v>
      </c>
      <c r="B106" s="124"/>
      <c r="C106" s="124"/>
      <c r="D106" s="124"/>
      <c r="E106" s="124"/>
      <c r="F106" s="124"/>
      <c r="G106" s="124"/>
      <c r="H106" s="124"/>
      <c r="I106" s="124"/>
    </row>
    <row r="107" spans="1:9" ht="15.75">
      <c r="A107" s="118" t="s">
        <v>62</v>
      </c>
      <c r="B107" s="118"/>
      <c r="C107" s="118"/>
      <c r="D107" s="118"/>
      <c r="E107" s="118"/>
      <c r="F107" s="118"/>
      <c r="G107" s="118"/>
      <c r="H107" s="118"/>
      <c r="I107" s="118"/>
    </row>
    <row r="108" spans="1:9" ht="15.75">
      <c r="A108" s="11"/>
    </row>
    <row r="109" spans="1:9" ht="15.75">
      <c r="A109" s="119" t="s">
        <v>9</v>
      </c>
      <c r="B109" s="119"/>
      <c r="C109" s="119"/>
      <c r="D109" s="119"/>
      <c r="E109" s="119"/>
      <c r="F109" s="119"/>
      <c r="G109" s="119"/>
      <c r="H109" s="119"/>
      <c r="I109" s="119"/>
    </row>
    <row r="110" spans="1:9" ht="15.75">
      <c r="A110" s="4"/>
    </row>
    <row r="111" spans="1:9" ht="15.75">
      <c r="B111" s="71" t="s">
        <v>10</v>
      </c>
      <c r="C111" s="120" t="s">
        <v>94</v>
      </c>
      <c r="D111" s="120"/>
      <c r="E111" s="120"/>
      <c r="F111" s="120"/>
      <c r="I111" s="69"/>
    </row>
    <row r="112" spans="1:9">
      <c r="A112" s="70"/>
      <c r="C112" s="121" t="s">
        <v>11</v>
      </c>
      <c r="D112" s="121"/>
      <c r="E112" s="121"/>
      <c r="F112" s="121"/>
      <c r="I112" s="68" t="s">
        <v>12</v>
      </c>
    </row>
    <row r="113" spans="1:9" ht="15.75">
      <c r="A113" s="28"/>
      <c r="C113" s="12"/>
      <c r="D113" s="12"/>
      <c r="E113" s="12"/>
      <c r="G113" s="12"/>
      <c r="H113" s="12"/>
    </row>
    <row r="114" spans="1:9" ht="15.75">
      <c r="B114" s="71" t="s">
        <v>13</v>
      </c>
      <c r="C114" s="115"/>
      <c r="D114" s="115"/>
      <c r="E114" s="115"/>
      <c r="F114" s="115"/>
      <c r="I114" s="69"/>
    </row>
    <row r="115" spans="1:9">
      <c r="A115" s="70"/>
      <c r="C115" s="116" t="s">
        <v>11</v>
      </c>
      <c r="D115" s="116"/>
      <c r="E115" s="116"/>
      <c r="F115" s="116"/>
      <c r="I115" s="68" t="s">
        <v>12</v>
      </c>
    </row>
    <row r="116" spans="1:9" ht="15.75">
      <c r="A116" s="4" t="s">
        <v>14</v>
      </c>
    </row>
    <row r="117" spans="1:9">
      <c r="A117" s="117" t="s">
        <v>15</v>
      </c>
      <c r="B117" s="117"/>
      <c r="C117" s="117"/>
      <c r="D117" s="117"/>
      <c r="E117" s="117"/>
      <c r="F117" s="117"/>
      <c r="G117" s="117"/>
      <c r="H117" s="117"/>
      <c r="I117" s="117"/>
    </row>
    <row r="118" spans="1:9" ht="45" customHeight="1">
      <c r="A118" s="114" t="s">
        <v>16</v>
      </c>
      <c r="B118" s="114"/>
      <c r="C118" s="114"/>
      <c r="D118" s="114"/>
      <c r="E118" s="114"/>
      <c r="F118" s="114"/>
      <c r="G118" s="114"/>
      <c r="H118" s="114"/>
      <c r="I118" s="114"/>
    </row>
    <row r="119" spans="1:9" ht="30" customHeight="1">
      <c r="A119" s="114" t="s">
        <v>17</v>
      </c>
      <c r="B119" s="114"/>
      <c r="C119" s="114"/>
      <c r="D119" s="114"/>
      <c r="E119" s="114"/>
      <c r="F119" s="114"/>
      <c r="G119" s="114"/>
      <c r="H119" s="114"/>
      <c r="I119" s="114"/>
    </row>
    <row r="120" spans="1:9" ht="30" customHeight="1">
      <c r="A120" s="114" t="s">
        <v>21</v>
      </c>
      <c r="B120" s="114"/>
      <c r="C120" s="114"/>
      <c r="D120" s="114"/>
      <c r="E120" s="114"/>
      <c r="F120" s="114"/>
      <c r="G120" s="114"/>
      <c r="H120" s="114"/>
      <c r="I120" s="114"/>
    </row>
    <row r="121" spans="1:9" ht="15" customHeight="1">
      <c r="A121" s="114" t="s">
        <v>20</v>
      </c>
      <c r="B121" s="114"/>
      <c r="C121" s="114"/>
      <c r="D121" s="114"/>
      <c r="E121" s="114"/>
      <c r="F121" s="114"/>
      <c r="G121" s="114"/>
      <c r="H121" s="114"/>
      <c r="I121" s="114"/>
    </row>
  </sheetData>
  <autoFilter ref="I12:I65"/>
  <mergeCells count="29">
    <mergeCell ref="A117:I117"/>
    <mergeCell ref="A118:I118"/>
    <mergeCell ref="A119:I119"/>
    <mergeCell ref="A120:I120"/>
    <mergeCell ref="A121:I121"/>
    <mergeCell ref="R70:U70"/>
    <mergeCell ref="C115:F115"/>
    <mergeCell ref="A97:I97"/>
    <mergeCell ref="A101:I101"/>
    <mergeCell ref="B102:G102"/>
    <mergeCell ref="B103:G103"/>
    <mergeCell ref="A105:I105"/>
    <mergeCell ref="A106:I106"/>
    <mergeCell ref="A107:I107"/>
    <mergeCell ref="A109:I109"/>
    <mergeCell ref="C111:F111"/>
    <mergeCell ref="C112:F112"/>
    <mergeCell ref="C114:F114"/>
    <mergeCell ref="A93:I9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184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193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3">
        <v>42947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hidden="1" customHeight="1">
      <c r="A19" s="32">
        <v>4</v>
      </c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f>F19/2*G19</f>
        <v>161.9811</v>
      </c>
      <c r="J19" s="25"/>
      <c r="K19" s="8"/>
      <c r="L19" s="8"/>
      <c r="M19" s="8"/>
    </row>
    <row r="20" spans="1:13" ht="15.75" hidden="1" customHeight="1">
      <c r="A20" s="32">
        <v>5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f>F20*G20</f>
        <v>24.247</v>
      </c>
      <c r="J20" s="25"/>
      <c r="K20" s="8"/>
      <c r="L20" s="8"/>
      <c r="M20" s="8"/>
    </row>
    <row r="21" spans="1:13" ht="15.75" hidden="1" customHeight="1">
      <c r="A21" s="32">
        <v>6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f>F21/2*G21</f>
        <v>319.162464</v>
      </c>
      <c r="J21" s="25"/>
      <c r="K21" s="8"/>
      <c r="L21" s="8"/>
      <c r="M21" s="8"/>
    </row>
    <row r="22" spans="1:13" ht="15.75" hidden="1" customHeight="1">
      <c r="A22" s="32">
        <v>7</v>
      </c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f>F22/2*G22</f>
        <v>140.05353599999998</v>
      </c>
      <c r="J22" s="25"/>
      <c r="K22" s="8"/>
      <c r="L22" s="8"/>
      <c r="M22" s="8"/>
    </row>
    <row r="23" spans="1:13" ht="15.75" hidden="1" customHeight="1">
      <c r="A23" s="32">
        <v>8</v>
      </c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f>F23*G23</f>
        <v>720.35749999999996</v>
      </c>
      <c r="J23" s="25"/>
      <c r="K23" s="8"/>
      <c r="L23" s="8"/>
      <c r="M23" s="8"/>
    </row>
    <row r="24" spans="1:13" ht="15.75" hidden="1" customHeight="1">
      <c r="A24" s="32">
        <v>9</v>
      </c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f t="shared" ref="I24:I26" si="1">F24*G24</f>
        <v>9.7196400000000001</v>
      </c>
      <c r="J24" s="25"/>
      <c r="K24" s="8"/>
      <c r="L24" s="8"/>
      <c r="M24" s="8"/>
    </row>
    <row r="25" spans="1:13" ht="15.75" hidden="1" customHeight="1">
      <c r="A25" s="32">
        <v>10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f t="shared" si="1"/>
        <v>93.319200000000009</v>
      </c>
      <c r="J25" s="25"/>
      <c r="K25" s="8"/>
      <c r="L25" s="8"/>
      <c r="M25" s="8"/>
    </row>
    <row r="26" spans="1:13" ht="15.75" hidden="1" customHeight="1">
      <c r="A26" s="32">
        <v>11</v>
      </c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f t="shared" si="1"/>
        <v>24.2028</v>
      </c>
      <c r="J26" s="25"/>
      <c r="K26" s="8"/>
      <c r="L26" s="8"/>
      <c r="M26" s="8"/>
    </row>
    <row r="27" spans="1:13" ht="15.75" customHeight="1">
      <c r="A27" s="32">
        <v>4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32">
        <v>5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customHeight="1">
      <c r="A31" s="43">
        <v>6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2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customHeight="1">
      <c r="A32" s="43">
        <v>7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2"/>
        <v>0.85848703199999998</v>
      </c>
      <c r="I32" s="14">
        <f t="shared" ref="I32:I35" si="3">F32/6*G32</f>
        <v>143.08117200000001</v>
      </c>
      <c r="J32" s="25"/>
      <c r="K32" s="8"/>
      <c r="L32" s="8"/>
      <c r="M32" s="8"/>
    </row>
    <row r="33" spans="1:14" ht="15.75" hidden="1" customHeight="1">
      <c r="A33" s="43">
        <v>16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2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customHeight="1">
      <c r="A34" s="43">
        <v>8</v>
      </c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2"/>
        <v>7.5336975000000015</v>
      </c>
      <c r="I34" s="14">
        <f t="shared" si="3"/>
        <v>1255.61625</v>
      </c>
      <c r="J34" s="25"/>
      <c r="K34" s="8"/>
    </row>
    <row r="35" spans="1:14" ht="15.75" customHeight="1">
      <c r="A35" s="43">
        <v>9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2"/>
        <v>3.6445666666666665</v>
      </c>
      <c r="I35" s="14">
        <f t="shared" si="3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2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2"/>
        <v>2.8279200000000002</v>
      </c>
      <c r="I37" s="14">
        <v>0</v>
      </c>
      <c r="J37" s="26"/>
    </row>
    <row r="38" spans="1:14" ht="15.75" hidden="1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hidden="1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4">SUM(F39*G39/1000)</f>
        <v>3.8007399999999998</v>
      </c>
      <c r="I39" s="14">
        <f t="shared" ref="I39:I44" si="5">F39/6*G39</f>
        <v>633.45666666666659</v>
      </c>
      <c r="J39" s="26"/>
    </row>
    <row r="40" spans="1:14" ht="15.75" hidden="1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4"/>
        <v>2.6845187400000001</v>
      </c>
      <c r="I40" s="14">
        <f t="shared" si="5"/>
        <v>447.41978999999998</v>
      </c>
      <c r="J40" s="26"/>
    </row>
    <row r="41" spans="1:14" ht="15.75" hidden="1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4"/>
        <v>2.3136214500000003</v>
      </c>
      <c r="I41" s="14">
        <f t="shared" si="5"/>
        <v>385.60357500000003</v>
      </c>
      <c r="J41" s="26"/>
    </row>
    <row r="42" spans="1:14" ht="47.25" hidden="1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4"/>
        <v>8.6437883699999993</v>
      </c>
      <c r="I42" s="14">
        <f t="shared" si="5"/>
        <v>1440.6313950000001</v>
      </c>
      <c r="J42" s="26"/>
      <c r="L42" s="22"/>
      <c r="M42" s="23"/>
      <c r="N42" s="24"/>
    </row>
    <row r="43" spans="1:14" ht="15.75" hidden="1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4"/>
        <v>0.36487980000000003</v>
      </c>
      <c r="I43" s="14">
        <f t="shared" si="5"/>
        <v>60.813300000000005</v>
      </c>
      <c r="J43" s="26"/>
      <c r="L43" s="22"/>
      <c r="M43" s="23"/>
      <c r="N43" s="24"/>
    </row>
    <row r="44" spans="1:14" ht="15.75" hidden="1" customHeight="1">
      <c r="A44" s="36">
        <v>11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4"/>
        <v>0.49648500000000001</v>
      </c>
      <c r="I44" s="14">
        <f t="shared" si="5"/>
        <v>82.747500000000002</v>
      </c>
      <c r="J44" s="26"/>
      <c r="L44" s="22"/>
      <c r="M44" s="23"/>
      <c r="N44" s="24"/>
    </row>
    <row r="45" spans="1:14" ht="15.75" hidden="1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hidden="1" customHeight="1">
      <c r="A46" s="43">
        <v>19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6">SUM(F46*G46/1000)</f>
        <v>2.6521417440000006</v>
      </c>
      <c r="I46" s="14">
        <f t="shared" ref="I46:I49" si="7">F46/2*G46</f>
        <v>1326.0708720000002</v>
      </c>
      <c r="J46" s="26"/>
      <c r="L46" s="22"/>
      <c r="M46" s="23"/>
      <c r="N46" s="24"/>
    </row>
    <row r="47" spans="1:14" ht="15.75" hidden="1" customHeight="1">
      <c r="A47" s="43">
        <v>20</v>
      </c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6"/>
        <v>2.8553184000000002E-2</v>
      </c>
      <c r="I47" s="14">
        <f t="shared" si="7"/>
        <v>14.276592000000001</v>
      </c>
      <c r="J47" s="26"/>
      <c r="L47" s="22"/>
      <c r="M47" s="23"/>
      <c r="N47" s="24"/>
    </row>
    <row r="48" spans="1:14" ht="15.75" hidden="1" customHeight="1">
      <c r="A48" s="43">
        <v>21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6"/>
        <v>2.2617645503999997</v>
      </c>
      <c r="I48" s="14">
        <f t="shared" si="7"/>
        <v>1130.8822751999999</v>
      </c>
      <c r="J48" s="26"/>
      <c r="L48" s="22"/>
      <c r="M48" s="23"/>
      <c r="N48" s="24"/>
    </row>
    <row r="49" spans="1:14" ht="15.75" hidden="1" customHeight="1">
      <c r="A49" s="43">
        <v>22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6"/>
        <v>2.7280312466000001</v>
      </c>
      <c r="I49" s="14">
        <f t="shared" si="7"/>
        <v>1364.0156233</v>
      </c>
      <c r="J49" s="26"/>
      <c r="L49" s="22"/>
      <c r="M49" s="23"/>
      <c r="N49" s="24"/>
    </row>
    <row r="50" spans="1:14" ht="15.75" hidden="1" customHeight="1">
      <c r="A50" s="43">
        <v>23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6"/>
        <v>3.1061108E-2</v>
      </c>
      <c r="I50" s="14">
        <f>F50/2*G50</f>
        <v>15.530554</v>
      </c>
      <c r="J50" s="26"/>
      <c r="L50" s="22"/>
      <c r="M50" s="23"/>
      <c r="N50" s="24"/>
    </row>
    <row r="51" spans="1:14" ht="15.75" hidden="1" customHeight="1">
      <c r="A51" s="43">
        <v>24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6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hidden="1" customHeight="1">
      <c r="A52" s="43">
        <v>25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6"/>
        <v>2.48555876</v>
      </c>
      <c r="I52" s="14">
        <f>F52/2*G52</f>
        <v>1242.7793799999999</v>
      </c>
      <c r="J52" s="26"/>
      <c r="L52" s="22"/>
      <c r="M52" s="23"/>
      <c r="N52" s="24"/>
    </row>
    <row r="53" spans="1:14" ht="31.5" hidden="1" customHeight="1">
      <c r="A53" s="43">
        <v>26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6"/>
        <v>0.69307200000000002</v>
      </c>
      <c r="I53" s="14">
        <f t="shared" ref="I53:I54" si="8">F53/2*G53</f>
        <v>346.536</v>
      </c>
      <c r="J53" s="26"/>
      <c r="L53" s="22"/>
      <c r="M53" s="23"/>
      <c r="N53" s="24"/>
    </row>
    <row r="54" spans="1:14" ht="15.75" hidden="1" customHeight="1">
      <c r="A54" s="43">
        <v>27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6"/>
        <v>0.1406626</v>
      </c>
      <c r="I54" s="14">
        <f t="shared" si="8"/>
        <v>70.331299999999999</v>
      </c>
      <c r="J54" s="26"/>
      <c r="L54" s="22"/>
      <c r="M54" s="23"/>
      <c r="N54" s="24"/>
    </row>
    <row r="55" spans="1:14" ht="15.75" hidden="1" customHeight="1">
      <c r="A55" s="43">
        <v>10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6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hidden="1" customHeight="1">
      <c r="A56" s="43">
        <v>11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6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customHeight="1">
      <c r="A57" s="125" t="s">
        <v>160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hidden="1" customHeight="1">
      <c r="A58" s="55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hidden="1" customHeight="1">
      <c r="A59" s="43">
        <v>12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hidden="1" customHeight="1">
      <c r="A60" s="43">
        <v>13</v>
      </c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f>G60</f>
        <v>1501</v>
      </c>
      <c r="J60" s="26"/>
      <c r="L60" s="22"/>
      <c r="M60" s="23"/>
      <c r="N60" s="24"/>
    </row>
    <row r="61" spans="1:14" ht="15.75" hidden="1" customHeight="1">
      <c r="A61" s="43"/>
      <c r="B61" s="72" t="s">
        <v>44</v>
      </c>
      <c r="C61" s="72"/>
      <c r="D61" s="72"/>
      <c r="E61" s="72"/>
      <c r="F61" s="72"/>
      <c r="G61" s="72"/>
      <c r="H61" s="72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hidden="1" customHeight="1">
      <c r="A63" s="43"/>
      <c r="B63" s="72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hidden="1" customHeight="1">
      <c r="A64" s="43">
        <v>12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9">SUM(F64*G64/1000)</f>
        <v>2.7674000000000003</v>
      </c>
      <c r="I64" s="14">
        <f>G64</f>
        <v>276.74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9"/>
        <v>0.28467000000000003</v>
      </c>
      <c r="I65" s="14">
        <v>0</v>
      </c>
    </row>
    <row r="66" spans="1:22" ht="15.75" hidden="1" customHeight="1">
      <c r="A66" s="32">
        <v>28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9"/>
        <v>19.820369200000002</v>
      </c>
      <c r="I66" s="14">
        <f>F66*G66</f>
        <v>19820.369200000001</v>
      </c>
    </row>
    <row r="67" spans="1:22" ht="15.75" hidden="1" customHeight="1">
      <c r="A67" s="32">
        <v>29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2">
        <v>30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9"/>
        <v>28.138677000000005</v>
      </c>
      <c r="I68" s="14">
        <f t="shared" si="10"/>
        <v>28138.677000000003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2">
        <v>31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2">
        <v>32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hidden="1" customHeight="1">
      <c r="A71" s="32">
        <v>13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9"/>
        <v>0.18621000000000001</v>
      </c>
      <c r="I71" s="14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11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11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11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11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11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12">SUM(F79*G79/1000)</f>
        <v>4.6354679999999995</v>
      </c>
      <c r="I79" s="14">
        <v>0</v>
      </c>
    </row>
    <row r="80" spans="1:22" ht="15.75" customHeight="1">
      <c r="A80" s="32"/>
      <c r="B80" s="72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13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13"/>
        <v>1.4681999999999997</v>
      </c>
      <c r="I82" s="14">
        <v>0</v>
      </c>
    </row>
    <row r="83" spans="1:9" ht="15.75" customHeight="1">
      <c r="A83" s="32">
        <v>10</v>
      </c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13"/>
        <v>3.19041</v>
      </c>
      <c r="I83" s="14">
        <f>G83*((10+10)/3)</f>
        <v>7089.8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13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13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13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13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13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13"/>
        <v>7.5860399999999988</v>
      </c>
      <c r="I89" s="14">
        <v>0</v>
      </c>
    </row>
    <row r="90" spans="1:9" ht="15.75" hidden="1" customHeight="1">
      <c r="A90" s="32">
        <v>33</v>
      </c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13"/>
        <v>2.8108906600000001</v>
      </c>
      <c r="I90" s="14">
        <f t="shared" ref="I90" si="14">F90/2*G90</f>
        <v>1405.44533</v>
      </c>
    </row>
    <row r="91" spans="1:9" ht="15.75" hidden="1" customHeight="1">
      <c r="A91" s="55"/>
      <c r="B91" s="72" t="s">
        <v>132</v>
      </c>
      <c r="C91" s="72"/>
      <c r="D91" s="72"/>
      <c r="E91" s="72"/>
      <c r="F91" s="72"/>
      <c r="G91" s="72"/>
      <c r="H91" s="72"/>
      <c r="I91" s="21"/>
    </row>
    <row r="92" spans="1:9" ht="15.75" hidden="1" customHeight="1">
      <c r="A92" s="32">
        <v>15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f>G92</f>
        <v>14087.8</v>
      </c>
    </row>
    <row r="93" spans="1:9" ht="15.75" customHeight="1">
      <c r="A93" s="133" t="s">
        <v>161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11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12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55"/>
      <c r="B96" s="42" t="s">
        <v>82</v>
      </c>
      <c r="C96" s="43"/>
      <c r="D96" s="17"/>
      <c r="E96" s="17"/>
      <c r="F96" s="17"/>
      <c r="G96" s="21"/>
      <c r="H96" s="21"/>
      <c r="I96" s="35">
        <f>SUM(I16+I17+I18+I27+I28+I31+I32+I34+I35+I83+I94+I95)</f>
        <v>36138.39240137778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15.75" customHeight="1">
      <c r="A98" s="109">
        <v>13</v>
      </c>
      <c r="B98" s="67" t="s">
        <v>194</v>
      </c>
      <c r="C98" s="108" t="s">
        <v>195</v>
      </c>
      <c r="D98" s="54"/>
      <c r="E98" s="14"/>
      <c r="F98" s="14">
        <v>1</v>
      </c>
      <c r="G98" s="14">
        <v>294.45</v>
      </c>
      <c r="H98" s="99">
        <f>G98*F98/1000</f>
        <v>0.29444999999999999</v>
      </c>
      <c r="I98" s="110">
        <f>G98</f>
        <v>294.45</v>
      </c>
    </row>
    <row r="99" spans="1:9" ht="15.75" customHeight="1">
      <c r="A99" s="32"/>
      <c r="B99" s="48" t="s">
        <v>52</v>
      </c>
      <c r="C99" s="44"/>
      <c r="D99" s="56"/>
      <c r="E99" s="56"/>
      <c r="F99" s="44">
        <v>1</v>
      </c>
      <c r="G99" s="44"/>
      <c r="H99" s="44"/>
      <c r="I99" s="35">
        <f>SUM(I98)</f>
        <v>294.45</v>
      </c>
    </row>
    <row r="100" spans="1:9" ht="15.75" customHeight="1">
      <c r="A100" s="32"/>
      <c r="B100" s="54" t="s">
        <v>80</v>
      </c>
      <c r="C100" s="17"/>
      <c r="D100" s="17"/>
      <c r="E100" s="17"/>
      <c r="F100" s="45"/>
      <c r="G100" s="46"/>
      <c r="H100" s="46"/>
      <c r="I100" s="20">
        <v>0</v>
      </c>
    </row>
    <row r="101" spans="1:9" ht="15.75" customHeight="1">
      <c r="A101" s="57"/>
      <c r="B101" s="49" t="s">
        <v>162</v>
      </c>
      <c r="C101" s="37"/>
      <c r="D101" s="37"/>
      <c r="E101" s="37"/>
      <c r="F101" s="37"/>
      <c r="G101" s="37"/>
      <c r="H101" s="37"/>
      <c r="I101" s="47">
        <f>I96+I99</f>
        <v>36432.842401377777</v>
      </c>
    </row>
    <row r="102" spans="1:9" ht="15.75">
      <c r="A102" s="122" t="s">
        <v>196</v>
      </c>
      <c r="B102" s="122"/>
      <c r="C102" s="122"/>
      <c r="D102" s="122"/>
      <c r="E102" s="122"/>
      <c r="F102" s="122"/>
      <c r="G102" s="122"/>
      <c r="H102" s="122"/>
      <c r="I102" s="122"/>
    </row>
    <row r="103" spans="1:9" ht="15.75">
      <c r="A103" s="74"/>
      <c r="B103" s="123" t="s">
        <v>197</v>
      </c>
      <c r="C103" s="123"/>
      <c r="D103" s="123"/>
      <c r="E103" s="123"/>
      <c r="F103" s="123"/>
      <c r="G103" s="123"/>
      <c r="H103" s="81"/>
      <c r="I103" s="3"/>
    </row>
    <row r="104" spans="1:9">
      <c r="A104" s="70"/>
      <c r="B104" s="121" t="s">
        <v>6</v>
      </c>
      <c r="C104" s="121"/>
      <c r="D104" s="121"/>
      <c r="E104" s="121"/>
      <c r="F104" s="121"/>
      <c r="G104" s="121"/>
      <c r="H104" s="27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24" t="s">
        <v>7</v>
      </c>
      <c r="B106" s="124"/>
      <c r="C106" s="124"/>
      <c r="D106" s="124"/>
      <c r="E106" s="124"/>
      <c r="F106" s="124"/>
      <c r="G106" s="124"/>
      <c r="H106" s="124"/>
      <c r="I106" s="124"/>
    </row>
    <row r="107" spans="1:9" ht="15.75">
      <c r="A107" s="124" t="s">
        <v>8</v>
      </c>
      <c r="B107" s="124"/>
      <c r="C107" s="124"/>
      <c r="D107" s="124"/>
      <c r="E107" s="124"/>
      <c r="F107" s="124"/>
      <c r="G107" s="124"/>
      <c r="H107" s="124"/>
      <c r="I107" s="124"/>
    </row>
    <row r="108" spans="1:9" ht="15.75">
      <c r="A108" s="118" t="s">
        <v>62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15.75">
      <c r="A109" s="11"/>
    </row>
    <row r="110" spans="1:9" ht="15.75">
      <c r="A110" s="119" t="s">
        <v>9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ht="15.75">
      <c r="A111" s="4"/>
    </row>
    <row r="112" spans="1:9" ht="15.75">
      <c r="B112" s="71" t="s">
        <v>10</v>
      </c>
      <c r="C112" s="120" t="s">
        <v>94</v>
      </c>
      <c r="D112" s="120"/>
      <c r="E112" s="120"/>
      <c r="F112" s="120"/>
      <c r="I112" s="69"/>
    </row>
    <row r="113" spans="1:9">
      <c r="A113" s="70"/>
      <c r="C113" s="121" t="s">
        <v>11</v>
      </c>
      <c r="D113" s="121"/>
      <c r="E113" s="121"/>
      <c r="F113" s="121"/>
      <c r="I113" s="68" t="s">
        <v>12</v>
      </c>
    </row>
    <row r="114" spans="1:9" ht="15.75">
      <c r="A114" s="28"/>
      <c r="C114" s="12"/>
      <c r="D114" s="12"/>
      <c r="E114" s="12"/>
      <c r="G114" s="12"/>
      <c r="H114" s="12"/>
    </row>
    <row r="115" spans="1:9" ht="15.75">
      <c r="B115" s="71" t="s">
        <v>13</v>
      </c>
      <c r="C115" s="115"/>
      <c r="D115" s="115"/>
      <c r="E115" s="115"/>
      <c r="F115" s="115"/>
      <c r="I115" s="69"/>
    </row>
    <row r="116" spans="1:9">
      <c r="A116" s="70"/>
      <c r="C116" s="116" t="s">
        <v>11</v>
      </c>
      <c r="D116" s="116"/>
      <c r="E116" s="116"/>
      <c r="F116" s="116"/>
      <c r="I116" s="68" t="s">
        <v>12</v>
      </c>
    </row>
    <row r="117" spans="1:9" ht="15.75">
      <c r="A117" s="4" t="s">
        <v>14</v>
      </c>
    </row>
    <row r="118" spans="1:9">
      <c r="A118" s="117" t="s">
        <v>15</v>
      </c>
      <c r="B118" s="117"/>
      <c r="C118" s="117"/>
      <c r="D118" s="117"/>
      <c r="E118" s="117"/>
      <c r="F118" s="117"/>
      <c r="G118" s="117"/>
      <c r="H118" s="117"/>
      <c r="I118" s="117"/>
    </row>
    <row r="119" spans="1:9" ht="45" customHeight="1">
      <c r="A119" s="114" t="s">
        <v>16</v>
      </c>
      <c r="B119" s="114"/>
      <c r="C119" s="114"/>
      <c r="D119" s="114"/>
      <c r="E119" s="114"/>
      <c r="F119" s="114"/>
      <c r="G119" s="114"/>
      <c r="H119" s="114"/>
      <c r="I119" s="114"/>
    </row>
    <row r="120" spans="1:9" ht="30" customHeight="1">
      <c r="A120" s="114" t="s">
        <v>17</v>
      </c>
      <c r="B120" s="114"/>
      <c r="C120" s="114"/>
      <c r="D120" s="114"/>
      <c r="E120" s="114"/>
      <c r="F120" s="114"/>
      <c r="G120" s="114"/>
      <c r="H120" s="114"/>
      <c r="I120" s="114"/>
    </row>
    <row r="121" spans="1:9" ht="30" customHeight="1">
      <c r="A121" s="114" t="s">
        <v>21</v>
      </c>
      <c r="B121" s="114"/>
      <c r="C121" s="114"/>
      <c r="D121" s="114"/>
      <c r="E121" s="114"/>
      <c r="F121" s="114"/>
      <c r="G121" s="114"/>
      <c r="H121" s="114"/>
      <c r="I121" s="114"/>
    </row>
    <row r="122" spans="1:9" ht="15" customHeight="1">
      <c r="A122" s="114" t="s">
        <v>20</v>
      </c>
      <c r="B122" s="114"/>
      <c r="C122" s="114"/>
      <c r="D122" s="114"/>
      <c r="E122" s="114"/>
      <c r="F122" s="114"/>
      <c r="G122" s="114"/>
      <c r="H122" s="114"/>
      <c r="I122" s="114"/>
    </row>
  </sheetData>
  <autoFilter ref="I12:I65"/>
  <mergeCells count="29">
    <mergeCell ref="A118:I118"/>
    <mergeCell ref="A119:I119"/>
    <mergeCell ref="A120:I120"/>
    <mergeCell ref="A121:I121"/>
    <mergeCell ref="A122:I122"/>
    <mergeCell ref="R70:U70"/>
    <mergeCell ref="C116:F116"/>
    <mergeCell ref="A97:I97"/>
    <mergeCell ref="A102:I102"/>
    <mergeCell ref="B103:G103"/>
    <mergeCell ref="B104:G104"/>
    <mergeCell ref="A106:I106"/>
    <mergeCell ref="A107:I107"/>
    <mergeCell ref="A108:I108"/>
    <mergeCell ref="A110:I110"/>
    <mergeCell ref="C112:F112"/>
    <mergeCell ref="C113:F113"/>
    <mergeCell ref="C115:F115"/>
    <mergeCell ref="A93:I9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2"/>
  <sheetViews>
    <sheetView tabSelected="1" topLeftCell="A27" workbookViewId="0">
      <selection activeCell="K100" sqref="K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198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199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3">
        <v>42978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hidden="1" customHeight="1">
      <c r="A19" s="32">
        <v>4</v>
      </c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f>F19/2*G19</f>
        <v>161.9811</v>
      </c>
      <c r="J19" s="25"/>
      <c r="K19" s="8"/>
      <c r="L19" s="8"/>
      <c r="M19" s="8"/>
    </row>
    <row r="20" spans="1:13" ht="15.75" hidden="1" customHeight="1">
      <c r="A20" s="32">
        <v>5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f>F20*G20</f>
        <v>24.247</v>
      </c>
      <c r="J20" s="25"/>
      <c r="K20" s="8"/>
      <c r="L20" s="8"/>
      <c r="M20" s="8"/>
    </row>
    <row r="21" spans="1:13" ht="15.75" hidden="1" customHeight="1">
      <c r="A21" s="32">
        <v>6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f>F21/2*G21</f>
        <v>319.162464</v>
      </c>
      <c r="J21" s="25"/>
      <c r="K21" s="8"/>
      <c r="L21" s="8"/>
      <c r="M21" s="8"/>
    </row>
    <row r="22" spans="1:13" ht="15.75" hidden="1" customHeight="1">
      <c r="A22" s="32">
        <v>7</v>
      </c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f>F22/2*G22</f>
        <v>140.05353599999998</v>
      </c>
      <c r="J22" s="25"/>
      <c r="K22" s="8"/>
      <c r="L22" s="8"/>
      <c r="M22" s="8"/>
    </row>
    <row r="23" spans="1:13" ht="15.75" hidden="1" customHeight="1">
      <c r="A23" s="32">
        <v>8</v>
      </c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f>F23*G23</f>
        <v>720.35749999999996</v>
      </c>
      <c r="J23" s="25"/>
      <c r="K23" s="8"/>
      <c r="L23" s="8"/>
      <c r="M23" s="8"/>
    </row>
    <row r="24" spans="1:13" ht="15.75" hidden="1" customHeight="1">
      <c r="A24" s="32">
        <v>9</v>
      </c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f t="shared" ref="I24:I26" si="1">F24*G24</f>
        <v>9.7196400000000001</v>
      </c>
      <c r="J24" s="25"/>
      <c r="K24" s="8"/>
      <c r="L24" s="8"/>
      <c r="M24" s="8"/>
    </row>
    <row r="25" spans="1:13" ht="15.75" hidden="1" customHeight="1">
      <c r="A25" s="32">
        <v>10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f t="shared" si="1"/>
        <v>93.319200000000009</v>
      </c>
      <c r="J25" s="25"/>
      <c r="K25" s="8"/>
      <c r="L25" s="8"/>
      <c r="M25" s="8"/>
    </row>
    <row r="26" spans="1:13" ht="15.75" hidden="1" customHeight="1">
      <c r="A26" s="32">
        <v>11</v>
      </c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f t="shared" si="1"/>
        <v>24.2028</v>
      </c>
      <c r="J26" s="25"/>
      <c r="K26" s="8"/>
      <c r="L26" s="8"/>
      <c r="M26" s="8"/>
    </row>
    <row r="27" spans="1:13" ht="15.75" customHeight="1">
      <c r="A27" s="32">
        <v>4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32">
        <v>5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customHeight="1">
      <c r="A31" s="43">
        <v>6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2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customHeight="1">
      <c r="A32" s="43">
        <v>7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2"/>
        <v>0.85848703199999998</v>
      </c>
      <c r="I32" s="14">
        <f t="shared" ref="I32:I35" si="3">F32/6*G32</f>
        <v>143.08117200000001</v>
      </c>
      <c r="J32" s="25"/>
      <c r="K32" s="8"/>
      <c r="L32" s="8"/>
      <c r="M32" s="8"/>
    </row>
    <row r="33" spans="1:14" ht="15.75" hidden="1" customHeight="1">
      <c r="A33" s="43">
        <v>16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2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customHeight="1">
      <c r="A34" s="43">
        <v>8</v>
      </c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2"/>
        <v>7.5336975000000015</v>
      </c>
      <c r="I34" s="14">
        <f t="shared" si="3"/>
        <v>1255.61625</v>
      </c>
      <c r="J34" s="25"/>
      <c r="K34" s="8"/>
    </row>
    <row r="35" spans="1:14" ht="15.75" customHeight="1">
      <c r="A35" s="43">
        <v>9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2"/>
        <v>3.6445666666666665</v>
      </c>
      <c r="I35" s="14">
        <f t="shared" si="3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2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2"/>
        <v>2.8279200000000002</v>
      </c>
      <c r="I37" s="14">
        <v>0</v>
      </c>
      <c r="J37" s="26"/>
    </row>
    <row r="38" spans="1:14" ht="15.75" hidden="1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hidden="1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4">SUM(F39*G39/1000)</f>
        <v>3.8007399999999998</v>
      </c>
      <c r="I39" s="14">
        <f t="shared" ref="I39:I44" si="5">F39/6*G39</f>
        <v>633.45666666666659</v>
      </c>
      <c r="J39" s="26"/>
    </row>
    <row r="40" spans="1:14" ht="15.75" hidden="1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4"/>
        <v>2.6845187400000001</v>
      </c>
      <c r="I40" s="14">
        <f t="shared" si="5"/>
        <v>447.41978999999998</v>
      </c>
      <c r="J40" s="26"/>
    </row>
    <row r="41" spans="1:14" ht="15.75" hidden="1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4"/>
        <v>2.3136214500000003</v>
      </c>
      <c r="I41" s="14">
        <f t="shared" si="5"/>
        <v>385.60357500000003</v>
      </c>
      <c r="J41" s="26"/>
    </row>
    <row r="42" spans="1:14" ht="47.25" hidden="1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4"/>
        <v>8.6437883699999993</v>
      </c>
      <c r="I42" s="14">
        <f t="shared" si="5"/>
        <v>1440.6313950000001</v>
      </c>
      <c r="J42" s="26"/>
      <c r="L42" s="22"/>
      <c r="M42" s="23"/>
      <c r="N42" s="24"/>
    </row>
    <row r="43" spans="1:14" ht="15.75" hidden="1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4"/>
        <v>0.36487980000000003</v>
      </c>
      <c r="I43" s="14">
        <f t="shared" si="5"/>
        <v>60.813300000000005</v>
      </c>
      <c r="J43" s="26"/>
      <c r="L43" s="22"/>
      <c r="M43" s="23"/>
      <c r="N43" s="24"/>
    </row>
    <row r="44" spans="1:14" ht="15.75" hidden="1" customHeight="1">
      <c r="A44" s="36">
        <v>11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4"/>
        <v>0.49648500000000001</v>
      </c>
      <c r="I44" s="14">
        <f t="shared" si="5"/>
        <v>82.747500000000002</v>
      </c>
      <c r="J44" s="26"/>
      <c r="L44" s="22"/>
      <c r="M44" s="23"/>
      <c r="N44" s="24"/>
    </row>
    <row r="45" spans="1:14" ht="15.75" hidden="1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hidden="1" customHeight="1">
      <c r="A46" s="43">
        <v>19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6">SUM(F46*G46/1000)</f>
        <v>2.6521417440000006</v>
      </c>
      <c r="I46" s="14">
        <f t="shared" ref="I46:I49" si="7">F46/2*G46</f>
        <v>1326.0708720000002</v>
      </c>
      <c r="J46" s="26"/>
      <c r="L46" s="22"/>
      <c r="M46" s="23"/>
      <c r="N46" s="24"/>
    </row>
    <row r="47" spans="1:14" ht="15.75" hidden="1" customHeight="1">
      <c r="A47" s="43">
        <v>20</v>
      </c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6"/>
        <v>2.8553184000000002E-2</v>
      </c>
      <c r="I47" s="14">
        <f t="shared" si="7"/>
        <v>14.276592000000001</v>
      </c>
      <c r="J47" s="26"/>
      <c r="L47" s="22"/>
      <c r="M47" s="23"/>
      <c r="N47" s="24"/>
    </row>
    <row r="48" spans="1:14" ht="15.75" hidden="1" customHeight="1">
      <c r="A48" s="43">
        <v>21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6"/>
        <v>2.2617645503999997</v>
      </c>
      <c r="I48" s="14">
        <f t="shared" si="7"/>
        <v>1130.8822751999999</v>
      </c>
      <c r="J48" s="26"/>
      <c r="L48" s="22"/>
      <c r="M48" s="23"/>
      <c r="N48" s="24"/>
    </row>
    <row r="49" spans="1:14" ht="15.75" hidden="1" customHeight="1">
      <c r="A49" s="43">
        <v>22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6"/>
        <v>2.7280312466000001</v>
      </c>
      <c r="I49" s="14">
        <f t="shared" si="7"/>
        <v>1364.0156233</v>
      </c>
      <c r="J49" s="26"/>
      <c r="L49" s="22"/>
      <c r="M49" s="23"/>
      <c r="N49" s="24"/>
    </row>
    <row r="50" spans="1:14" ht="15.75" hidden="1" customHeight="1">
      <c r="A50" s="43">
        <v>23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6"/>
        <v>3.1061108E-2</v>
      </c>
      <c r="I50" s="14">
        <f>F50/2*G50</f>
        <v>15.530554</v>
      </c>
      <c r="J50" s="26"/>
      <c r="L50" s="22"/>
      <c r="M50" s="23"/>
      <c r="N50" s="24"/>
    </row>
    <row r="51" spans="1:14" ht="15.75" hidden="1" customHeight="1">
      <c r="A51" s="43">
        <v>24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6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hidden="1" customHeight="1">
      <c r="A52" s="43">
        <v>25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6"/>
        <v>2.48555876</v>
      </c>
      <c r="I52" s="14">
        <f>F52/2*G52</f>
        <v>1242.7793799999999</v>
      </c>
      <c r="J52" s="26"/>
      <c r="L52" s="22"/>
      <c r="M52" s="23"/>
      <c r="N52" s="24"/>
    </row>
    <row r="53" spans="1:14" ht="31.5" hidden="1" customHeight="1">
      <c r="A53" s="43">
        <v>26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6"/>
        <v>0.69307200000000002</v>
      </c>
      <c r="I53" s="14">
        <f t="shared" ref="I53:I54" si="8">F53/2*G53</f>
        <v>346.536</v>
      </c>
      <c r="J53" s="26"/>
      <c r="L53" s="22"/>
      <c r="M53" s="23"/>
      <c r="N53" s="24"/>
    </row>
    <row r="54" spans="1:14" ht="15.75" hidden="1" customHeight="1">
      <c r="A54" s="43">
        <v>27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6"/>
        <v>0.1406626</v>
      </c>
      <c r="I54" s="14">
        <f t="shared" si="8"/>
        <v>70.331299999999999</v>
      </c>
      <c r="J54" s="26"/>
      <c r="L54" s="22"/>
      <c r="M54" s="23"/>
      <c r="N54" s="24"/>
    </row>
    <row r="55" spans="1:14" ht="15.75" hidden="1" customHeight="1">
      <c r="A55" s="43">
        <v>10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6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hidden="1" customHeight="1">
      <c r="A56" s="43">
        <v>11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6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hidden="1" customHeight="1">
      <c r="A57" s="125" t="s">
        <v>160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hidden="1" customHeight="1">
      <c r="A58" s="55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hidden="1" customHeight="1">
      <c r="A59" s="43">
        <v>12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hidden="1" customHeight="1">
      <c r="A60" s="43">
        <v>13</v>
      </c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f>G60</f>
        <v>1501</v>
      </c>
      <c r="J60" s="26"/>
      <c r="L60" s="22"/>
      <c r="M60" s="23"/>
      <c r="N60" s="24"/>
    </row>
    <row r="61" spans="1:14" ht="15.75" hidden="1" customHeight="1">
      <c r="A61" s="43"/>
      <c r="B61" s="72" t="s">
        <v>44</v>
      </c>
      <c r="C61" s="72"/>
      <c r="D61" s="72"/>
      <c r="E61" s="72"/>
      <c r="F61" s="72"/>
      <c r="G61" s="72"/>
      <c r="H61" s="72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hidden="1" customHeight="1">
      <c r="A63" s="43"/>
      <c r="B63" s="72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hidden="1" customHeight="1">
      <c r="A64" s="43">
        <v>12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9">SUM(F64*G64/1000)</f>
        <v>2.7674000000000003</v>
      </c>
      <c r="I64" s="14">
        <f>G64</f>
        <v>276.74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9"/>
        <v>0.28467000000000003</v>
      </c>
      <c r="I65" s="14">
        <v>0</v>
      </c>
    </row>
    <row r="66" spans="1:22" ht="15.75" hidden="1" customHeight="1">
      <c r="A66" s="32">
        <v>28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9"/>
        <v>19.820369200000002</v>
      </c>
      <c r="I66" s="14">
        <f>F66*G66</f>
        <v>19820.369200000001</v>
      </c>
    </row>
    <row r="67" spans="1:22" ht="15.75" hidden="1" customHeight="1">
      <c r="A67" s="32">
        <v>29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2">
        <v>30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9"/>
        <v>28.138677000000005</v>
      </c>
      <c r="I68" s="14">
        <f t="shared" si="10"/>
        <v>28138.677000000003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2">
        <v>31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2">
        <v>32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hidden="1" customHeight="1">
      <c r="A71" s="32">
        <v>13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9"/>
        <v>0.18621000000000001</v>
      </c>
      <c r="I71" s="14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11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11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11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11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11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12">SUM(F79*G79/1000)</f>
        <v>4.6354679999999995</v>
      </c>
      <c r="I79" s="14">
        <v>0</v>
      </c>
    </row>
    <row r="80" spans="1:22" ht="15.75" hidden="1" customHeight="1">
      <c r="A80" s="32"/>
      <c r="B80" s="72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13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13"/>
        <v>1.4681999999999997</v>
      </c>
      <c r="I82" s="14">
        <v>0</v>
      </c>
    </row>
    <row r="83" spans="1:9" ht="15.75" hidden="1" customHeight="1">
      <c r="A83" s="32">
        <v>10</v>
      </c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13"/>
        <v>3.19041</v>
      </c>
      <c r="I83" s="14">
        <f>G83*((10+10)/3)</f>
        <v>7089.8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13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13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13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13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13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13"/>
        <v>7.5860399999999988</v>
      </c>
      <c r="I89" s="14">
        <v>0</v>
      </c>
    </row>
    <row r="90" spans="1:9" ht="15.75" hidden="1" customHeight="1">
      <c r="A90" s="32">
        <v>33</v>
      </c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13"/>
        <v>2.8108906600000001</v>
      </c>
      <c r="I90" s="14">
        <f t="shared" ref="I90" si="14">F90/2*G90</f>
        <v>1405.44533</v>
      </c>
    </row>
    <row r="91" spans="1:9" ht="15.75" hidden="1" customHeight="1">
      <c r="A91" s="55"/>
      <c r="B91" s="72" t="s">
        <v>132</v>
      </c>
      <c r="C91" s="72"/>
      <c r="D91" s="72"/>
      <c r="E91" s="72"/>
      <c r="F91" s="72"/>
      <c r="G91" s="72"/>
      <c r="H91" s="72"/>
      <c r="I91" s="21"/>
    </row>
    <row r="92" spans="1:9" ht="15.75" hidden="1" customHeight="1">
      <c r="A92" s="32">
        <v>15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f>G92</f>
        <v>14087.8</v>
      </c>
    </row>
    <row r="93" spans="1:9" ht="15.75" customHeight="1">
      <c r="A93" s="133" t="s">
        <v>200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10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11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55"/>
      <c r="B96" s="42" t="s">
        <v>82</v>
      </c>
      <c r="C96" s="43"/>
      <c r="D96" s="17"/>
      <c r="E96" s="17"/>
      <c r="F96" s="17"/>
      <c r="G96" s="21"/>
      <c r="H96" s="21"/>
      <c r="I96" s="35">
        <f>SUM(I16+I17+I18+I27+I28+I31+I32+I34+I35+I94+I95)</f>
        <v>29048.592401377777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15.75" customHeight="1">
      <c r="A98" s="113">
        <v>12</v>
      </c>
      <c r="B98" s="67" t="s">
        <v>233</v>
      </c>
      <c r="C98" s="108" t="s">
        <v>234</v>
      </c>
      <c r="D98" s="50"/>
      <c r="E98" s="50"/>
      <c r="F98" s="50"/>
      <c r="G98" s="39">
        <v>2474</v>
      </c>
      <c r="H98" s="50"/>
      <c r="I98" s="44">
        <f>G98*20</f>
        <v>49480</v>
      </c>
    </row>
    <row r="99" spans="1:9" ht="15.75" customHeight="1">
      <c r="A99" s="32"/>
      <c r="B99" s="48" t="s">
        <v>52</v>
      </c>
      <c r="C99" s="44"/>
      <c r="D99" s="56"/>
      <c r="E99" s="56"/>
      <c r="F99" s="44">
        <v>1</v>
      </c>
      <c r="G99" s="44"/>
      <c r="H99" s="44"/>
      <c r="I99" s="35">
        <f>I98</f>
        <v>49480</v>
      </c>
    </row>
    <row r="100" spans="1:9" ht="15.75" customHeight="1">
      <c r="A100" s="32"/>
      <c r="B100" s="54" t="s">
        <v>80</v>
      </c>
      <c r="C100" s="17"/>
      <c r="D100" s="17"/>
      <c r="E100" s="17"/>
      <c r="F100" s="45"/>
      <c r="G100" s="46"/>
      <c r="H100" s="46"/>
      <c r="I100" s="20">
        <v>0</v>
      </c>
    </row>
    <row r="101" spans="1:9" ht="15.75" customHeight="1">
      <c r="A101" s="57"/>
      <c r="B101" s="49" t="s">
        <v>162</v>
      </c>
      <c r="C101" s="37"/>
      <c r="D101" s="37"/>
      <c r="E101" s="37"/>
      <c r="F101" s="37"/>
      <c r="G101" s="37"/>
      <c r="H101" s="37"/>
      <c r="I101" s="47">
        <f>I96+I99</f>
        <v>78528.592401377769</v>
      </c>
    </row>
    <row r="102" spans="1:9" ht="15.75">
      <c r="A102" s="122" t="s">
        <v>235</v>
      </c>
      <c r="B102" s="122"/>
      <c r="C102" s="122"/>
      <c r="D102" s="122"/>
      <c r="E102" s="122"/>
      <c r="F102" s="122"/>
      <c r="G102" s="122"/>
      <c r="H102" s="122"/>
      <c r="I102" s="122"/>
    </row>
    <row r="103" spans="1:9" ht="15.75">
      <c r="A103" s="74"/>
      <c r="B103" s="123" t="s">
        <v>236</v>
      </c>
      <c r="C103" s="123"/>
      <c r="D103" s="123"/>
      <c r="E103" s="123"/>
      <c r="F103" s="123"/>
      <c r="G103" s="123"/>
      <c r="H103" s="81"/>
      <c r="I103" s="3"/>
    </row>
    <row r="104" spans="1:9">
      <c r="A104" s="70"/>
      <c r="B104" s="121" t="s">
        <v>6</v>
      </c>
      <c r="C104" s="121"/>
      <c r="D104" s="121"/>
      <c r="E104" s="121"/>
      <c r="F104" s="121"/>
      <c r="G104" s="121"/>
      <c r="H104" s="27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24" t="s">
        <v>7</v>
      </c>
      <c r="B106" s="124"/>
      <c r="C106" s="124"/>
      <c r="D106" s="124"/>
      <c r="E106" s="124"/>
      <c r="F106" s="124"/>
      <c r="G106" s="124"/>
      <c r="H106" s="124"/>
      <c r="I106" s="124"/>
    </row>
    <row r="107" spans="1:9" ht="15.75">
      <c r="A107" s="124" t="s">
        <v>8</v>
      </c>
      <c r="B107" s="124"/>
      <c r="C107" s="124"/>
      <c r="D107" s="124"/>
      <c r="E107" s="124"/>
      <c r="F107" s="124"/>
      <c r="G107" s="124"/>
      <c r="H107" s="124"/>
      <c r="I107" s="124"/>
    </row>
    <row r="108" spans="1:9" ht="15.75">
      <c r="A108" s="118" t="s">
        <v>62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15.75">
      <c r="A109" s="11"/>
    </row>
    <row r="110" spans="1:9" ht="15.75">
      <c r="A110" s="119" t="s">
        <v>9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ht="15.75">
      <c r="A111" s="4"/>
    </row>
    <row r="112" spans="1:9" ht="15.75">
      <c r="B112" s="71" t="s">
        <v>10</v>
      </c>
      <c r="C112" s="120" t="s">
        <v>94</v>
      </c>
      <c r="D112" s="120"/>
      <c r="E112" s="120"/>
      <c r="F112" s="120"/>
      <c r="I112" s="69"/>
    </row>
    <row r="113" spans="1:9">
      <c r="A113" s="70"/>
      <c r="C113" s="121" t="s">
        <v>11</v>
      </c>
      <c r="D113" s="121"/>
      <c r="E113" s="121"/>
      <c r="F113" s="121"/>
      <c r="I113" s="68" t="s">
        <v>12</v>
      </c>
    </row>
    <row r="114" spans="1:9" ht="15.75">
      <c r="A114" s="28"/>
      <c r="C114" s="12"/>
      <c r="D114" s="12"/>
      <c r="E114" s="12"/>
      <c r="G114" s="12"/>
      <c r="H114" s="12"/>
    </row>
    <row r="115" spans="1:9" ht="15.75">
      <c r="B115" s="71" t="s">
        <v>13</v>
      </c>
      <c r="C115" s="115"/>
      <c r="D115" s="115"/>
      <c r="E115" s="115"/>
      <c r="F115" s="115"/>
      <c r="I115" s="69"/>
    </row>
    <row r="116" spans="1:9">
      <c r="A116" s="70"/>
      <c r="C116" s="116" t="s">
        <v>11</v>
      </c>
      <c r="D116" s="116"/>
      <c r="E116" s="116"/>
      <c r="F116" s="116"/>
      <c r="I116" s="68" t="s">
        <v>12</v>
      </c>
    </row>
    <row r="117" spans="1:9" ht="15.75">
      <c r="A117" s="4" t="s">
        <v>14</v>
      </c>
    </row>
    <row r="118" spans="1:9">
      <c r="A118" s="117" t="s">
        <v>15</v>
      </c>
      <c r="B118" s="117"/>
      <c r="C118" s="117"/>
      <c r="D118" s="117"/>
      <c r="E118" s="117"/>
      <c r="F118" s="117"/>
      <c r="G118" s="117"/>
      <c r="H118" s="117"/>
      <c r="I118" s="117"/>
    </row>
    <row r="119" spans="1:9" ht="45" customHeight="1">
      <c r="A119" s="114" t="s">
        <v>16</v>
      </c>
      <c r="B119" s="114"/>
      <c r="C119" s="114"/>
      <c r="D119" s="114"/>
      <c r="E119" s="114"/>
      <c r="F119" s="114"/>
      <c r="G119" s="114"/>
      <c r="H119" s="114"/>
      <c r="I119" s="114"/>
    </row>
    <row r="120" spans="1:9" ht="30" customHeight="1">
      <c r="A120" s="114" t="s">
        <v>17</v>
      </c>
      <c r="B120" s="114"/>
      <c r="C120" s="114"/>
      <c r="D120" s="114"/>
      <c r="E120" s="114"/>
      <c r="F120" s="114"/>
      <c r="G120" s="114"/>
      <c r="H120" s="114"/>
      <c r="I120" s="114"/>
    </row>
    <row r="121" spans="1:9" ht="30" customHeight="1">
      <c r="A121" s="114" t="s">
        <v>21</v>
      </c>
      <c r="B121" s="114"/>
      <c r="C121" s="114"/>
      <c r="D121" s="114"/>
      <c r="E121" s="114"/>
      <c r="F121" s="114"/>
      <c r="G121" s="114"/>
      <c r="H121" s="114"/>
      <c r="I121" s="114"/>
    </row>
    <row r="122" spans="1:9" ht="15" customHeight="1">
      <c r="A122" s="114" t="s">
        <v>20</v>
      </c>
      <c r="B122" s="114"/>
      <c r="C122" s="114"/>
      <c r="D122" s="114"/>
      <c r="E122" s="114"/>
      <c r="F122" s="114"/>
      <c r="G122" s="114"/>
      <c r="H122" s="114"/>
      <c r="I122" s="114"/>
    </row>
  </sheetData>
  <autoFilter ref="I12:I65"/>
  <mergeCells count="29">
    <mergeCell ref="A118:I118"/>
    <mergeCell ref="A119:I119"/>
    <mergeCell ref="A120:I120"/>
    <mergeCell ref="A121:I121"/>
    <mergeCell ref="A122:I122"/>
    <mergeCell ref="R70:U70"/>
    <mergeCell ref="C116:F116"/>
    <mergeCell ref="A97:I97"/>
    <mergeCell ref="A102:I102"/>
    <mergeCell ref="B103:G103"/>
    <mergeCell ref="B104:G104"/>
    <mergeCell ref="A106:I106"/>
    <mergeCell ref="A107:I107"/>
    <mergeCell ref="A108:I108"/>
    <mergeCell ref="A110:I110"/>
    <mergeCell ref="C112:F112"/>
    <mergeCell ref="C113:F113"/>
    <mergeCell ref="C115:F115"/>
    <mergeCell ref="A93:I9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5"/>
  <sheetViews>
    <sheetView topLeftCell="A48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0" t="s">
        <v>89</v>
      </c>
      <c r="I1" s="29"/>
      <c r="J1" s="1"/>
      <c r="K1" s="1"/>
      <c r="L1" s="1"/>
      <c r="M1" s="1"/>
    </row>
    <row r="2" spans="1:13" ht="15.75" customHeight="1">
      <c r="A2" s="31" t="s">
        <v>63</v>
      </c>
      <c r="J2" s="2"/>
      <c r="K2" s="2"/>
      <c r="L2" s="2"/>
      <c r="M2" s="2"/>
    </row>
    <row r="3" spans="1:13" ht="15.75" customHeight="1">
      <c r="A3" s="128" t="s">
        <v>201</v>
      </c>
      <c r="B3" s="128"/>
      <c r="C3" s="128"/>
      <c r="D3" s="128"/>
      <c r="E3" s="128"/>
      <c r="F3" s="128"/>
      <c r="G3" s="128"/>
      <c r="H3" s="128"/>
      <c r="I3" s="128"/>
      <c r="J3" s="3"/>
      <c r="K3" s="3"/>
      <c r="L3" s="3"/>
    </row>
    <row r="4" spans="1:13" ht="31.5" customHeight="1">
      <c r="A4" s="129" t="s">
        <v>151</v>
      </c>
      <c r="B4" s="129"/>
      <c r="C4" s="129"/>
      <c r="D4" s="129"/>
      <c r="E4" s="129"/>
      <c r="F4" s="129"/>
      <c r="G4" s="129"/>
      <c r="H4" s="129"/>
      <c r="I4" s="129"/>
    </row>
    <row r="5" spans="1:13" ht="15.75" customHeight="1">
      <c r="A5" s="128" t="s">
        <v>202</v>
      </c>
      <c r="B5" s="132"/>
      <c r="C5" s="132"/>
      <c r="D5" s="132"/>
      <c r="E5" s="132"/>
      <c r="F5" s="132"/>
      <c r="G5" s="132"/>
      <c r="H5" s="132"/>
      <c r="I5" s="132"/>
      <c r="J5" s="2"/>
      <c r="K5" s="2"/>
      <c r="L5" s="2"/>
      <c r="M5" s="2"/>
    </row>
    <row r="6" spans="1:13" ht="15.75" customHeight="1">
      <c r="A6" s="2"/>
      <c r="B6" s="73"/>
      <c r="C6" s="73"/>
      <c r="D6" s="73"/>
      <c r="E6" s="73"/>
      <c r="F6" s="73"/>
      <c r="G6" s="73"/>
      <c r="H6" s="73"/>
      <c r="I6" s="33">
        <v>43008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0" t="s">
        <v>157</v>
      </c>
      <c r="B8" s="130"/>
      <c r="C8" s="130"/>
      <c r="D8" s="130"/>
      <c r="E8" s="130"/>
      <c r="F8" s="130"/>
      <c r="G8" s="130"/>
      <c r="H8" s="130"/>
      <c r="I8" s="130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1" t="s">
        <v>158</v>
      </c>
      <c r="B10" s="131"/>
      <c r="C10" s="131"/>
      <c r="D10" s="131"/>
      <c r="E10" s="131"/>
      <c r="F10" s="131"/>
      <c r="G10" s="131"/>
      <c r="H10" s="131"/>
      <c r="I10" s="131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60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2">
        <v>1</v>
      </c>
      <c r="B16" s="83" t="s">
        <v>90</v>
      </c>
      <c r="C16" s="84" t="s">
        <v>101</v>
      </c>
      <c r="D16" s="83" t="s">
        <v>102</v>
      </c>
      <c r="E16" s="85">
        <v>54.3</v>
      </c>
      <c r="F16" s="86">
        <f>SUM(E16*156/100)</f>
        <v>84.707999999999998</v>
      </c>
      <c r="G16" s="86">
        <v>218.21</v>
      </c>
      <c r="H16" s="87">
        <f t="shared" ref="H16:H28" si="0">SUM(F16*G16/1000)</f>
        <v>18.484132679999998</v>
      </c>
      <c r="I16" s="14">
        <f>F16/12*G16</f>
        <v>1540.3443900000002</v>
      </c>
      <c r="J16" s="8"/>
      <c r="K16" s="8"/>
      <c r="L16" s="8"/>
      <c r="M16" s="8"/>
    </row>
    <row r="17" spans="1:13" ht="15.75" customHeight="1">
      <c r="A17" s="32">
        <v>2</v>
      </c>
      <c r="B17" s="83" t="s">
        <v>99</v>
      </c>
      <c r="C17" s="84" t="s">
        <v>101</v>
      </c>
      <c r="D17" s="83" t="s">
        <v>103</v>
      </c>
      <c r="E17" s="85">
        <v>108.4</v>
      </c>
      <c r="F17" s="86">
        <f>SUM(E17*104/100)</f>
        <v>112.736</v>
      </c>
      <c r="G17" s="86">
        <v>218.21</v>
      </c>
      <c r="H17" s="87">
        <f t="shared" si="0"/>
        <v>24.600122560000003</v>
      </c>
      <c r="I17" s="14">
        <f>F17/12*G17</f>
        <v>2050.0102133333335</v>
      </c>
      <c r="J17" s="25"/>
      <c r="K17" s="8"/>
      <c r="L17" s="8"/>
      <c r="M17" s="8"/>
    </row>
    <row r="18" spans="1:13" ht="15.75" customHeight="1">
      <c r="A18" s="32">
        <v>3</v>
      </c>
      <c r="B18" s="83" t="s">
        <v>100</v>
      </c>
      <c r="C18" s="84" t="s">
        <v>101</v>
      </c>
      <c r="D18" s="83" t="s">
        <v>104</v>
      </c>
      <c r="E18" s="85">
        <f>SUM(E16+E17)</f>
        <v>162.69999999999999</v>
      </c>
      <c r="F18" s="86">
        <f>SUM(E18*24/100)</f>
        <v>39.047999999999995</v>
      </c>
      <c r="G18" s="86">
        <v>627.77</v>
      </c>
      <c r="H18" s="87">
        <f t="shared" si="0"/>
        <v>24.513162959999995</v>
      </c>
      <c r="I18" s="14">
        <f>F18/12*G18</f>
        <v>2042.7635799999996</v>
      </c>
      <c r="J18" s="25"/>
      <c r="K18" s="8"/>
      <c r="L18" s="8"/>
      <c r="M18" s="8"/>
    </row>
    <row r="19" spans="1:13" ht="15.75" hidden="1" customHeight="1">
      <c r="A19" s="32">
        <v>4</v>
      </c>
      <c r="B19" s="83" t="s">
        <v>105</v>
      </c>
      <c r="C19" s="84" t="s">
        <v>98</v>
      </c>
      <c r="D19" s="83" t="s">
        <v>106</v>
      </c>
      <c r="E19" s="85">
        <v>15.3</v>
      </c>
      <c r="F19" s="86">
        <f>SUM(E19/10)</f>
        <v>1.53</v>
      </c>
      <c r="G19" s="86">
        <v>211.74</v>
      </c>
      <c r="H19" s="87">
        <f t="shared" si="0"/>
        <v>0.32396219999999998</v>
      </c>
      <c r="I19" s="14">
        <f>F19/2*G19</f>
        <v>161.9811</v>
      </c>
      <c r="J19" s="25"/>
      <c r="K19" s="8"/>
      <c r="L19" s="8"/>
      <c r="M19" s="8"/>
    </row>
    <row r="20" spans="1:13" ht="15.75" hidden="1" customHeight="1">
      <c r="A20" s="32">
        <v>5</v>
      </c>
      <c r="B20" s="83" t="s">
        <v>107</v>
      </c>
      <c r="C20" s="84" t="s">
        <v>53</v>
      </c>
      <c r="D20" s="83" t="s">
        <v>106</v>
      </c>
      <c r="E20" s="21">
        <v>4.5</v>
      </c>
      <c r="F20" s="88">
        <v>0.05</v>
      </c>
      <c r="G20" s="86">
        <v>484.94</v>
      </c>
      <c r="H20" s="87">
        <f t="shared" si="0"/>
        <v>2.4247000000000001E-2</v>
      </c>
      <c r="I20" s="14">
        <f>F20*G20</f>
        <v>24.247</v>
      </c>
      <c r="J20" s="25"/>
      <c r="K20" s="8"/>
      <c r="L20" s="8"/>
      <c r="M20" s="8"/>
    </row>
    <row r="21" spans="1:13" ht="15.75" customHeight="1">
      <c r="A21" s="32">
        <v>4</v>
      </c>
      <c r="B21" s="83" t="s">
        <v>108</v>
      </c>
      <c r="C21" s="84" t="s">
        <v>101</v>
      </c>
      <c r="D21" s="83" t="s">
        <v>42</v>
      </c>
      <c r="E21" s="85">
        <v>19.62</v>
      </c>
      <c r="F21" s="86">
        <f>SUM(E21*12/100)</f>
        <v>2.3544</v>
      </c>
      <c r="G21" s="86">
        <v>271.12</v>
      </c>
      <c r="H21" s="87">
        <f t="shared" si="0"/>
        <v>0.63832492799999996</v>
      </c>
      <c r="I21" s="14">
        <f>F21/2*G21</f>
        <v>319.162464</v>
      </c>
      <c r="J21" s="25"/>
      <c r="K21" s="8"/>
      <c r="L21" s="8"/>
      <c r="M21" s="8"/>
    </row>
    <row r="22" spans="1:13" ht="15.75" customHeight="1">
      <c r="A22" s="32">
        <v>5</v>
      </c>
      <c r="B22" s="83" t="s">
        <v>109</v>
      </c>
      <c r="C22" s="84" t="s">
        <v>101</v>
      </c>
      <c r="D22" s="83" t="s">
        <v>42</v>
      </c>
      <c r="E22" s="85">
        <v>8.68</v>
      </c>
      <c r="F22" s="86">
        <f>SUM(E22*12/100)</f>
        <v>1.0415999999999999</v>
      </c>
      <c r="G22" s="86">
        <v>268.92</v>
      </c>
      <c r="H22" s="87">
        <f t="shared" si="0"/>
        <v>0.28010707199999996</v>
      </c>
      <c r="I22" s="14">
        <f>F22/2*G22</f>
        <v>140.05353599999998</v>
      </c>
      <c r="J22" s="25"/>
      <c r="K22" s="8"/>
      <c r="L22" s="8"/>
      <c r="M22" s="8"/>
    </row>
    <row r="23" spans="1:13" ht="15.75" hidden="1" customHeight="1">
      <c r="A23" s="32">
        <v>8</v>
      </c>
      <c r="B23" s="83" t="s">
        <v>110</v>
      </c>
      <c r="C23" s="84" t="s">
        <v>53</v>
      </c>
      <c r="D23" s="83" t="s">
        <v>106</v>
      </c>
      <c r="E23" s="85">
        <v>215</v>
      </c>
      <c r="F23" s="86">
        <f>SUM(E23/100)</f>
        <v>2.15</v>
      </c>
      <c r="G23" s="86">
        <v>335.05</v>
      </c>
      <c r="H23" s="87">
        <f t="shared" si="0"/>
        <v>0.72035749999999998</v>
      </c>
      <c r="I23" s="14">
        <f>F23*G23</f>
        <v>720.35749999999996</v>
      </c>
      <c r="J23" s="25"/>
      <c r="K23" s="8"/>
      <c r="L23" s="8"/>
      <c r="M23" s="8"/>
    </row>
    <row r="24" spans="1:13" ht="15.75" hidden="1" customHeight="1">
      <c r="A24" s="32">
        <v>9</v>
      </c>
      <c r="B24" s="83" t="s">
        <v>111</v>
      </c>
      <c r="C24" s="84" t="s">
        <v>53</v>
      </c>
      <c r="D24" s="83" t="s">
        <v>106</v>
      </c>
      <c r="E24" s="89">
        <v>17.64</v>
      </c>
      <c r="F24" s="86">
        <f>SUM(E24/100)</f>
        <v>0.1764</v>
      </c>
      <c r="G24" s="86">
        <v>55.1</v>
      </c>
      <c r="H24" s="87">
        <f t="shared" si="0"/>
        <v>9.7196399999999999E-3</v>
      </c>
      <c r="I24" s="14">
        <f t="shared" ref="I24:I26" si="1">F24*G24</f>
        <v>9.7196400000000001</v>
      </c>
      <c r="J24" s="25"/>
      <c r="K24" s="8"/>
      <c r="L24" s="8"/>
      <c r="M24" s="8"/>
    </row>
    <row r="25" spans="1:13" ht="15.75" hidden="1" customHeight="1">
      <c r="A25" s="32">
        <v>10</v>
      </c>
      <c r="B25" s="83" t="s">
        <v>112</v>
      </c>
      <c r="C25" s="84" t="s">
        <v>53</v>
      </c>
      <c r="D25" s="83" t="s">
        <v>106</v>
      </c>
      <c r="E25" s="85">
        <v>14.4</v>
      </c>
      <c r="F25" s="86">
        <f>SUM(E25/100)</f>
        <v>0.14400000000000002</v>
      </c>
      <c r="G25" s="86">
        <v>648.04999999999995</v>
      </c>
      <c r="H25" s="87">
        <f t="shared" si="0"/>
        <v>9.3319200000000005E-2</v>
      </c>
      <c r="I25" s="14">
        <f t="shared" si="1"/>
        <v>93.319200000000009</v>
      </c>
      <c r="J25" s="25"/>
      <c r="K25" s="8"/>
      <c r="L25" s="8"/>
      <c r="M25" s="8"/>
    </row>
    <row r="26" spans="1:13" ht="15.75" hidden="1" customHeight="1">
      <c r="A26" s="32">
        <v>11</v>
      </c>
      <c r="B26" s="83" t="s">
        <v>152</v>
      </c>
      <c r="C26" s="84" t="s">
        <v>53</v>
      </c>
      <c r="D26" s="83" t="s">
        <v>106</v>
      </c>
      <c r="E26" s="89">
        <v>9.4499999999999993</v>
      </c>
      <c r="F26" s="86">
        <v>0.09</v>
      </c>
      <c r="G26" s="86">
        <v>268.92</v>
      </c>
      <c r="H26" s="87">
        <f t="shared" si="0"/>
        <v>2.42028E-2</v>
      </c>
      <c r="I26" s="14">
        <f t="shared" si="1"/>
        <v>24.2028</v>
      </c>
      <c r="J26" s="25"/>
      <c r="K26" s="8"/>
      <c r="L26" s="8"/>
      <c r="M26" s="8"/>
    </row>
    <row r="27" spans="1:13" ht="15.75" customHeight="1">
      <c r="A27" s="32">
        <v>6</v>
      </c>
      <c r="B27" s="83" t="s">
        <v>65</v>
      </c>
      <c r="C27" s="84" t="s">
        <v>32</v>
      </c>
      <c r="D27" s="83" t="s">
        <v>88</v>
      </c>
      <c r="E27" s="85">
        <v>0.1</v>
      </c>
      <c r="F27" s="86">
        <f>SUM(E27*365)</f>
        <v>36.5</v>
      </c>
      <c r="G27" s="86">
        <v>182.96</v>
      </c>
      <c r="H27" s="87">
        <f t="shared" si="0"/>
        <v>6.6780400000000002</v>
      </c>
      <c r="I27" s="14">
        <f>F27/12*G27</f>
        <v>556.50333333333333</v>
      </c>
      <c r="J27" s="25"/>
      <c r="K27" s="8"/>
      <c r="L27" s="8"/>
      <c r="M27" s="8"/>
    </row>
    <row r="28" spans="1:13" ht="15.75" customHeight="1">
      <c r="A28" s="32">
        <v>7</v>
      </c>
      <c r="B28" s="90" t="s">
        <v>23</v>
      </c>
      <c r="C28" s="84" t="s">
        <v>24</v>
      </c>
      <c r="D28" s="83" t="s">
        <v>88</v>
      </c>
      <c r="E28" s="85">
        <v>1810.5</v>
      </c>
      <c r="F28" s="86">
        <f>SUM(E28*12)</f>
        <v>21726</v>
      </c>
      <c r="G28" s="86">
        <v>5.25</v>
      </c>
      <c r="H28" s="87">
        <f t="shared" si="0"/>
        <v>114.0615</v>
      </c>
      <c r="I28" s="14">
        <f>F28/12*G28</f>
        <v>9505.125</v>
      </c>
      <c r="J28" s="25"/>
      <c r="K28" s="8"/>
      <c r="L28" s="8"/>
      <c r="M28" s="8"/>
    </row>
    <row r="29" spans="1:13" ht="15.75" customHeight="1">
      <c r="A29" s="140" t="s">
        <v>87</v>
      </c>
      <c r="B29" s="140"/>
      <c r="C29" s="140"/>
      <c r="D29" s="140"/>
      <c r="E29" s="140"/>
      <c r="F29" s="140"/>
      <c r="G29" s="140"/>
      <c r="H29" s="140"/>
      <c r="I29" s="140"/>
      <c r="J29" s="25"/>
      <c r="K29" s="8"/>
      <c r="L29" s="8"/>
      <c r="M29" s="8"/>
    </row>
    <row r="30" spans="1:13" ht="15.75" customHeight="1">
      <c r="A30" s="43"/>
      <c r="B30" s="53" t="s">
        <v>27</v>
      </c>
      <c r="C30" s="53"/>
      <c r="D30" s="53"/>
      <c r="E30" s="53"/>
      <c r="F30" s="53"/>
      <c r="G30" s="53"/>
      <c r="H30" s="53"/>
      <c r="I30" s="21"/>
      <c r="J30" s="25"/>
      <c r="K30" s="8"/>
      <c r="L30" s="8"/>
      <c r="M30" s="8"/>
    </row>
    <row r="31" spans="1:13" ht="15.75" customHeight="1">
      <c r="A31" s="43">
        <v>8</v>
      </c>
      <c r="B31" s="83" t="s">
        <v>113</v>
      </c>
      <c r="C31" s="84" t="s">
        <v>114</v>
      </c>
      <c r="D31" s="83" t="s">
        <v>115</v>
      </c>
      <c r="E31" s="86">
        <v>288.33999999999997</v>
      </c>
      <c r="F31" s="86">
        <f>SUM(E31*52/1000)</f>
        <v>14.993679999999998</v>
      </c>
      <c r="G31" s="86">
        <v>193.97</v>
      </c>
      <c r="H31" s="87">
        <f t="shared" ref="H31:H37" si="2">SUM(F31*G31/1000)</f>
        <v>2.9083241095999997</v>
      </c>
      <c r="I31" s="14">
        <f>F31/6*G31</f>
        <v>484.7206849333333</v>
      </c>
      <c r="J31" s="25"/>
      <c r="K31" s="8"/>
      <c r="L31" s="8"/>
      <c r="M31" s="8"/>
    </row>
    <row r="32" spans="1:13" ht="31.5" customHeight="1">
      <c r="A32" s="43">
        <v>9</v>
      </c>
      <c r="B32" s="83" t="s">
        <v>116</v>
      </c>
      <c r="C32" s="84" t="s">
        <v>114</v>
      </c>
      <c r="D32" s="83" t="s">
        <v>117</v>
      </c>
      <c r="E32" s="86">
        <v>34.200000000000003</v>
      </c>
      <c r="F32" s="86">
        <f>SUM(E32*78/1000)</f>
        <v>2.6676000000000002</v>
      </c>
      <c r="G32" s="86">
        <v>321.82</v>
      </c>
      <c r="H32" s="87">
        <f t="shared" si="2"/>
        <v>0.85848703199999998</v>
      </c>
      <c r="I32" s="14">
        <f t="shared" ref="I32:I35" si="3">F32/6*G32</f>
        <v>143.08117200000001</v>
      </c>
      <c r="J32" s="25"/>
      <c r="K32" s="8"/>
      <c r="L32" s="8"/>
      <c r="M32" s="8"/>
    </row>
    <row r="33" spans="1:14" ht="15.75" hidden="1" customHeight="1">
      <c r="A33" s="43">
        <v>16</v>
      </c>
      <c r="B33" s="83" t="s">
        <v>26</v>
      </c>
      <c r="C33" s="84" t="s">
        <v>114</v>
      </c>
      <c r="D33" s="83" t="s">
        <v>54</v>
      </c>
      <c r="E33" s="86">
        <f>E31</f>
        <v>288.33999999999997</v>
      </c>
      <c r="F33" s="86">
        <f>SUM(E33/1000)</f>
        <v>0.28833999999999999</v>
      </c>
      <c r="G33" s="86">
        <v>3758.28</v>
      </c>
      <c r="H33" s="87">
        <f t="shared" si="2"/>
        <v>1.0836624552</v>
      </c>
      <c r="I33" s="14">
        <f>F33*G33</f>
        <v>1083.6624552000001</v>
      </c>
      <c r="J33" s="25"/>
      <c r="K33" s="8"/>
      <c r="L33" s="8"/>
      <c r="M33" s="8"/>
    </row>
    <row r="34" spans="1:14" ht="15.75" customHeight="1">
      <c r="A34" s="43">
        <v>10</v>
      </c>
      <c r="B34" s="83" t="s">
        <v>118</v>
      </c>
      <c r="C34" s="84" t="s">
        <v>40</v>
      </c>
      <c r="D34" s="83" t="s">
        <v>64</v>
      </c>
      <c r="E34" s="86">
        <v>3</v>
      </c>
      <c r="F34" s="86">
        <f>E34*155/100</f>
        <v>4.6500000000000004</v>
      </c>
      <c r="G34" s="86">
        <v>1620.15</v>
      </c>
      <c r="H34" s="87">
        <f t="shared" si="2"/>
        <v>7.5336975000000015</v>
      </c>
      <c r="I34" s="14">
        <f t="shared" si="3"/>
        <v>1255.61625</v>
      </c>
      <c r="J34" s="25"/>
      <c r="K34" s="8"/>
    </row>
    <row r="35" spans="1:14" ht="15.75" customHeight="1">
      <c r="A35" s="43">
        <v>11</v>
      </c>
      <c r="B35" s="83" t="s">
        <v>119</v>
      </c>
      <c r="C35" s="84" t="s">
        <v>29</v>
      </c>
      <c r="D35" s="83" t="s">
        <v>64</v>
      </c>
      <c r="E35" s="91">
        <f>1/3</f>
        <v>0.33333333333333331</v>
      </c>
      <c r="F35" s="86">
        <f>155/3</f>
        <v>51.666666666666664</v>
      </c>
      <c r="G35" s="86">
        <v>70.540000000000006</v>
      </c>
      <c r="H35" s="87">
        <f t="shared" si="2"/>
        <v>3.6445666666666665</v>
      </c>
      <c r="I35" s="14">
        <f t="shared" si="3"/>
        <v>607.42777777777781</v>
      </c>
      <c r="J35" s="26"/>
    </row>
    <row r="36" spans="1:14" ht="15.75" hidden="1" customHeight="1">
      <c r="A36" s="43">
        <v>4</v>
      </c>
      <c r="B36" s="83" t="s">
        <v>66</v>
      </c>
      <c r="C36" s="84" t="s">
        <v>32</v>
      </c>
      <c r="D36" s="83" t="s">
        <v>68</v>
      </c>
      <c r="E36" s="85"/>
      <c r="F36" s="86">
        <v>2</v>
      </c>
      <c r="G36" s="86">
        <v>238.07</v>
      </c>
      <c r="H36" s="87">
        <f t="shared" si="2"/>
        <v>0.47614000000000001</v>
      </c>
      <c r="I36" s="14">
        <v>0</v>
      </c>
      <c r="J36" s="26"/>
    </row>
    <row r="37" spans="1:14" ht="15.75" hidden="1" customHeight="1">
      <c r="A37" s="32">
        <v>8</v>
      </c>
      <c r="B37" s="83" t="s">
        <v>67</v>
      </c>
      <c r="C37" s="84" t="s">
        <v>31</v>
      </c>
      <c r="D37" s="83" t="s">
        <v>68</v>
      </c>
      <c r="E37" s="85"/>
      <c r="F37" s="86">
        <v>2</v>
      </c>
      <c r="G37" s="86">
        <v>1413.96</v>
      </c>
      <c r="H37" s="87">
        <f t="shared" si="2"/>
        <v>2.8279200000000002</v>
      </c>
      <c r="I37" s="14">
        <v>0</v>
      </c>
      <c r="J37" s="26"/>
    </row>
    <row r="38" spans="1:14" ht="15.75" hidden="1" customHeight="1">
      <c r="A38" s="43"/>
      <c r="B38" s="51" t="s">
        <v>5</v>
      </c>
      <c r="C38" s="51"/>
      <c r="D38" s="51"/>
      <c r="E38" s="51"/>
      <c r="F38" s="14"/>
      <c r="G38" s="15"/>
      <c r="H38" s="15"/>
      <c r="I38" s="21"/>
      <c r="J38" s="26"/>
    </row>
    <row r="39" spans="1:14" ht="15.75" hidden="1" customHeight="1">
      <c r="A39" s="36">
        <v>6</v>
      </c>
      <c r="B39" s="83" t="s">
        <v>25</v>
      </c>
      <c r="C39" s="84" t="s">
        <v>31</v>
      </c>
      <c r="D39" s="83"/>
      <c r="E39" s="85"/>
      <c r="F39" s="86">
        <v>2</v>
      </c>
      <c r="G39" s="86">
        <v>1900.37</v>
      </c>
      <c r="H39" s="87">
        <f t="shared" ref="H39:H44" si="4">SUM(F39*G39/1000)</f>
        <v>3.8007399999999998</v>
      </c>
      <c r="I39" s="14">
        <f t="shared" ref="I39:I44" si="5">F39/6*G39</f>
        <v>633.45666666666659</v>
      </c>
      <c r="J39" s="26"/>
    </row>
    <row r="40" spans="1:14" ht="15.75" hidden="1" customHeight="1">
      <c r="A40" s="36">
        <v>7</v>
      </c>
      <c r="B40" s="83" t="s">
        <v>69</v>
      </c>
      <c r="C40" s="84" t="s">
        <v>28</v>
      </c>
      <c r="D40" s="83" t="s">
        <v>120</v>
      </c>
      <c r="E40" s="86">
        <v>34.200000000000003</v>
      </c>
      <c r="F40" s="86">
        <f>SUM(E40*30/1000)</f>
        <v>1.026</v>
      </c>
      <c r="G40" s="86">
        <v>2616.4899999999998</v>
      </c>
      <c r="H40" s="87">
        <f t="shared" si="4"/>
        <v>2.6845187400000001</v>
      </c>
      <c r="I40" s="14">
        <f t="shared" si="5"/>
        <v>447.41978999999998</v>
      </c>
      <c r="J40" s="26"/>
    </row>
    <row r="41" spans="1:14" ht="15.75" hidden="1" customHeight="1">
      <c r="A41" s="36">
        <v>8</v>
      </c>
      <c r="B41" s="83" t="s">
        <v>70</v>
      </c>
      <c r="C41" s="84" t="s">
        <v>28</v>
      </c>
      <c r="D41" s="83" t="s">
        <v>121</v>
      </c>
      <c r="E41" s="86">
        <f>E40</f>
        <v>34.200000000000003</v>
      </c>
      <c r="F41" s="86">
        <f>SUM(E41*155/1000)</f>
        <v>5.3010000000000002</v>
      </c>
      <c r="G41" s="86">
        <v>436.45</v>
      </c>
      <c r="H41" s="87">
        <f t="shared" si="4"/>
        <v>2.3136214500000003</v>
      </c>
      <c r="I41" s="14">
        <f t="shared" si="5"/>
        <v>385.60357500000003</v>
      </c>
      <c r="J41" s="26"/>
    </row>
    <row r="42" spans="1:14" ht="47.25" hidden="1" customHeight="1">
      <c r="A42" s="36">
        <v>9</v>
      </c>
      <c r="B42" s="83" t="s">
        <v>85</v>
      </c>
      <c r="C42" s="84" t="s">
        <v>114</v>
      </c>
      <c r="D42" s="83" t="s">
        <v>122</v>
      </c>
      <c r="E42" s="86">
        <f>E41</f>
        <v>34.200000000000003</v>
      </c>
      <c r="F42" s="86">
        <f>SUM(E42*35/1000)</f>
        <v>1.1970000000000001</v>
      </c>
      <c r="G42" s="86">
        <v>7221.21</v>
      </c>
      <c r="H42" s="87">
        <f t="shared" si="4"/>
        <v>8.6437883699999993</v>
      </c>
      <c r="I42" s="14">
        <f t="shared" si="5"/>
        <v>1440.6313950000001</v>
      </c>
      <c r="J42" s="26"/>
      <c r="L42" s="22"/>
      <c r="M42" s="23"/>
      <c r="N42" s="24"/>
    </row>
    <row r="43" spans="1:14" ht="15.75" hidden="1" customHeight="1">
      <c r="A43" s="36">
        <v>10</v>
      </c>
      <c r="B43" s="83" t="s">
        <v>123</v>
      </c>
      <c r="C43" s="84" t="s">
        <v>114</v>
      </c>
      <c r="D43" s="83" t="s">
        <v>124</v>
      </c>
      <c r="E43" s="86">
        <f>E42</f>
        <v>34.200000000000003</v>
      </c>
      <c r="F43" s="86">
        <f>SUM(E43*20/1000)</f>
        <v>0.68400000000000005</v>
      </c>
      <c r="G43" s="86">
        <v>533.45000000000005</v>
      </c>
      <c r="H43" s="87">
        <f t="shared" si="4"/>
        <v>0.36487980000000003</v>
      </c>
      <c r="I43" s="14">
        <f t="shared" si="5"/>
        <v>60.813300000000005</v>
      </c>
      <c r="J43" s="26"/>
      <c r="L43" s="22"/>
      <c r="M43" s="23"/>
      <c r="N43" s="24"/>
    </row>
    <row r="44" spans="1:14" ht="15.75" hidden="1" customHeight="1">
      <c r="A44" s="36">
        <v>11</v>
      </c>
      <c r="B44" s="83" t="s">
        <v>71</v>
      </c>
      <c r="C44" s="84" t="s">
        <v>32</v>
      </c>
      <c r="D44" s="83"/>
      <c r="E44" s="85"/>
      <c r="F44" s="86">
        <v>0.5</v>
      </c>
      <c r="G44" s="86">
        <v>992.97</v>
      </c>
      <c r="H44" s="87">
        <f t="shared" si="4"/>
        <v>0.49648500000000001</v>
      </c>
      <c r="I44" s="14">
        <f t="shared" si="5"/>
        <v>82.747500000000002</v>
      </c>
      <c r="J44" s="26"/>
      <c r="L44" s="22"/>
      <c r="M44" s="23"/>
      <c r="N44" s="24"/>
    </row>
    <row r="45" spans="1:14" ht="15.75" customHeight="1">
      <c r="A45" s="125" t="s">
        <v>159</v>
      </c>
      <c r="B45" s="126"/>
      <c r="C45" s="126"/>
      <c r="D45" s="126"/>
      <c r="E45" s="126"/>
      <c r="F45" s="126"/>
      <c r="G45" s="126"/>
      <c r="H45" s="126"/>
      <c r="I45" s="127"/>
      <c r="J45" s="26"/>
      <c r="L45" s="22"/>
      <c r="M45" s="23"/>
      <c r="N45" s="24"/>
    </row>
    <row r="46" spans="1:14" ht="15.75" customHeight="1">
      <c r="A46" s="43">
        <v>12</v>
      </c>
      <c r="B46" s="83" t="s">
        <v>125</v>
      </c>
      <c r="C46" s="84" t="s">
        <v>114</v>
      </c>
      <c r="D46" s="83" t="s">
        <v>42</v>
      </c>
      <c r="E46" s="85">
        <v>1033.2</v>
      </c>
      <c r="F46" s="86">
        <f>SUM(E46*2/1000)</f>
        <v>2.0664000000000002</v>
      </c>
      <c r="G46" s="14">
        <v>1283.46</v>
      </c>
      <c r="H46" s="87">
        <f t="shared" ref="H46:H56" si="6">SUM(F46*G46/1000)</f>
        <v>2.6521417440000006</v>
      </c>
      <c r="I46" s="14">
        <f t="shared" ref="I46:I49" si="7">F46/2*G46</f>
        <v>1326.0708720000002</v>
      </c>
      <c r="J46" s="26"/>
      <c r="L46" s="22"/>
      <c r="M46" s="23"/>
      <c r="N46" s="24"/>
    </row>
    <row r="47" spans="1:14" ht="15.75" customHeight="1">
      <c r="A47" s="43">
        <v>13</v>
      </c>
      <c r="B47" s="83" t="s">
        <v>35</v>
      </c>
      <c r="C47" s="84" t="s">
        <v>114</v>
      </c>
      <c r="D47" s="83" t="s">
        <v>42</v>
      </c>
      <c r="E47" s="85">
        <v>19.8</v>
      </c>
      <c r="F47" s="86">
        <f>SUM(E47*2/1000)</f>
        <v>3.9600000000000003E-2</v>
      </c>
      <c r="G47" s="14">
        <v>721.04</v>
      </c>
      <c r="H47" s="87">
        <f t="shared" si="6"/>
        <v>2.8553184000000002E-2</v>
      </c>
      <c r="I47" s="14">
        <f t="shared" si="7"/>
        <v>14.276592000000001</v>
      </c>
      <c r="J47" s="26"/>
      <c r="L47" s="22"/>
      <c r="M47" s="23"/>
      <c r="N47" s="24"/>
    </row>
    <row r="48" spans="1:14" ht="15.75" customHeight="1">
      <c r="A48" s="43">
        <v>14</v>
      </c>
      <c r="B48" s="83" t="s">
        <v>36</v>
      </c>
      <c r="C48" s="84" t="s">
        <v>114</v>
      </c>
      <c r="D48" s="83" t="s">
        <v>42</v>
      </c>
      <c r="E48" s="85">
        <v>660.84</v>
      </c>
      <c r="F48" s="86">
        <f>SUM(E48*2/1000)</f>
        <v>1.32168</v>
      </c>
      <c r="G48" s="14">
        <v>1711.28</v>
      </c>
      <c r="H48" s="87">
        <f t="shared" si="6"/>
        <v>2.2617645503999997</v>
      </c>
      <c r="I48" s="14">
        <f t="shared" si="7"/>
        <v>1130.8822751999999</v>
      </c>
      <c r="J48" s="26"/>
      <c r="L48" s="22"/>
      <c r="M48" s="23"/>
      <c r="N48" s="24"/>
    </row>
    <row r="49" spans="1:14" ht="15.75" customHeight="1">
      <c r="A49" s="43">
        <v>15</v>
      </c>
      <c r="B49" s="83" t="s">
        <v>37</v>
      </c>
      <c r="C49" s="84" t="s">
        <v>114</v>
      </c>
      <c r="D49" s="83" t="s">
        <v>42</v>
      </c>
      <c r="E49" s="85">
        <v>1156.21</v>
      </c>
      <c r="F49" s="86">
        <f>SUM(E49*2/1000)</f>
        <v>2.3124199999999999</v>
      </c>
      <c r="G49" s="14">
        <v>1179.73</v>
      </c>
      <c r="H49" s="87">
        <f t="shared" si="6"/>
        <v>2.7280312466000001</v>
      </c>
      <c r="I49" s="14">
        <f t="shared" si="7"/>
        <v>1364.0156233</v>
      </c>
      <c r="J49" s="26"/>
      <c r="L49" s="22"/>
      <c r="M49" s="23"/>
      <c r="N49" s="24"/>
    </row>
    <row r="50" spans="1:14" ht="15.75" customHeight="1">
      <c r="A50" s="43">
        <v>16</v>
      </c>
      <c r="B50" s="83" t="s">
        <v>33</v>
      </c>
      <c r="C50" s="84" t="s">
        <v>34</v>
      </c>
      <c r="D50" s="83" t="s">
        <v>42</v>
      </c>
      <c r="E50" s="85">
        <v>17.14</v>
      </c>
      <c r="F50" s="86">
        <f>SUM(E50*2/100)</f>
        <v>0.34279999999999999</v>
      </c>
      <c r="G50" s="14">
        <v>90.61</v>
      </c>
      <c r="H50" s="87">
        <f t="shared" si="6"/>
        <v>3.1061108E-2</v>
      </c>
      <c r="I50" s="14">
        <f>F50/2*G50</f>
        <v>15.530554</v>
      </c>
      <c r="J50" s="26"/>
      <c r="L50" s="22"/>
      <c r="M50" s="23"/>
      <c r="N50" s="24"/>
    </row>
    <row r="51" spans="1:14" ht="15.75" customHeight="1">
      <c r="A51" s="43">
        <v>17</v>
      </c>
      <c r="B51" s="83" t="s">
        <v>57</v>
      </c>
      <c r="C51" s="84" t="s">
        <v>114</v>
      </c>
      <c r="D51" s="83" t="s">
        <v>154</v>
      </c>
      <c r="E51" s="85">
        <v>823</v>
      </c>
      <c r="F51" s="86">
        <f>SUM(E51*5/1000)</f>
        <v>4.1150000000000002</v>
      </c>
      <c r="G51" s="14">
        <v>1711.28</v>
      </c>
      <c r="H51" s="87">
        <f t="shared" si="6"/>
        <v>7.0419171999999994</v>
      </c>
      <c r="I51" s="14">
        <f>F51/5*G51</f>
        <v>1408.3834400000001</v>
      </c>
      <c r="J51" s="26"/>
      <c r="L51" s="22"/>
      <c r="M51" s="23"/>
      <c r="N51" s="24"/>
    </row>
    <row r="52" spans="1:14" ht="31.5" hidden="1" customHeight="1">
      <c r="A52" s="43">
        <v>25</v>
      </c>
      <c r="B52" s="83" t="s">
        <v>126</v>
      </c>
      <c r="C52" s="84" t="s">
        <v>114</v>
      </c>
      <c r="D52" s="83" t="s">
        <v>42</v>
      </c>
      <c r="E52" s="85">
        <v>823</v>
      </c>
      <c r="F52" s="86">
        <f>SUM(E52*2/1000)</f>
        <v>1.6459999999999999</v>
      </c>
      <c r="G52" s="14">
        <v>1510.06</v>
      </c>
      <c r="H52" s="87">
        <f t="shared" si="6"/>
        <v>2.48555876</v>
      </c>
      <c r="I52" s="14">
        <f>F52/2*G52</f>
        <v>1242.7793799999999</v>
      </c>
      <c r="J52" s="26"/>
      <c r="L52" s="22"/>
      <c r="M52" s="23"/>
      <c r="N52" s="24"/>
    </row>
    <row r="53" spans="1:14" ht="31.5" hidden="1" customHeight="1">
      <c r="A53" s="43">
        <v>26</v>
      </c>
      <c r="B53" s="83" t="s">
        <v>127</v>
      </c>
      <c r="C53" s="84" t="s">
        <v>38</v>
      </c>
      <c r="D53" s="83" t="s">
        <v>42</v>
      </c>
      <c r="E53" s="85">
        <v>9</v>
      </c>
      <c r="F53" s="86">
        <f>SUM(E53*2/100)</f>
        <v>0.18</v>
      </c>
      <c r="G53" s="14">
        <v>3850.4</v>
      </c>
      <c r="H53" s="87">
        <f t="shared" si="6"/>
        <v>0.69307200000000002</v>
      </c>
      <c r="I53" s="14">
        <f t="shared" ref="I53:I54" si="8">F53/2*G53</f>
        <v>346.536</v>
      </c>
      <c r="J53" s="26"/>
      <c r="L53" s="22"/>
      <c r="M53" s="23"/>
      <c r="N53" s="24"/>
    </row>
    <row r="54" spans="1:14" ht="15.75" hidden="1" customHeight="1">
      <c r="A54" s="43">
        <v>27</v>
      </c>
      <c r="B54" s="83" t="s">
        <v>39</v>
      </c>
      <c r="C54" s="84" t="s">
        <v>40</v>
      </c>
      <c r="D54" s="83" t="s">
        <v>42</v>
      </c>
      <c r="E54" s="85">
        <v>1</v>
      </c>
      <c r="F54" s="86">
        <v>0.02</v>
      </c>
      <c r="G54" s="14">
        <v>7033.13</v>
      </c>
      <c r="H54" s="87">
        <f t="shared" si="6"/>
        <v>0.1406626</v>
      </c>
      <c r="I54" s="14">
        <f t="shared" si="8"/>
        <v>70.331299999999999</v>
      </c>
      <c r="J54" s="26"/>
      <c r="L54" s="22"/>
      <c r="M54" s="23"/>
      <c r="N54" s="24"/>
    </row>
    <row r="55" spans="1:14" ht="15.75" hidden="1" customHeight="1">
      <c r="A55" s="43">
        <v>10</v>
      </c>
      <c r="B55" s="83" t="s">
        <v>153</v>
      </c>
      <c r="C55" s="84" t="s">
        <v>29</v>
      </c>
      <c r="D55" s="83" t="s">
        <v>72</v>
      </c>
      <c r="E55" s="85">
        <v>36</v>
      </c>
      <c r="F55" s="86">
        <f>E55*3</f>
        <v>108</v>
      </c>
      <c r="G55" s="14">
        <v>175.6</v>
      </c>
      <c r="H55" s="87">
        <f t="shared" si="6"/>
        <v>18.9648</v>
      </c>
      <c r="I55" s="14">
        <f>E55*G55</f>
        <v>6321.5999999999995</v>
      </c>
      <c r="J55" s="26"/>
      <c r="L55" s="22"/>
      <c r="M55" s="23"/>
      <c r="N55" s="24"/>
    </row>
    <row r="56" spans="1:14" ht="15.75" hidden="1" customHeight="1">
      <c r="A56" s="43">
        <v>11</v>
      </c>
      <c r="B56" s="83" t="s">
        <v>41</v>
      </c>
      <c r="C56" s="84" t="s">
        <v>29</v>
      </c>
      <c r="D56" s="83" t="s">
        <v>72</v>
      </c>
      <c r="E56" s="85">
        <v>36</v>
      </c>
      <c r="F56" s="86">
        <f>SUM(E56)*3</f>
        <v>108</v>
      </c>
      <c r="G56" s="14">
        <v>81.73</v>
      </c>
      <c r="H56" s="87">
        <f t="shared" si="6"/>
        <v>8.8268400000000007</v>
      </c>
      <c r="I56" s="14">
        <f>E56*G56</f>
        <v>2942.28</v>
      </c>
      <c r="J56" s="26"/>
      <c r="L56" s="22"/>
      <c r="M56" s="23"/>
      <c r="N56" s="24"/>
    </row>
    <row r="57" spans="1:14" ht="15.75" customHeight="1">
      <c r="A57" s="125" t="s">
        <v>160</v>
      </c>
      <c r="B57" s="126"/>
      <c r="C57" s="126"/>
      <c r="D57" s="126"/>
      <c r="E57" s="126"/>
      <c r="F57" s="126"/>
      <c r="G57" s="126"/>
      <c r="H57" s="126"/>
      <c r="I57" s="127"/>
      <c r="J57" s="26"/>
      <c r="L57" s="22"/>
      <c r="M57" s="23"/>
      <c r="N57" s="24"/>
    </row>
    <row r="58" spans="1:14" ht="15.75" hidden="1" customHeight="1">
      <c r="A58" s="55"/>
      <c r="B58" s="50" t="s">
        <v>43</v>
      </c>
      <c r="C58" s="18"/>
      <c r="D58" s="17"/>
      <c r="E58" s="17"/>
      <c r="F58" s="17"/>
      <c r="G58" s="32"/>
      <c r="H58" s="32"/>
      <c r="I58" s="21"/>
      <c r="J58" s="26"/>
      <c r="L58" s="22"/>
      <c r="M58" s="23"/>
      <c r="N58" s="24"/>
    </row>
    <row r="59" spans="1:14" ht="31.5" hidden="1" customHeight="1">
      <c r="A59" s="43">
        <v>12</v>
      </c>
      <c r="B59" s="83" t="s">
        <v>163</v>
      </c>
      <c r="C59" s="84" t="s">
        <v>101</v>
      </c>
      <c r="D59" s="83" t="s">
        <v>73</v>
      </c>
      <c r="E59" s="21">
        <v>69.66</v>
      </c>
      <c r="F59" s="14">
        <f>E59*6/100</f>
        <v>4.1795999999999998</v>
      </c>
      <c r="G59" s="86">
        <v>2306.62</v>
      </c>
      <c r="H59" s="87">
        <f>SUM(F59*G59/1000)</f>
        <v>9.6407489519999974</v>
      </c>
      <c r="I59" s="14">
        <f>F59/6*G59</f>
        <v>1606.7914919999998</v>
      </c>
      <c r="J59" s="26"/>
      <c r="L59" s="22"/>
      <c r="M59" s="23"/>
      <c r="N59" s="24"/>
    </row>
    <row r="60" spans="1:14" ht="15.75" hidden="1" customHeight="1">
      <c r="A60" s="43">
        <v>13</v>
      </c>
      <c r="B60" s="83" t="s">
        <v>91</v>
      </c>
      <c r="C60" s="84" t="s">
        <v>164</v>
      </c>
      <c r="D60" s="83" t="s">
        <v>68</v>
      </c>
      <c r="E60" s="85"/>
      <c r="F60" s="86">
        <v>2</v>
      </c>
      <c r="G60" s="92">
        <v>1501</v>
      </c>
      <c r="H60" s="87">
        <f>F60*G60/1000</f>
        <v>3.0019999999999998</v>
      </c>
      <c r="I60" s="14">
        <f>G60</f>
        <v>1501</v>
      </c>
      <c r="J60" s="26"/>
      <c r="L60" s="22"/>
      <c r="M60" s="23"/>
      <c r="N60" s="24"/>
    </row>
    <row r="61" spans="1:14" ht="15.75" hidden="1" customHeight="1">
      <c r="A61" s="43"/>
      <c r="B61" s="72" t="s">
        <v>44</v>
      </c>
      <c r="C61" s="72"/>
      <c r="D61" s="72"/>
      <c r="E61" s="72"/>
      <c r="F61" s="72"/>
      <c r="G61" s="72"/>
      <c r="H61" s="72"/>
      <c r="I61" s="38"/>
      <c r="J61" s="26"/>
      <c r="L61" s="22"/>
      <c r="M61" s="23"/>
      <c r="N61" s="24"/>
    </row>
    <row r="62" spans="1:14" ht="15.75" hidden="1" customHeight="1">
      <c r="A62" s="43">
        <v>27</v>
      </c>
      <c r="B62" s="93" t="s">
        <v>45</v>
      </c>
      <c r="C62" s="94" t="s">
        <v>53</v>
      </c>
      <c r="D62" s="93" t="s">
        <v>54</v>
      </c>
      <c r="E62" s="95">
        <v>408</v>
      </c>
      <c r="F62" s="96">
        <f>E62/100</f>
        <v>4.08</v>
      </c>
      <c r="G62" s="97">
        <v>987.51</v>
      </c>
      <c r="H62" s="98">
        <f>G62*F62/1000</f>
        <v>4.0290408000000006</v>
      </c>
      <c r="I62" s="14">
        <v>0</v>
      </c>
      <c r="J62" s="26"/>
      <c r="L62" s="22"/>
      <c r="M62" s="23"/>
      <c r="N62" s="24"/>
    </row>
    <row r="63" spans="1:14" ht="15.75" customHeight="1">
      <c r="A63" s="43"/>
      <c r="B63" s="72" t="s">
        <v>46</v>
      </c>
      <c r="C63" s="18"/>
      <c r="D63" s="40"/>
      <c r="E63" s="40"/>
      <c r="F63" s="17"/>
      <c r="G63" s="32"/>
      <c r="H63" s="32"/>
      <c r="I63" s="21"/>
      <c r="J63" s="26"/>
      <c r="L63" s="22"/>
    </row>
    <row r="64" spans="1:14" ht="15.75" hidden="1" customHeight="1">
      <c r="A64" s="43">
        <v>12</v>
      </c>
      <c r="B64" s="16" t="s">
        <v>47</v>
      </c>
      <c r="C64" s="18" t="s">
        <v>128</v>
      </c>
      <c r="D64" s="16" t="s">
        <v>68</v>
      </c>
      <c r="E64" s="21">
        <v>10</v>
      </c>
      <c r="F64" s="86">
        <v>10</v>
      </c>
      <c r="G64" s="14">
        <v>276.74</v>
      </c>
      <c r="H64" s="99">
        <f t="shared" ref="H64:H71" si="9">SUM(F64*G64/1000)</f>
        <v>2.7674000000000003</v>
      </c>
      <c r="I64" s="14">
        <f>G64</f>
        <v>276.74</v>
      </c>
    </row>
    <row r="65" spans="1:22" ht="15.75" hidden="1" customHeight="1">
      <c r="A65" s="32">
        <v>29</v>
      </c>
      <c r="B65" s="16" t="s">
        <v>48</v>
      </c>
      <c r="C65" s="18" t="s">
        <v>128</v>
      </c>
      <c r="D65" s="16" t="s">
        <v>68</v>
      </c>
      <c r="E65" s="21">
        <v>3</v>
      </c>
      <c r="F65" s="86">
        <v>3</v>
      </c>
      <c r="G65" s="14">
        <v>94.89</v>
      </c>
      <c r="H65" s="99">
        <f t="shared" si="9"/>
        <v>0.28467000000000003</v>
      </c>
      <c r="I65" s="14">
        <v>0</v>
      </c>
    </row>
    <row r="66" spans="1:22" ht="15.75" hidden="1" customHeight="1">
      <c r="A66" s="32">
        <v>28</v>
      </c>
      <c r="B66" s="16" t="s">
        <v>49</v>
      </c>
      <c r="C66" s="18" t="s">
        <v>129</v>
      </c>
      <c r="D66" s="16" t="s">
        <v>54</v>
      </c>
      <c r="E66" s="85">
        <v>7508</v>
      </c>
      <c r="F66" s="14">
        <f>SUM(E66/100)</f>
        <v>75.08</v>
      </c>
      <c r="G66" s="14">
        <v>263.99</v>
      </c>
      <c r="H66" s="99">
        <f t="shared" si="9"/>
        <v>19.820369200000002</v>
      </c>
      <c r="I66" s="14">
        <f>F66*G66</f>
        <v>19820.369200000001</v>
      </c>
    </row>
    <row r="67" spans="1:22" ht="15.75" hidden="1" customHeight="1">
      <c r="A67" s="32">
        <v>29</v>
      </c>
      <c r="B67" s="16" t="s">
        <v>50</v>
      </c>
      <c r="C67" s="18" t="s">
        <v>130</v>
      </c>
      <c r="D67" s="16" t="s">
        <v>54</v>
      </c>
      <c r="E67" s="85">
        <v>7508</v>
      </c>
      <c r="F67" s="14">
        <f>SUM(E67/1000)</f>
        <v>7.508</v>
      </c>
      <c r="G67" s="14">
        <v>205.57</v>
      </c>
      <c r="H67" s="99">
        <f t="shared" si="9"/>
        <v>1.54341956</v>
      </c>
      <c r="I67" s="14">
        <f t="shared" ref="I67:I70" si="10">F67*G67</f>
        <v>1543.41956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2">
        <v>30</v>
      </c>
      <c r="B68" s="16" t="s">
        <v>51</v>
      </c>
      <c r="C68" s="18" t="s">
        <v>78</v>
      </c>
      <c r="D68" s="16" t="s">
        <v>54</v>
      </c>
      <c r="E68" s="85">
        <v>1090</v>
      </c>
      <c r="F68" s="14">
        <f>SUM(E68/100)</f>
        <v>10.9</v>
      </c>
      <c r="G68" s="14">
        <v>2581.5300000000002</v>
      </c>
      <c r="H68" s="99">
        <f t="shared" si="9"/>
        <v>28.138677000000005</v>
      </c>
      <c r="I68" s="14">
        <f t="shared" si="10"/>
        <v>28138.677000000003</v>
      </c>
      <c r="J68" s="28"/>
      <c r="K68" s="28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2">
        <v>31</v>
      </c>
      <c r="B69" s="100" t="s">
        <v>131</v>
      </c>
      <c r="C69" s="18" t="s">
        <v>32</v>
      </c>
      <c r="D69" s="16"/>
      <c r="E69" s="85">
        <v>7.4</v>
      </c>
      <c r="F69" s="14">
        <f>SUM(E69)</f>
        <v>7.4</v>
      </c>
      <c r="G69" s="14">
        <v>47.45</v>
      </c>
      <c r="H69" s="99">
        <f t="shared" si="9"/>
        <v>0.35113000000000005</v>
      </c>
      <c r="I69" s="14">
        <f t="shared" si="10"/>
        <v>351.13000000000005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32">
        <v>32</v>
      </c>
      <c r="B70" s="100" t="s">
        <v>165</v>
      </c>
      <c r="C70" s="18" t="s">
        <v>32</v>
      </c>
      <c r="D70" s="16"/>
      <c r="E70" s="85">
        <v>7.4</v>
      </c>
      <c r="F70" s="14">
        <f>SUM(E70)</f>
        <v>7.4</v>
      </c>
      <c r="G70" s="14">
        <v>44.27</v>
      </c>
      <c r="H70" s="99">
        <f t="shared" si="9"/>
        <v>0.327598</v>
      </c>
      <c r="I70" s="14">
        <f t="shared" si="10"/>
        <v>327.59800000000001</v>
      </c>
      <c r="J70" s="5"/>
      <c r="K70" s="5"/>
      <c r="L70" s="5"/>
      <c r="M70" s="5"/>
      <c r="N70" s="5"/>
      <c r="O70" s="5"/>
      <c r="P70" s="5"/>
      <c r="Q70" s="5"/>
      <c r="R70" s="116"/>
      <c r="S70" s="116"/>
      <c r="T70" s="116"/>
      <c r="U70" s="116"/>
    </row>
    <row r="71" spans="1:22" ht="15.75" customHeight="1">
      <c r="A71" s="32">
        <v>18</v>
      </c>
      <c r="B71" s="16" t="s">
        <v>58</v>
      </c>
      <c r="C71" s="18" t="s">
        <v>59</v>
      </c>
      <c r="D71" s="16" t="s">
        <v>54</v>
      </c>
      <c r="E71" s="21">
        <v>3</v>
      </c>
      <c r="F71" s="86">
        <f>SUM(E71)</f>
        <v>3</v>
      </c>
      <c r="G71" s="14">
        <v>62.07</v>
      </c>
      <c r="H71" s="99">
        <f t="shared" si="9"/>
        <v>0.18621000000000001</v>
      </c>
      <c r="I71" s="14">
        <f>G71*3</f>
        <v>186.21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hidden="1" customHeight="1">
      <c r="A72" s="32"/>
      <c r="B72" s="51" t="s">
        <v>74</v>
      </c>
      <c r="C72" s="51"/>
      <c r="D72" s="51"/>
      <c r="E72" s="51"/>
      <c r="F72" s="21"/>
      <c r="G72" s="32"/>
      <c r="H72" s="32"/>
      <c r="I72" s="21"/>
    </row>
    <row r="73" spans="1:22" ht="15.75" hidden="1" customHeight="1">
      <c r="A73" s="32"/>
      <c r="B73" s="16" t="s">
        <v>134</v>
      </c>
      <c r="C73" s="18" t="s">
        <v>135</v>
      </c>
      <c r="D73" s="40" t="s">
        <v>68</v>
      </c>
      <c r="E73" s="21">
        <v>3</v>
      </c>
      <c r="F73" s="14">
        <v>3</v>
      </c>
      <c r="G73" s="14">
        <v>976.4</v>
      </c>
      <c r="H73" s="99">
        <f t="shared" ref="H73:H77" si="11">SUM(F73*G73/1000)</f>
        <v>2.9291999999999998</v>
      </c>
      <c r="I73" s="14">
        <v>0</v>
      </c>
    </row>
    <row r="74" spans="1:22" ht="15.75" hidden="1" customHeight="1">
      <c r="A74" s="32"/>
      <c r="B74" s="16" t="s">
        <v>136</v>
      </c>
      <c r="C74" s="18" t="s">
        <v>137</v>
      </c>
      <c r="D74" s="16"/>
      <c r="E74" s="21">
        <v>1</v>
      </c>
      <c r="F74" s="14">
        <v>1</v>
      </c>
      <c r="G74" s="14">
        <v>750</v>
      </c>
      <c r="H74" s="99">
        <f t="shared" si="11"/>
        <v>0.75</v>
      </c>
      <c r="I74" s="14">
        <v>0</v>
      </c>
    </row>
    <row r="75" spans="1:22" ht="15.75" hidden="1" customHeight="1">
      <c r="A75" s="32"/>
      <c r="B75" s="16" t="s">
        <v>75</v>
      </c>
      <c r="C75" s="18" t="s">
        <v>30</v>
      </c>
      <c r="D75" s="40" t="s">
        <v>68</v>
      </c>
      <c r="E75" s="21">
        <v>3</v>
      </c>
      <c r="F75" s="14">
        <f>E75/10</f>
        <v>0.3</v>
      </c>
      <c r="G75" s="14">
        <v>624.16999999999996</v>
      </c>
      <c r="H75" s="99">
        <f t="shared" si="11"/>
        <v>0.18725099999999997</v>
      </c>
      <c r="I75" s="14">
        <v>0</v>
      </c>
    </row>
    <row r="76" spans="1:22" ht="15.75" hidden="1" customHeight="1">
      <c r="A76" s="32"/>
      <c r="B76" s="16" t="s">
        <v>76</v>
      </c>
      <c r="C76" s="18" t="s">
        <v>29</v>
      </c>
      <c r="D76" s="40" t="s">
        <v>68</v>
      </c>
      <c r="E76" s="21">
        <v>1</v>
      </c>
      <c r="F76" s="14">
        <v>1</v>
      </c>
      <c r="G76" s="14">
        <v>1061.4100000000001</v>
      </c>
      <c r="H76" s="99">
        <f t="shared" si="11"/>
        <v>1.0614100000000002</v>
      </c>
      <c r="I76" s="14">
        <v>0</v>
      </c>
    </row>
    <row r="77" spans="1:22" ht="15.75" hidden="1" customHeight="1">
      <c r="A77" s="32">
        <v>17</v>
      </c>
      <c r="B77" s="16" t="s">
        <v>92</v>
      </c>
      <c r="C77" s="18" t="s">
        <v>29</v>
      </c>
      <c r="D77" s="40" t="s">
        <v>68</v>
      </c>
      <c r="E77" s="21">
        <v>1</v>
      </c>
      <c r="F77" s="86">
        <f>SUM(E77)</f>
        <v>1</v>
      </c>
      <c r="G77" s="14">
        <v>446.12</v>
      </c>
      <c r="H77" s="99">
        <f t="shared" si="11"/>
        <v>0.44612000000000002</v>
      </c>
      <c r="I77" s="14">
        <v>0</v>
      </c>
    </row>
    <row r="78" spans="1:22" ht="15.75" hidden="1" customHeight="1">
      <c r="A78" s="32"/>
      <c r="B78" s="52" t="s">
        <v>77</v>
      </c>
      <c r="C78" s="41"/>
      <c r="D78" s="32"/>
      <c r="E78" s="32"/>
      <c r="F78" s="21"/>
      <c r="G78" s="39"/>
      <c r="H78" s="39"/>
      <c r="I78" s="21"/>
    </row>
    <row r="79" spans="1:22" ht="15.75" hidden="1" customHeight="1">
      <c r="A79" s="32">
        <v>39</v>
      </c>
      <c r="B79" s="54" t="s">
        <v>138</v>
      </c>
      <c r="C79" s="18" t="s">
        <v>78</v>
      </c>
      <c r="D79" s="16"/>
      <c r="E79" s="21"/>
      <c r="F79" s="14">
        <v>1.35</v>
      </c>
      <c r="G79" s="14">
        <v>3433.68</v>
      </c>
      <c r="H79" s="99">
        <f t="shared" ref="H79" si="12">SUM(F79*G79/1000)</f>
        <v>4.6354679999999995</v>
      </c>
      <c r="I79" s="14">
        <v>0</v>
      </c>
    </row>
    <row r="80" spans="1:22" ht="15.75" hidden="1" customHeight="1">
      <c r="A80" s="32"/>
      <c r="B80" s="72" t="s">
        <v>97</v>
      </c>
      <c r="C80" s="65"/>
      <c r="D80" s="34"/>
      <c r="E80" s="34"/>
      <c r="F80" s="13"/>
      <c r="G80" s="39"/>
      <c r="H80" s="39"/>
      <c r="I80" s="21"/>
    </row>
    <row r="81" spans="1:9" ht="31.5" hidden="1" customHeight="1">
      <c r="A81" s="32"/>
      <c r="B81" s="16" t="s">
        <v>139</v>
      </c>
      <c r="C81" s="18" t="s">
        <v>95</v>
      </c>
      <c r="D81" s="16" t="s">
        <v>68</v>
      </c>
      <c r="E81" s="21">
        <v>6</v>
      </c>
      <c r="F81" s="14">
        <f>E81</f>
        <v>6</v>
      </c>
      <c r="G81" s="14">
        <v>297.44</v>
      </c>
      <c r="H81" s="99">
        <f t="shared" ref="H81:H90" si="13">SUM(F81*G81/1000)</f>
        <v>1.7846399999999998</v>
      </c>
      <c r="I81" s="14">
        <v>0</v>
      </c>
    </row>
    <row r="82" spans="1:9" ht="15.75" hidden="1" customHeight="1">
      <c r="A82" s="32"/>
      <c r="B82" s="16" t="s">
        <v>140</v>
      </c>
      <c r="C82" s="18" t="s">
        <v>83</v>
      </c>
      <c r="D82" s="16" t="s">
        <v>68</v>
      </c>
      <c r="E82" s="21">
        <v>12</v>
      </c>
      <c r="F82" s="14">
        <f>E82</f>
        <v>12</v>
      </c>
      <c r="G82" s="14">
        <v>122.35</v>
      </c>
      <c r="H82" s="99">
        <f t="shared" si="13"/>
        <v>1.4681999999999997</v>
      </c>
      <c r="I82" s="14">
        <v>0</v>
      </c>
    </row>
    <row r="83" spans="1:9" ht="15.75" hidden="1" customHeight="1">
      <c r="A83" s="32">
        <v>10</v>
      </c>
      <c r="B83" s="16" t="s">
        <v>141</v>
      </c>
      <c r="C83" s="18" t="s">
        <v>142</v>
      </c>
      <c r="D83" s="16" t="s">
        <v>68</v>
      </c>
      <c r="E83" s="21">
        <v>9</v>
      </c>
      <c r="F83" s="14">
        <f>E83/3</f>
        <v>3</v>
      </c>
      <c r="G83" s="14">
        <v>1063.47</v>
      </c>
      <c r="H83" s="99">
        <f t="shared" si="13"/>
        <v>3.19041</v>
      </c>
      <c r="I83" s="14">
        <f>G83*((10+10)/3)</f>
        <v>7089.8</v>
      </c>
    </row>
    <row r="84" spans="1:9" ht="31.5" hidden="1" customHeight="1">
      <c r="A84" s="32"/>
      <c r="B84" s="16" t="s">
        <v>143</v>
      </c>
      <c r="C84" s="18" t="s">
        <v>83</v>
      </c>
      <c r="D84" s="16" t="s">
        <v>68</v>
      </c>
      <c r="E84" s="21">
        <v>6</v>
      </c>
      <c r="F84" s="14">
        <f>E84</f>
        <v>6</v>
      </c>
      <c r="G84" s="14">
        <v>1564.44</v>
      </c>
      <c r="H84" s="99">
        <f t="shared" si="13"/>
        <v>9.3866399999999999</v>
      </c>
      <c r="I84" s="14">
        <v>0</v>
      </c>
    </row>
    <row r="85" spans="1:9" ht="31.5" hidden="1" customHeight="1">
      <c r="A85" s="32"/>
      <c r="B85" s="16" t="s">
        <v>144</v>
      </c>
      <c r="C85" s="18" t="s">
        <v>83</v>
      </c>
      <c r="D85" s="16" t="s">
        <v>68</v>
      </c>
      <c r="E85" s="21">
        <v>6</v>
      </c>
      <c r="F85" s="14">
        <f>E85</f>
        <v>6</v>
      </c>
      <c r="G85" s="14">
        <v>1906.89</v>
      </c>
      <c r="H85" s="99">
        <f t="shared" si="13"/>
        <v>11.44134</v>
      </c>
      <c r="I85" s="14">
        <v>0</v>
      </c>
    </row>
    <row r="86" spans="1:9" ht="31.5" hidden="1" customHeight="1">
      <c r="A86" s="32"/>
      <c r="B86" s="16" t="s">
        <v>145</v>
      </c>
      <c r="C86" s="18" t="s">
        <v>83</v>
      </c>
      <c r="D86" s="16" t="s">
        <v>68</v>
      </c>
      <c r="E86" s="21">
        <v>6</v>
      </c>
      <c r="F86" s="14">
        <f>E86</f>
        <v>6</v>
      </c>
      <c r="G86" s="14">
        <v>664.35</v>
      </c>
      <c r="H86" s="99">
        <f t="shared" si="13"/>
        <v>3.9861000000000004</v>
      </c>
      <c r="I86" s="14">
        <v>0</v>
      </c>
    </row>
    <row r="87" spans="1:9" ht="31.5" hidden="1" customHeight="1">
      <c r="A87" s="32"/>
      <c r="B87" s="16" t="s">
        <v>146</v>
      </c>
      <c r="C87" s="18" t="s">
        <v>83</v>
      </c>
      <c r="D87" s="16" t="s">
        <v>68</v>
      </c>
      <c r="E87" s="21">
        <v>6</v>
      </c>
      <c r="F87" s="14">
        <f>E87</f>
        <v>6</v>
      </c>
      <c r="G87" s="14">
        <v>778.85</v>
      </c>
      <c r="H87" s="99">
        <f t="shared" si="13"/>
        <v>4.6731000000000007</v>
      </c>
      <c r="I87" s="14">
        <v>0</v>
      </c>
    </row>
    <row r="88" spans="1:9" ht="15.75" hidden="1" customHeight="1">
      <c r="A88" s="32"/>
      <c r="B88" s="16" t="s">
        <v>147</v>
      </c>
      <c r="C88" s="18" t="s">
        <v>135</v>
      </c>
      <c r="D88" s="16" t="s">
        <v>68</v>
      </c>
      <c r="E88" s="21">
        <v>3</v>
      </c>
      <c r="F88" s="14">
        <v>3</v>
      </c>
      <c r="G88" s="14">
        <v>498.11</v>
      </c>
      <c r="H88" s="99">
        <f t="shared" si="13"/>
        <v>1.4943299999999999</v>
      </c>
      <c r="I88" s="14">
        <v>0</v>
      </c>
    </row>
    <row r="89" spans="1:9" ht="31.5" hidden="1" customHeight="1">
      <c r="A89" s="32"/>
      <c r="B89" s="16" t="s">
        <v>148</v>
      </c>
      <c r="C89" s="18" t="s">
        <v>83</v>
      </c>
      <c r="D89" s="16" t="s">
        <v>68</v>
      </c>
      <c r="E89" s="21">
        <v>6</v>
      </c>
      <c r="F89" s="14">
        <f>E89</f>
        <v>6</v>
      </c>
      <c r="G89" s="14">
        <v>1264.3399999999999</v>
      </c>
      <c r="H89" s="99">
        <f t="shared" si="13"/>
        <v>7.5860399999999988</v>
      </c>
      <c r="I89" s="14">
        <v>0</v>
      </c>
    </row>
    <row r="90" spans="1:9" ht="15.75" hidden="1" customHeight="1">
      <c r="A90" s="32">
        <v>33</v>
      </c>
      <c r="B90" s="16" t="s">
        <v>149</v>
      </c>
      <c r="C90" s="18" t="s">
        <v>28</v>
      </c>
      <c r="D90" s="16" t="s">
        <v>42</v>
      </c>
      <c r="E90" s="21">
        <v>823</v>
      </c>
      <c r="F90" s="14">
        <f>E90*2/1000</f>
        <v>1.6459999999999999</v>
      </c>
      <c r="G90" s="14">
        <v>1707.71</v>
      </c>
      <c r="H90" s="99">
        <f t="shared" si="13"/>
        <v>2.8108906600000001</v>
      </c>
      <c r="I90" s="14">
        <f t="shared" ref="I90" si="14">F90/2*G90</f>
        <v>1405.44533</v>
      </c>
    </row>
    <row r="91" spans="1:9" ht="15.75" hidden="1" customHeight="1">
      <c r="A91" s="55"/>
      <c r="B91" s="72" t="s">
        <v>132</v>
      </c>
      <c r="C91" s="72"/>
      <c r="D91" s="72"/>
      <c r="E91" s="72"/>
      <c r="F91" s="72"/>
      <c r="G91" s="72"/>
      <c r="H91" s="72"/>
      <c r="I91" s="21"/>
    </row>
    <row r="92" spans="1:9" ht="15.75" hidden="1" customHeight="1">
      <c r="A92" s="32">
        <v>15</v>
      </c>
      <c r="B92" s="83" t="s">
        <v>133</v>
      </c>
      <c r="C92" s="18"/>
      <c r="D92" s="16"/>
      <c r="E92" s="21"/>
      <c r="F92" s="14">
        <v>1</v>
      </c>
      <c r="G92" s="14">
        <v>14087.8</v>
      </c>
      <c r="H92" s="99">
        <f>G92*F92/1000</f>
        <v>14.0878</v>
      </c>
      <c r="I92" s="14">
        <f>G92</f>
        <v>14087.8</v>
      </c>
    </row>
    <row r="93" spans="1:9" ht="15.75" customHeight="1">
      <c r="A93" s="133" t="s">
        <v>161</v>
      </c>
      <c r="B93" s="134"/>
      <c r="C93" s="134"/>
      <c r="D93" s="134"/>
      <c r="E93" s="134"/>
      <c r="F93" s="134"/>
      <c r="G93" s="134"/>
      <c r="H93" s="134"/>
      <c r="I93" s="135"/>
    </row>
    <row r="94" spans="1:9" ht="15.75" customHeight="1">
      <c r="A94" s="32">
        <v>19</v>
      </c>
      <c r="B94" s="83" t="s">
        <v>150</v>
      </c>
      <c r="C94" s="18" t="s">
        <v>55</v>
      </c>
      <c r="D94" s="101" t="s">
        <v>56</v>
      </c>
      <c r="E94" s="14">
        <v>1810.5</v>
      </c>
      <c r="F94" s="14">
        <f>SUM(E94*12)</f>
        <v>21726</v>
      </c>
      <c r="G94" s="14">
        <v>2.95</v>
      </c>
      <c r="H94" s="99">
        <f>SUM(F94*G94/1000)</f>
        <v>64.091700000000003</v>
      </c>
      <c r="I94" s="14">
        <f>F94/12*G94</f>
        <v>5340.9750000000004</v>
      </c>
    </row>
    <row r="95" spans="1:9" ht="31.5" customHeight="1">
      <c r="A95" s="32">
        <v>20</v>
      </c>
      <c r="B95" s="16" t="s">
        <v>79</v>
      </c>
      <c r="C95" s="18" t="s">
        <v>55</v>
      </c>
      <c r="D95" s="101" t="s">
        <v>56</v>
      </c>
      <c r="E95" s="85">
        <v>1810.5</v>
      </c>
      <c r="F95" s="14">
        <f>E95*12</f>
        <v>21726</v>
      </c>
      <c r="G95" s="14">
        <v>3.05</v>
      </c>
      <c r="H95" s="99">
        <f>F95*G95/1000</f>
        <v>66.264300000000006</v>
      </c>
      <c r="I95" s="14">
        <f>F95/12*G95</f>
        <v>5522.0249999999996</v>
      </c>
    </row>
    <row r="96" spans="1:9" ht="15.75" customHeight="1">
      <c r="A96" s="55"/>
      <c r="B96" s="42" t="s">
        <v>82</v>
      </c>
      <c r="C96" s="43"/>
      <c r="D96" s="17"/>
      <c r="E96" s="17"/>
      <c r="F96" s="17"/>
      <c r="G96" s="21"/>
      <c r="H96" s="21"/>
      <c r="I96" s="35">
        <f>SUM(I16+I17+I18+I21+I22+I27+I28+I31+I32+I34+I35+I46+I47+I48+I49+I50+I51+I71+I94+I95)</f>
        <v>34953.177757877784</v>
      </c>
    </row>
    <row r="97" spans="1:9" ht="15.75" customHeight="1">
      <c r="A97" s="136" t="s">
        <v>61</v>
      </c>
      <c r="B97" s="137"/>
      <c r="C97" s="137"/>
      <c r="D97" s="137"/>
      <c r="E97" s="137"/>
      <c r="F97" s="137"/>
      <c r="G97" s="137"/>
      <c r="H97" s="137"/>
      <c r="I97" s="138"/>
    </row>
    <row r="98" spans="1:9" ht="31.5" customHeight="1">
      <c r="A98" s="109">
        <v>21</v>
      </c>
      <c r="B98" s="67" t="s">
        <v>179</v>
      </c>
      <c r="C98" s="102" t="s">
        <v>83</v>
      </c>
      <c r="D98" s="54"/>
      <c r="E98" s="14"/>
      <c r="F98" s="14">
        <v>5</v>
      </c>
      <c r="G98" s="14">
        <v>1187</v>
      </c>
      <c r="H98" s="99">
        <f t="shared" ref="H98:H101" si="15">G98*F98/1000</f>
        <v>5.9349999999999996</v>
      </c>
      <c r="I98" s="111">
        <f>G98*4</f>
        <v>4748</v>
      </c>
    </row>
    <row r="99" spans="1:9" ht="15.75" customHeight="1">
      <c r="A99" s="109">
        <v>22</v>
      </c>
      <c r="B99" s="67" t="s">
        <v>203</v>
      </c>
      <c r="C99" s="102" t="s">
        <v>204</v>
      </c>
      <c r="D99" s="66"/>
      <c r="E99" s="39"/>
      <c r="F99" s="39">
        <v>1</v>
      </c>
      <c r="G99" s="39">
        <v>206.54</v>
      </c>
      <c r="H99" s="104">
        <f t="shared" si="15"/>
        <v>0.20654</v>
      </c>
      <c r="I99" s="111">
        <f>G99</f>
        <v>206.54</v>
      </c>
    </row>
    <row r="100" spans="1:9" ht="31.5" customHeight="1">
      <c r="A100" s="109">
        <v>23</v>
      </c>
      <c r="B100" s="67" t="s">
        <v>205</v>
      </c>
      <c r="C100" s="102" t="s">
        <v>38</v>
      </c>
      <c r="D100" s="66"/>
      <c r="E100" s="39"/>
      <c r="F100" s="39">
        <v>0.01</v>
      </c>
      <c r="G100" s="39">
        <v>3581.13</v>
      </c>
      <c r="H100" s="104">
        <f t="shared" si="15"/>
        <v>3.5811300000000004E-2</v>
      </c>
      <c r="I100" s="111">
        <f>G100*0.01</f>
        <v>35.811300000000003</v>
      </c>
    </row>
    <row r="101" spans="1:9" ht="31.5" customHeight="1">
      <c r="A101" s="109">
        <v>24</v>
      </c>
      <c r="B101" s="67" t="s">
        <v>206</v>
      </c>
      <c r="C101" s="102" t="s">
        <v>83</v>
      </c>
      <c r="D101" s="54"/>
      <c r="E101" s="39"/>
      <c r="F101" s="39">
        <v>2</v>
      </c>
      <c r="G101" s="39">
        <v>1272</v>
      </c>
      <c r="H101" s="104">
        <f t="shared" si="15"/>
        <v>2.544</v>
      </c>
      <c r="I101" s="111">
        <f>G101*2</f>
        <v>2544</v>
      </c>
    </row>
    <row r="102" spans="1:9" ht="15.75" customHeight="1">
      <c r="A102" s="32"/>
      <c r="B102" s="48" t="s">
        <v>52</v>
      </c>
      <c r="C102" s="44"/>
      <c r="D102" s="56"/>
      <c r="E102" s="56"/>
      <c r="F102" s="44">
        <v>1</v>
      </c>
      <c r="G102" s="44"/>
      <c r="H102" s="44"/>
      <c r="I102" s="35">
        <f>SUM(I98:I101)</f>
        <v>7534.3513000000003</v>
      </c>
    </row>
    <row r="103" spans="1:9" ht="15.75" customHeight="1">
      <c r="A103" s="32"/>
      <c r="B103" s="54" t="s">
        <v>80</v>
      </c>
      <c r="C103" s="17"/>
      <c r="D103" s="17"/>
      <c r="E103" s="17"/>
      <c r="F103" s="45"/>
      <c r="G103" s="46"/>
      <c r="H103" s="46"/>
      <c r="I103" s="20">
        <v>0</v>
      </c>
    </row>
    <row r="104" spans="1:9" ht="15.75" customHeight="1">
      <c r="A104" s="57"/>
      <c r="B104" s="49" t="s">
        <v>162</v>
      </c>
      <c r="C104" s="37"/>
      <c r="D104" s="37"/>
      <c r="E104" s="37"/>
      <c r="F104" s="37"/>
      <c r="G104" s="37"/>
      <c r="H104" s="37"/>
      <c r="I104" s="47">
        <f>I96+I102</f>
        <v>42487.529057877786</v>
      </c>
    </row>
    <row r="105" spans="1:9" ht="15.75">
      <c r="A105" s="122" t="s">
        <v>207</v>
      </c>
      <c r="B105" s="122"/>
      <c r="C105" s="122"/>
      <c r="D105" s="122"/>
      <c r="E105" s="122"/>
      <c r="F105" s="122"/>
      <c r="G105" s="122"/>
      <c r="H105" s="122"/>
      <c r="I105" s="122"/>
    </row>
    <row r="106" spans="1:9" ht="15.75">
      <c r="A106" s="74"/>
      <c r="B106" s="123" t="s">
        <v>208</v>
      </c>
      <c r="C106" s="123"/>
      <c r="D106" s="123"/>
      <c r="E106" s="123"/>
      <c r="F106" s="123"/>
      <c r="G106" s="123"/>
      <c r="H106" s="81"/>
      <c r="I106" s="3"/>
    </row>
    <row r="107" spans="1:9">
      <c r="A107" s="70"/>
      <c r="B107" s="121" t="s">
        <v>6</v>
      </c>
      <c r="C107" s="121"/>
      <c r="D107" s="121"/>
      <c r="E107" s="121"/>
      <c r="F107" s="121"/>
      <c r="G107" s="121"/>
      <c r="H107" s="27"/>
      <c r="I107" s="5"/>
    </row>
    <row r="108" spans="1:9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>
      <c r="A109" s="124" t="s">
        <v>7</v>
      </c>
      <c r="B109" s="124"/>
      <c r="C109" s="124"/>
      <c r="D109" s="124"/>
      <c r="E109" s="124"/>
      <c r="F109" s="124"/>
      <c r="G109" s="124"/>
      <c r="H109" s="124"/>
      <c r="I109" s="124"/>
    </row>
    <row r="110" spans="1:9" ht="15.75">
      <c r="A110" s="124" t="s">
        <v>8</v>
      </c>
      <c r="B110" s="124"/>
      <c r="C110" s="124"/>
      <c r="D110" s="124"/>
      <c r="E110" s="124"/>
      <c r="F110" s="124"/>
      <c r="G110" s="124"/>
      <c r="H110" s="124"/>
      <c r="I110" s="124"/>
    </row>
    <row r="111" spans="1:9" ht="15.75">
      <c r="A111" s="118" t="s">
        <v>62</v>
      </c>
      <c r="B111" s="118"/>
      <c r="C111" s="118"/>
      <c r="D111" s="118"/>
      <c r="E111" s="118"/>
      <c r="F111" s="118"/>
      <c r="G111" s="118"/>
      <c r="H111" s="118"/>
      <c r="I111" s="118"/>
    </row>
    <row r="112" spans="1:9" ht="15.75">
      <c r="A112" s="11"/>
    </row>
    <row r="113" spans="1:9" ht="15.75">
      <c r="A113" s="119" t="s">
        <v>9</v>
      </c>
      <c r="B113" s="119"/>
      <c r="C113" s="119"/>
      <c r="D113" s="119"/>
      <c r="E113" s="119"/>
      <c r="F113" s="119"/>
      <c r="G113" s="119"/>
      <c r="H113" s="119"/>
      <c r="I113" s="119"/>
    </row>
    <row r="114" spans="1:9" ht="15.75">
      <c r="A114" s="4"/>
    </row>
    <row r="115" spans="1:9" ht="15.75">
      <c r="B115" s="71" t="s">
        <v>10</v>
      </c>
      <c r="C115" s="120" t="s">
        <v>94</v>
      </c>
      <c r="D115" s="120"/>
      <c r="E115" s="120"/>
      <c r="F115" s="120"/>
      <c r="I115" s="69"/>
    </row>
    <row r="116" spans="1:9">
      <c r="A116" s="70"/>
      <c r="C116" s="121" t="s">
        <v>11</v>
      </c>
      <c r="D116" s="121"/>
      <c r="E116" s="121"/>
      <c r="F116" s="121"/>
      <c r="I116" s="68" t="s">
        <v>12</v>
      </c>
    </row>
    <row r="117" spans="1:9" ht="15.75">
      <c r="A117" s="28"/>
      <c r="C117" s="12"/>
      <c r="D117" s="12"/>
      <c r="E117" s="12"/>
      <c r="G117" s="12"/>
      <c r="H117" s="12"/>
    </row>
    <row r="118" spans="1:9" ht="15.75">
      <c r="B118" s="71" t="s">
        <v>13</v>
      </c>
      <c r="C118" s="115"/>
      <c r="D118" s="115"/>
      <c r="E118" s="115"/>
      <c r="F118" s="115"/>
      <c r="I118" s="69"/>
    </row>
    <row r="119" spans="1:9">
      <c r="A119" s="70"/>
      <c r="C119" s="116" t="s">
        <v>11</v>
      </c>
      <c r="D119" s="116"/>
      <c r="E119" s="116"/>
      <c r="F119" s="116"/>
      <c r="I119" s="68" t="s">
        <v>12</v>
      </c>
    </row>
    <row r="120" spans="1:9" ht="15.75">
      <c r="A120" s="4" t="s">
        <v>14</v>
      </c>
    </row>
    <row r="121" spans="1:9">
      <c r="A121" s="117" t="s">
        <v>15</v>
      </c>
      <c r="B121" s="117"/>
      <c r="C121" s="117"/>
      <c r="D121" s="117"/>
      <c r="E121" s="117"/>
      <c r="F121" s="117"/>
      <c r="G121" s="117"/>
      <c r="H121" s="117"/>
      <c r="I121" s="117"/>
    </row>
    <row r="122" spans="1:9" ht="45" customHeight="1">
      <c r="A122" s="114" t="s">
        <v>16</v>
      </c>
      <c r="B122" s="114"/>
      <c r="C122" s="114"/>
      <c r="D122" s="114"/>
      <c r="E122" s="114"/>
      <c r="F122" s="114"/>
      <c r="G122" s="114"/>
      <c r="H122" s="114"/>
      <c r="I122" s="114"/>
    </row>
    <row r="123" spans="1:9" ht="30" customHeight="1">
      <c r="A123" s="114" t="s">
        <v>17</v>
      </c>
      <c r="B123" s="114"/>
      <c r="C123" s="114"/>
      <c r="D123" s="114"/>
      <c r="E123" s="114"/>
      <c r="F123" s="114"/>
      <c r="G123" s="114"/>
      <c r="H123" s="114"/>
      <c r="I123" s="114"/>
    </row>
    <row r="124" spans="1:9" ht="30" customHeight="1">
      <c r="A124" s="114" t="s">
        <v>21</v>
      </c>
      <c r="B124" s="114"/>
      <c r="C124" s="114"/>
      <c r="D124" s="114"/>
      <c r="E124" s="114"/>
      <c r="F124" s="114"/>
      <c r="G124" s="114"/>
      <c r="H124" s="114"/>
      <c r="I124" s="114"/>
    </row>
    <row r="125" spans="1:9" ht="15" customHeight="1">
      <c r="A125" s="114" t="s">
        <v>20</v>
      </c>
      <c r="B125" s="114"/>
      <c r="C125" s="114"/>
      <c r="D125" s="114"/>
      <c r="E125" s="114"/>
      <c r="F125" s="114"/>
      <c r="G125" s="114"/>
      <c r="H125" s="114"/>
      <c r="I125" s="114"/>
    </row>
  </sheetData>
  <autoFilter ref="I12:I65"/>
  <mergeCells count="29">
    <mergeCell ref="A121:I121"/>
    <mergeCell ref="A122:I122"/>
    <mergeCell ref="A123:I123"/>
    <mergeCell ref="A124:I124"/>
    <mergeCell ref="A125:I125"/>
    <mergeCell ref="R70:U70"/>
    <mergeCell ref="C119:F119"/>
    <mergeCell ref="A97:I97"/>
    <mergeCell ref="A105:I105"/>
    <mergeCell ref="B106:G106"/>
    <mergeCell ref="B107:G107"/>
    <mergeCell ref="A109:I109"/>
    <mergeCell ref="A110:I110"/>
    <mergeCell ref="A111:I111"/>
    <mergeCell ref="A113:I113"/>
    <mergeCell ref="C115:F115"/>
    <mergeCell ref="C116:F116"/>
    <mergeCell ref="C118:F118"/>
    <mergeCell ref="A93:I9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2018-07-30T11:02:11Z</cp:lastPrinted>
  <dcterms:created xsi:type="dcterms:W3CDTF">2016-03-25T08:33:47Z</dcterms:created>
  <dcterms:modified xsi:type="dcterms:W3CDTF">2018-07-30T11:20:28Z</dcterms:modified>
</cp:coreProperties>
</file>