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40" windowWidth="15480" windowHeight="11280" activeTab="11"/>
  </bookViews>
  <sheets>
    <sheet name="01.21" sheetId="17" r:id="rId1"/>
    <sheet name="02.21" sheetId="28" r:id="rId2"/>
    <sheet name="03.21" sheetId="29" r:id="rId3"/>
    <sheet name="04.21" sheetId="30" r:id="rId4"/>
    <sheet name="05.21" sheetId="31" r:id="rId5"/>
    <sheet name="06.21" sheetId="32" r:id="rId6"/>
    <sheet name="07.21" sheetId="33" r:id="rId7"/>
    <sheet name="08.21" sheetId="34" r:id="rId8"/>
    <sheet name="09.21" sheetId="35" r:id="rId9"/>
    <sheet name="10.21" sheetId="36" r:id="rId10"/>
    <sheet name="11.21" sheetId="37" r:id="rId11"/>
    <sheet name="12.21" sheetId="38" r:id="rId12"/>
  </sheets>
  <definedNames>
    <definedName name="_xlnm._FilterDatabase" localSheetId="0" hidden="1">'01.21'!$I$12:$I$60</definedName>
    <definedName name="_xlnm._FilterDatabase" localSheetId="1" hidden="1">'02.21'!$I$12:$I$61</definedName>
    <definedName name="_xlnm._FilterDatabase" localSheetId="2" hidden="1">'03.21'!$I$12:$I$61</definedName>
    <definedName name="_xlnm._FilterDatabase" localSheetId="3" hidden="1">'04.21'!$I$12:$I$55</definedName>
    <definedName name="_xlnm._FilterDatabase" localSheetId="4" hidden="1">'05.21'!$I$12:$I$56</definedName>
    <definedName name="_xlnm._FilterDatabase" localSheetId="5" hidden="1">'06.21'!$I$12:$I$60</definedName>
    <definedName name="_xlnm._FilterDatabase" localSheetId="6" hidden="1">'07.21'!$I$12:$I$57</definedName>
    <definedName name="_xlnm._FilterDatabase" localSheetId="7" hidden="1">'08.21'!$I$12:$I$59</definedName>
    <definedName name="_xlnm._FilterDatabase" localSheetId="8" hidden="1">'09.21'!$I$12:$I$59</definedName>
    <definedName name="_xlnm._FilterDatabase" localSheetId="9" hidden="1">'10.21'!$I$12:$I$59</definedName>
    <definedName name="_xlnm._FilterDatabase" localSheetId="10" hidden="1">'11.21'!$I$12:$I$63</definedName>
    <definedName name="_xlnm._FilterDatabase" localSheetId="11" hidden="1">'12.21'!$I$12:$I$61</definedName>
    <definedName name="_xlnm.Print_Area" localSheetId="0">'01.21'!$A$1:$I$113</definedName>
    <definedName name="_xlnm.Print_Area" localSheetId="1">'02.21'!$A$1:$I$122</definedName>
    <definedName name="_xlnm.Print_Area" localSheetId="2">'03.21'!$A$1:$I$120</definedName>
    <definedName name="_xlnm.Print_Area" localSheetId="3">'04.21'!$A$1:$I$110</definedName>
    <definedName name="_xlnm.Print_Area" localSheetId="4">'05.21'!$A$1:$I$125</definedName>
    <definedName name="_xlnm.Print_Area" localSheetId="5">'06.21'!$A$1:$I$116</definedName>
    <definedName name="_xlnm.Print_Area" localSheetId="6">'07.21'!$A$1:$I$118</definedName>
    <definedName name="_xlnm.Print_Area" localSheetId="7">'08.21'!$A$1:$I$114</definedName>
    <definedName name="_xlnm.Print_Area" localSheetId="8">'09.21'!$A$1:$I$123</definedName>
    <definedName name="_xlnm.Print_Area" localSheetId="9">'10.21'!$A$1:$I$115</definedName>
    <definedName name="_xlnm.Print_Area" localSheetId="10">'11.21'!$A$1:$I$114</definedName>
    <definedName name="_xlnm.Print_Area" localSheetId="11">'12.21'!$A$1:$I$120</definedName>
  </definedNames>
  <calcPr calcId="125725"/>
</workbook>
</file>

<file path=xl/calcChain.xml><?xml version="1.0" encoding="utf-8"?>
<calcChain xmlns="http://schemas.openxmlformats.org/spreadsheetml/2006/main">
  <c r="I84" i="38"/>
  <c r="I97"/>
  <c r="I96"/>
  <c r="I94"/>
  <c r="I93"/>
  <c r="I92"/>
  <c r="I91"/>
  <c r="I90"/>
  <c r="I89"/>
  <c r="I88"/>
  <c r="I86"/>
  <c r="I37"/>
  <c r="I37" i="37"/>
  <c r="I66"/>
  <c r="I65"/>
  <c r="I73"/>
  <c r="F73"/>
  <c r="I77"/>
  <c r="F77"/>
  <c r="I83" i="36"/>
  <c r="I92"/>
  <c r="I91"/>
  <c r="I90"/>
  <c r="I88"/>
  <c r="I87"/>
  <c r="I85"/>
  <c r="I61"/>
  <c r="I62"/>
  <c r="I85" i="34" l="1"/>
  <c r="I91"/>
  <c r="I90"/>
  <c r="I57"/>
  <c r="I95" i="33" l="1"/>
  <c r="I94"/>
  <c r="I90" i="35" l="1"/>
  <c r="I84"/>
  <c r="I100"/>
  <c r="I98"/>
  <c r="I97"/>
  <c r="I96"/>
  <c r="I95"/>
  <c r="I94"/>
  <c r="I93"/>
  <c r="I92"/>
  <c r="I91"/>
  <c r="I69"/>
  <c r="F69"/>
  <c r="I89"/>
  <c r="I88"/>
  <c r="I87"/>
  <c r="I86"/>
  <c r="I61"/>
  <c r="I88" i="34"/>
  <c r="I76"/>
  <c r="F76"/>
  <c r="I61"/>
  <c r="I81" i="33" l="1"/>
  <c r="I24"/>
  <c r="F24"/>
  <c r="F23"/>
  <c r="F22"/>
  <c r="F21"/>
  <c r="I21" s="1"/>
  <c r="I91"/>
  <c r="I89"/>
  <c r="I88"/>
  <c r="I87"/>
  <c r="I86"/>
  <c r="I85"/>
  <c r="I83"/>
  <c r="I59"/>
  <c r="I91" i="32"/>
  <c r="I90"/>
  <c r="I88"/>
  <c r="I87"/>
  <c r="I86"/>
  <c r="I93" s="1"/>
  <c r="F69"/>
  <c r="F68"/>
  <c r="F67"/>
  <c r="F66"/>
  <c r="F65"/>
  <c r="I83" i="31" l="1"/>
  <c r="I102" s="1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1"/>
  <c r="I86" i="30" l="1"/>
  <c r="I83" l="1"/>
  <c r="I87" s="1"/>
  <c r="I96" i="29"/>
  <c r="I95"/>
  <c r="I94"/>
  <c r="I93"/>
  <c r="I92"/>
  <c r="I90"/>
  <c r="I89"/>
  <c r="I88"/>
  <c r="I97" s="1"/>
  <c r="I87"/>
  <c r="I64"/>
  <c r="I62"/>
  <c r="F62"/>
  <c r="I59"/>
  <c r="I57"/>
  <c r="I43"/>
  <c r="I36"/>
  <c r="F44"/>
  <c r="H44" s="1"/>
  <c r="H43"/>
  <c r="I63" i="28"/>
  <c r="I98"/>
  <c r="I97"/>
  <c r="I96"/>
  <c r="I95"/>
  <c r="I94"/>
  <c r="I93"/>
  <c r="I92"/>
  <c r="I44" i="29" l="1"/>
  <c r="I90" i="28"/>
  <c r="I89"/>
  <c r="I88"/>
  <c r="I86"/>
  <c r="F54"/>
  <c r="I54" s="1"/>
  <c r="I43"/>
  <c r="I36"/>
  <c r="I88" i="17"/>
  <c r="I90" s="1"/>
  <c r="I87"/>
  <c r="I86"/>
  <c r="I63"/>
  <c r="I62"/>
  <c r="I57"/>
  <c r="I36"/>
  <c r="I61" i="37"/>
  <c r="I91"/>
  <c r="I44"/>
  <c r="I99" i="28" l="1"/>
  <c r="I57" i="35" l="1"/>
  <c r="I74" i="34" l="1"/>
  <c r="I69"/>
  <c r="F69"/>
  <c r="F74"/>
  <c r="I72" i="33" l="1"/>
  <c r="F72"/>
  <c r="I63" i="32" l="1"/>
  <c r="F26"/>
  <c r="H26" s="1"/>
  <c r="F25"/>
  <c r="I25" s="1"/>
  <c r="F24"/>
  <c r="I24" s="1"/>
  <c r="F23"/>
  <c r="F22"/>
  <c r="F21"/>
  <c r="I21" s="1"/>
  <c r="F20"/>
  <c r="F19"/>
  <c r="I19" s="1"/>
  <c r="F18"/>
  <c r="I18" s="1"/>
  <c r="F17"/>
  <c r="I17" s="1"/>
  <c r="F16"/>
  <c r="F25" i="31"/>
  <c r="H25" s="1"/>
  <c r="I26" i="32" l="1"/>
  <c r="I25" i="31"/>
  <c r="E84" i="29"/>
  <c r="F84" s="1"/>
  <c r="F83"/>
  <c r="H83" s="1"/>
  <c r="I77"/>
  <c r="F77"/>
  <c r="F73"/>
  <c r="I73" s="1"/>
  <c r="F57"/>
  <c r="F42"/>
  <c r="I42" s="1"/>
  <c r="F41"/>
  <c r="H41" s="1"/>
  <c r="F40"/>
  <c r="I40" s="1"/>
  <c r="I39"/>
  <c r="H39"/>
  <c r="I38"/>
  <c r="F38"/>
  <c r="H38" s="1"/>
  <c r="F37"/>
  <c r="I37" s="1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7"/>
  <c r="H17" s="1"/>
  <c r="F16"/>
  <c r="I16" s="1"/>
  <c r="H37" l="1"/>
  <c r="H40"/>
  <c r="H84"/>
  <c r="I84"/>
  <c r="I83"/>
  <c r="I41"/>
  <c r="H16"/>
  <c r="H20"/>
  <c r="H18"/>
  <c r="H22"/>
  <c r="I17"/>
  <c r="I19"/>
  <c r="I21"/>
  <c r="I23"/>
  <c r="H24"/>
  <c r="I25"/>
  <c r="F42" i="28" l="1"/>
  <c r="I42" s="1"/>
  <c r="F59"/>
  <c r="I59" s="1"/>
  <c r="E83"/>
  <c r="F83" s="1"/>
  <c r="F82"/>
  <c r="H82" s="1"/>
  <c r="I76"/>
  <c r="F76"/>
  <c r="F72"/>
  <c r="I72" s="1"/>
  <c r="F44"/>
  <c r="H44" s="1"/>
  <c r="F50"/>
  <c r="H50" s="1"/>
  <c r="I43" i="17"/>
  <c r="F42"/>
  <c r="I42" s="1"/>
  <c r="F41" i="28"/>
  <c r="F40"/>
  <c r="I40" s="1"/>
  <c r="I39"/>
  <c r="H39"/>
  <c r="I38"/>
  <c r="F38"/>
  <c r="H38" s="1"/>
  <c r="F37"/>
  <c r="I37" s="1"/>
  <c r="H36"/>
  <c r="F25"/>
  <c r="F24"/>
  <c r="I24" s="1"/>
  <c r="F23"/>
  <c r="H23" s="1"/>
  <c r="F22"/>
  <c r="I22" s="1"/>
  <c r="F21"/>
  <c r="H21" s="1"/>
  <c r="F20"/>
  <c r="I20" s="1"/>
  <c r="F19"/>
  <c r="H19" s="1"/>
  <c r="F18"/>
  <c r="I18" s="1"/>
  <c r="F17"/>
  <c r="H17" s="1"/>
  <c r="F16"/>
  <c r="I16" s="1"/>
  <c r="F25" i="17"/>
  <c r="H25" s="1"/>
  <c r="F24"/>
  <c r="I24" s="1"/>
  <c r="F23"/>
  <c r="H23" s="1"/>
  <c r="F22"/>
  <c r="I22" s="1"/>
  <c r="F21"/>
  <c r="H21" s="1"/>
  <c r="F20"/>
  <c r="I20" s="1"/>
  <c r="F19"/>
  <c r="H19" s="1"/>
  <c r="H18"/>
  <c r="F18"/>
  <c r="I18" s="1"/>
  <c r="F17"/>
  <c r="H17" s="1"/>
  <c r="F16"/>
  <c r="I16" s="1"/>
  <c r="E83"/>
  <c r="F83" s="1"/>
  <c r="F82"/>
  <c r="H82" s="1"/>
  <c r="F76"/>
  <c r="I76" s="1"/>
  <c r="I74"/>
  <c r="F74"/>
  <c r="I70"/>
  <c r="F70"/>
  <c r="F57"/>
  <c r="I58" i="38"/>
  <c r="F50" i="17"/>
  <c r="H50" s="1"/>
  <c r="F44"/>
  <c r="H44" s="1"/>
  <c r="H43"/>
  <c r="F41"/>
  <c r="H41" s="1"/>
  <c r="F40"/>
  <c r="I40" s="1"/>
  <c r="I39"/>
  <c r="H39"/>
  <c r="I38"/>
  <c r="F38"/>
  <c r="H38" s="1"/>
  <c r="F37"/>
  <c r="I37" s="1"/>
  <c r="H36"/>
  <c r="H25" i="28" l="1"/>
  <c r="I25"/>
  <c r="H41"/>
  <c r="I41"/>
  <c r="H16" i="17"/>
  <c r="H83" i="28"/>
  <c r="I83"/>
  <c r="I82"/>
  <c r="H22"/>
  <c r="I44"/>
  <c r="I50"/>
  <c r="H37"/>
  <c r="H40"/>
  <c r="H18"/>
  <c r="H16"/>
  <c r="H20"/>
  <c r="H24"/>
  <c r="I17"/>
  <c r="I19"/>
  <c r="I21"/>
  <c r="I23"/>
  <c r="H20" i="17"/>
  <c r="H24"/>
  <c r="H22"/>
  <c r="I17"/>
  <c r="I19"/>
  <c r="I21"/>
  <c r="I23"/>
  <c r="I25"/>
  <c r="H83"/>
  <c r="I83"/>
  <c r="I82"/>
  <c r="I50"/>
  <c r="I44"/>
  <c r="H37"/>
  <c r="H40"/>
  <c r="I41"/>
  <c r="E83" i="38" l="1"/>
  <c r="F83" s="1"/>
  <c r="F82"/>
  <c r="H82" s="1"/>
  <c r="I76"/>
  <c r="F76"/>
  <c r="F72"/>
  <c r="I72" s="1"/>
  <c r="I44"/>
  <c r="H44"/>
  <c r="F45"/>
  <c r="H45" s="1"/>
  <c r="F43"/>
  <c r="I43" s="1"/>
  <c r="F42"/>
  <c r="H42" s="1"/>
  <c r="F41"/>
  <c r="I41" s="1"/>
  <c r="I40"/>
  <c r="H40"/>
  <c r="I39"/>
  <c r="F39"/>
  <c r="H39" s="1"/>
  <c r="F38"/>
  <c r="I38" s="1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7"/>
  <c r="H17" s="1"/>
  <c r="F16"/>
  <c r="I16" s="1"/>
  <c r="H16" l="1"/>
  <c r="H20"/>
  <c r="H24"/>
  <c r="H18"/>
  <c r="H22"/>
  <c r="H83"/>
  <c r="I83"/>
  <c r="I82"/>
  <c r="I45"/>
  <c r="H38"/>
  <c r="H41"/>
  <c r="I42"/>
  <c r="I17"/>
  <c r="I19"/>
  <c r="I21"/>
  <c r="I23"/>
  <c r="I25"/>
  <c r="E86" i="37" l="1"/>
  <c r="F86" s="1"/>
  <c r="F85"/>
  <c r="H85" s="1"/>
  <c r="F75"/>
  <c r="I75" s="1"/>
  <c r="I78"/>
  <c r="F78"/>
  <c r="F65"/>
  <c r="I63"/>
  <c r="H63"/>
  <c r="F38"/>
  <c r="H38" s="1"/>
  <c r="F46"/>
  <c r="H46" s="1"/>
  <c r="H45"/>
  <c r="H44"/>
  <c r="F43"/>
  <c r="I43" s="1"/>
  <c r="F42"/>
  <c r="I42" s="1"/>
  <c r="F41"/>
  <c r="H41" s="1"/>
  <c r="H40"/>
  <c r="F39"/>
  <c r="H39" s="1"/>
  <c r="H37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6"/>
  <c r="I16" s="1"/>
  <c r="I43" i="36"/>
  <c r="F43"/>
  <c r="E82"/>
  <c r="F82" s="1"/>
  <c r="F81"/>
  <c r="H81" s="1"/>
  <c r="I79"/>
  <c r="F79"/>
  <c r="F77"/>
  <c r="I77" s="1"/>
  <c r="F61"/>
  <c r="F32"/>
  <c r="H32" s="1"/>
  <c r="F31"/>
  <c r="I31" s="1"/>
  <c r="I30"/>
  <c r="H30"/>
  <c r="F29"/>
  <c r="I29" s="1"/>
  <c r="F28"/>
  <c r="I28" s="1"/>
  <c r="F25"/>
  <c r="H25" s="1"/>
  <c r="F24"/>
  <c r="I24" s="1"/>
  <c r="F23"/>
  <c r="I23" s="1"/>
  <c r="F22"/>
  <c r="I22" s="1"/>
  <c r="F21"/>
  <c r="I21" s="1"/>
  <c r="F20"/>
  <c r="I20" s="1"/>
  <c r="F19"/>
  <c r="I19" s="1"/>
  <c r="F18"/>
  <c r="H18" s="1"/>
  <c r="F17"/>
  <c r="I17" s="1"/>
  <c r="I46" i="37" l="1"/>
  <c r="I41"/>
  <c r="H86"/>
  <c r="I86"/>
  <c r="I85"/>
  <c r="H18"/>
  <c r="I19"/>
  <c r="H20"/>
  <c r="I21"/>
  <c r="H22"/>
  <c r="I23"/>
  <c r="H24"/>
  <c r="I25"/>
  <c r="H17" i="36"/>
  <c r="H21"/>
  <c r="H29"/>
  <c r="H19"/>
  <c r="H23"/>
  <c r="H82"/>
  <c r="I82"/>
  <c r="I81"/>
  <c r="H28"/>
  <c r="H31"/>
  <c r="I32"/>
  <c r="I18"/>
  <c r="H20"/>
  <c r="H22"/>
  <c r="H24"/>
  <c r="I25"/>
  <c r="E83" i="35"/>
  <c r="F83" s="1"/>
  <c r="F82"/>
  <c r="I76"/>
  <c r="F76"/>
  <c r="I73"/>
  <c r="F73"/>
  <c r="F71"/>
  <c r="I71" s="1"/>
  <c r="F68"/>
  <c r="F61"/>
  <c r="F52"/>
  <c r="F50"/>
  <c r="F49"/>
  <c r="F48"/>
  <c r="F47"/>
  <c r="F46"/>
  <c r="F45"/>
  <c r="F44"/>
  <c r="F32"/>
  <c r="H32" s="1"/>
  <c r="F31"/>
  <c r="I31" s="1"/>
  <c r="I30"/>
  <c r="H30"/>
  <c r="F29"/>
  <c r="H29" s="1"/>
  <c r="F28"/>
  <c r="I28" s="1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7"/>
  <c r="H17" s="1"/>
  <c r="H31" l="1"/>
  <c r="H28"/>
  <c r="I29"/>
  <c r="I32"/>
  <c r="I17"/>
  <c r="H18"/>
  <c r="I19"/>
  <c r="H20"/>
  <c r="I21"/>
  <c r="H22"/>
  <c r="I23"/>
  <c r="H24"/>
  <c r="I25"/>
  <c r="F59" i="33" l="1"/>
  <c r="H59" s="1"/>
  <c r="E84" i="34"/>
  <c r="F84" s="1"/>
  <c r="F83"/>
  <c r="H83" s="1"/>
  <c r="I77"/>
  <c r="F77"/>
  <c r="F71"/>
  <c r="I71" s="1"/>
  <c r="F61"/>
  <c r="F32"/>
  <c r="H32" s="1"/>
  <c r="F31"/>
  <c r="I31" s="1"/>
  <c r="I30"/>
  <c r="H30"/>
  <c r="F29"/>
  <c r="H29" s="1"/>
  <c r="F28"/>
  <c r="I28" s="1"/>
  <c r="F25"/>
  <c r="H25" s="1"/>
  <c r="F24"/>
  <c r="I24" s="1"/>
  <c r="F23"/>
  <c r="H23" s="1"/>
  <c r="F22"/>
  <c r="I22" s="1"/>
  <c r="F21"/>
  <c r="H21" s="1"/>
  <c r="F20"/>
  <c r="I20" s="1"/>
  <c r="F19"/>
  <c r="H19" s="1"/>
  <c r="F18"/>
  <c r="I18" s="1"/>
  <c r="F17"/>
  <c r="H17" s="1"/>
  <c r="F20" i="33"/>
  <c r="H20" s="1"/>
  <c r="F19"/>
  <c r="I19" s="1"/>
  <c r="F18"/>
  <c r="H18" s="1"/>
  <c r="H17"/>
  <c r="F17"/>
  <c r="I17" s="1"/>
  <c r="F16"/>
  <c r="H16" s="1"/>
  <c r="I32"/>
  <c r="H19" l="1"/>
  <c r="H20" i="34"/>
  <c r="H18"/>
  <c r="H22"/>
  <c r="H84"/>
  <c r="I84"/>
  <c r="I83"/>
  <c r="H31"/>
  <c r="H28"/>
  <c r="I29"/>
  <c r="I32"/>
  <c r="I17"/>
  <c r="I19"/>
  <c r="I21"/>
  <c r="I23"/>
  <c r="H24"/>
  <c r="I25"/>
  <c r="I16" i="33"/>
  <c r="I18"/>
  <c r="I20"/>
  <c r="I75"/>
  <c r="E80"/>
  <c r="F80" s="1"/>
  <c r="F79"/>
  <c r="I79" s="1"/>
  <c r="F73"/>
  <c r="I73" s="1"/>
  <c r="F68"/>
  <c r="I68" s="1"/>
  <c r="F65"/>
  <c r="F64"/>
  <c r="F63"/>
  <c r="F62"/>
  <c r="F61"/>
  <c r="F31"/>
  <c r="F30"/>
  <c r="F28"/>
  <c r="F27"/>
  <c r="H79" l="1"/>
  <c r="H80"/>
  <c r="I80"/>
  <c r="I16" i="32"/>
  <c r="E83" l="1"/>
  <c r="F83" s="1"/>
  <c r="F82"/>
  <c r="H82" s="1"/>
  <c r="F76"/>
  <c r="I76" s="1"/>
  <c r="F72"/>
  <c r="I72" s="1"/>
  <c r="F63"/>
  <c r="I61"/>
  <c r="F61"/>
  <c r="F44"/>
  <c r="H44" s="1"/>
  <c r="F33"/>
  <c r="F32"/>
  <c r="F30"/>
  <c r="F29"/>
  <c r="H83" l="1"/>
  <c r="I83"/>
  <c r="I82"/>
  <c r="I44"/>
  <c r="I49" i="31" l="1"/>
  <c r="F31"/>
  <c r="F30"/>
  <c r="I30" s="1"/>
  <c r="F29"/>
  <c r="F28"/>
  <c r="E78"/>
  <c r="F78" s="1"/>
  <c r="F77"/>
  <c r="F71"/>
  <c r="I71" s="1"/>
  <c r="F67"/>
  <c r="I67" s="1"/>
  <c r="H58"/>
  <c r="I58"/>
  <c r="F64"/>
  <c r="F63"/>
  <c r="F62"/>
  <c r="F61"/>
  <c r="F60"/>
  <c r="F50"/>
  <c r="F48"/>
  <c r="F47"/>
  <c r="F46"/>
  <c r="F45"/>
  <c r="F44"/>
  <c r="F43"/>
  <c r="F42"/>
  <c r="F24"/>
  <c r="F23"/>
  <c r="F22"/>
  <c r="F21"/>
  <c r="F20"/>
  <c r="F19"/>
  <c r="F18"/>
  <c r="I18" s="1"/>
  <c r="F17"/>
  <c r="I17" s="1"/>
  <c r="F16"/>
  <c r="I39" i="30" l="1"/>
  <c r="F79"/>
  <c r="I79" s="1"/>
  <c r="E78"/>
  <c r="F78" s="1"/>
  <c r="F77"/>
  <c r="F71"/>
  <c r="I71" s="1"/>
  <c r="I65"/>
  <c r="F67"/>
  <c r="I67" s="1"/>
  <c r="F65"/>
  <c r="F44"/>
  <c r="I44" s="1"/>
  <c r="F42"/>
  <c r="F41"/>
  <c r="F40"/>
  <c r="F38"/>
  <c r="I37"/>
  <c r="F26"/>
  <c r="F25"/>
  <c r="F21"/>
  <c r="F20"/>
  <c r="F18"/>
  <c r="I18" s="1"/>
  <c r="F17"/>
  <c r="F16"/>
  <c r="I16" s="1"/>
  <c r="I52" l="1"/>
  <c r="I57" i="28"/>
  <c r="I56" i="31" l="1"/>
  <c r="I47" i="30"/>
  <c r="I46"/>
  <c r="I55" l="1"/>
  <c r="I43"/>
  <c r="F61" i="29" l="1"/>
  <c r="I58"/>
  <c r="F61" i="28" l="1"/>
  <c r="F60" i="17"/>
  <c r="H60" s="1"/>
  <c r="I80" i="38" l="1"/>
  <c r="H80"/>
  <c r="H78"/>
  <c r="H75"/>
  <c r="F74"/>
  <c r="H74" s="1"/>
  <c r="I70"/>
  <c r="F70"/>
  <c r="H70" s="1"/>
  <c r="F69"/>
  <c r="I69" s="1"/>
  <c r="F68"/>
  <c r="H68" s="1"/>
  <c r="F67"/>
  <c r="I67" s="1"/>
  <c r="F66"/>
  <c r="H66" s="1"/>
  <c r="F65"/>
  <c r="I65" s="1"/>
  <c r="H64"/>
  <c r="I63"/>
  <c r="H63"/>
  <c r="I61"/>
  <c r="H59"/>
  <c r="F58"/>
  <c r="I55"/>
  <c r="F55"/>
  <c r="H55" s="1"/>
  <c r="I54"/>
  <c r="H54"/>
  <c r="F53"/>
  <c r="I53" s="1"/>
  <c r="F52"/>
  <c r="H52" s="1"/>
  <c r="F51"/>
  <c r="I51" s="1"/>
  <c r="F50"/>
  <c r="H50" s="1"/>
  <c r="F49"/>
  <c r="I49" s="1"/>
  <c r="F48"/>
  <c r="H48" s="1"/>
  <c r="F47"/>
  <c r="I47" s="1"/>
  <c r="H37"/>
  <c r="H35"/>
  <c r="H34"/>
  <c r="F33"/>
  <c r="H33" s="1"/>
  <c r="F32"/>
  <c r="I32" s="1"/>
  <c r="F31"/>
  <c r="H31" s="1"/>
  <c r="F30"/>
  <c r="I30" s="1"/>
  <c r="F29"/>
  <c r="H29" s="1"/>
  <c r="F26"/>
  <c r="I26" s="1"/>
  <c r="I83" i="37"/>
  <c r="H83"/>
  <c r="H81"/>
  <c r="H79"/>
  <c r="I72"/>
  <c r="F72"/>
  <c r="H72" s="1"/>
  <c r="F71"/>
  <c r="I71" s="1"/>
  <c r="F70"/>
  <c r="H70" s="1"/>
  <c r="F69"/>
  <c r="I69" s="1"/>
  <c r="F68"/>
  <c r="H68" s="1"/>
  <c r="F67"/>
  <c r="I67" s="1"/>
  <c r="H66"/>
  <c r="H65"/>
  <c r="H60"/>
  <c r="F59"/>
  <c r="I59" s="1"/>
  <c r="I56"/>
  <c r="F56"/>
  <c r="H56" s="1"/>
  <c r="I55"/>
  <c r="H55"/>
  <c r="F54"/>
  <c r="I54" s="1"/>
  <c r="F53"/>
  <c r="H53" s="1"/>
  <c r="F52"/>
  <c r="I52" s="1"/>
  <c r="F51"/>
  <c r="H51" s="1"/>
  <c r="F50"/>
  <c r="I50" s="1"/>
  <c r="F49"/>
  <c r="H49" s="1"/>
  <c r="F48"/>
  <c r="I48" s="1"/>
  <c r="H42"/>
  <c r="I40"/>
  <c r="I39"/>
  <c r="I38"/>
  <c r="H35"/>
  <c r="H34"/>
  <c r="F33"/>
  <c r="H33" s="1"/>
  <c r="F32"/>
  <c r="I32" s="1"/>
  <c r="F31"/>
  <c r="H31" s="1"/>
  <c r="F30"/>
  <c r="I30" s="1"/>
  <c r="F29"/>
  <c r="H29" s="1"/>
  <c r="F26"/>
  <c r="I26" s="1"/>
  <c r="F17"/>
  <c r="I17" s="1"/>
  <c r="H16"/>
  <c r="I87" l="1"/>
  <c r="H61" i="38"/>
  <c r="H58"/>
  <c r="H26"/>
  <c r="I29"/>
  <c r="H30"/>
  <c r="I31"/>
  <c r="H32"/>
  <c r="I33"/>
  <c r="H47"/>
  <c r="I48"/>
  <c r="H49"/>
  <c r="I50"/>
  <c r="H51"/>
  <c r="I52"/>
  <c r="H53"/>
  <c r="H65"/>
  <c r="I66"/>
  <c r="H67"/>
  <c r="I68"/>
  <c r="H69"/>
  <c r="H59" i="37"/>
  <c r="H69"/>
  <c r="H17"/>
  <c r="H48"/>
  <c r="H67"/>
  <c r="H71"/>
  <c r="H26"/>
  <c r="H52"/>
  <c r="H50"/>
  <c r="H54"/>
  <c r="H32"/>
  <c r="H30"/>
  <c r="I29"/>
  <c r="I31"/>
  <c r="I33"/>
  <c r="I49"/>
  <c r="I51"/>
  <c r="I53"/>
  <c r="I68"/>
  <c r="I70"/>
  <c r="I93" l="1"/>
  <c r="H82"/>
  <c r="H79" i="38"/>
  <c r="I99"/>
  <c r="I75" i="36" l="1"/>
  <c r="H75"/>
  <c r="H73"/>
  <c r="H71"/>
  <c r="F70"/>
  <c r="H70" s="1"/>
  <c r="I68"/>
  <c r="F68"/>
  <c r="H68" s="1"/>
  <c r="F67"/>
  <c r="H67" s="1"/>
  <c r="F66"/>
  <c r="I66" s="1"/>
  <c r="F65"/>
  <c r="H65" s="1"/>
  <c r="F64"/>
  <c r="I64" s="1"/>
  <c r="F63"/>
  <c r="H63" s="1"/>
  <c r="H62"/>
  <c r="H61"/>
  <c r="H59"/>
  <c r="H57"/>
  <c r="F56"/>
  <c r="I56" s="1"/>
  <c r="I53"/>
  <c r="F53"/>
  <c r="H53" s="1"/>
  <c r="I52"/>
  <c r="H52"/>
  <c r="F51"/>
  <c r="H51" s="1"/>
  <c r="F50"/>
  <c r="I50" s="1"/>
  <c r="F49"/>
  <c r="H49" s="1"/>
  <c r="F48"/>
  <c r="I48" s="1"/>
  <c r="F47"/>
  <c r="H47" s="1"/>
  <c r="F46"/>
  <c r="I46" s="1"/>
  <c r="F45"/>
  <c r="H45" s="1"/>
  <c r="I42"/>
  <c r="H42"/>
  <c r="F41"/>
  <c r="I41" s="1"/>
  <c r="F40"/>
  <c r="H40" s="1"/>
  <c r="F39"/>
  <c r="I39" s="1"/>
  <c r="I38"/>
  <c r="H38"/>
  <c r="F37"/>
  <c r="H37" s="1"/>
  <c r="I36"/>
  <c r="H36"/>
  <c r="H34"/>
  <c r="H33"/>
  <c r="F16"/>
  <c r="I16" s="1"/>
  <c r="I68" i="35"/>
  <c r="I83"/>
  <c r="H82"/>
  <c r="I80"/>
  <c r="H80"/>
  <c r="H78"/>
  <c r="H75"/>
  <c r="F74"/>
  <c r="H74" s="1"/>
  <c r="H68"/>
  <c r="F67"/>
  <c r="H67" s="1"/>
  <c r="F66"/>
  <c r="I66" s="1"/>
  <c r="F65"/>
  <c r="H65" s="1"/>
  <c r="F64"/>
  <c r="I64" s="1"/>
  <c r="F63"/>
  <c r="H63" s="1"/>
  <c r="H62"/>
  <c r="H61"/>
  <c r="I59"/>
  <c r="H56"/>
  <c r="F55"/>
  <c r="I55" s="1"/>
  <c r="I52"/>
  <c r="H52"/>
  <c r="I51"/>
  <c r="H51"/>
  <c r="I50"/>
  <c r="I49"/>
  <c r="I48"/>
  <c r="I47"/>
  <c r="H46"/>
  <c r="I45"/>
  <c r="H44"/>
  <c r="I42"/>
  <c r="H42"/>
  <c r="F41"/>
  <c r="I41" s="1"/>
  <c r="F40"/>
  <c r="H40" s="1"/>
  <c r="F39"/>
  <c r="I39" s="1"/>
  <c r="I38"/>
  <c r="H38"/>
  <c r="F37"/>
  <c r="I37" s="1"/>
  <c r="I36"/>
  <c r="H36"/>
  <c r="H34"/>
  <c r="H33"/>
  <c r="F16"/>
  <c r="I16" s="1"/>
  <c r="I81" i="34"/>
  <c r="H81"/>
  <c r="H79"/>
  <c r="H75"/>
  <c r="F73"/>
  <c r="H73" s="1"/>
  <c r="F68"/>
  <c r="H68" s="1"/>
  <c r="F67"/>
  <c r="H67" s="1"/>
  <c r="F66"/>
  <c r="I66" s="1"/>
  <c r="F65"/>
  <c r="H65" s="1"/>
  <c r="F64"/>
  <c r="I64" s="1"/>
  <c r="F63"/>
  <c r="H63" s="1"/>
  <c r="H62"/>
  <c r="H61"/>
  <c r="H59"/>
  <c r="H56"/>
  <c r="F55"/>
  <c r="H55" s="1"/>
  <c r="I52"/>
  <c r="F52"/>
  <c r="H52" s="1"/>
  <c r="I51"/>
  <c r="H51"/>
  <c r="F50"/>
  <c r="H50" s="1"/>
  <c r="F49"/>
  <c r="I49" s="1"/>
  <c r="F48"/>
  <c r="H48" s="1"/>
  <c r="F47"/>
  <c r="I47" s="1"/>
  <c r="F46"/>
  <c r="H46" s="1"/>
  <c r="F45"/>
  <c r="I45" s="1"/>
  <c r="F44"/>
  <c r="I44" s="1"/>
  <c r="I42"/>
  <c r="H42"/>
  <c r="F41"/>
  <c r="I41" s="1"/>
  <c r="F40"/>
  <c r="I40" s="1"/>
  <c r="F39"/>
  <c r="I39" s="1"/>
  <c r="I38"/>
  <c r="H38"/>
  <c r="F37"/>
  <c r="I37" s="1"/>
  <c r="I36"/>
  <c r="H36"/>
  <c r="H34"/>
  <c r="H33"/>
  <c r="F16"/>
  <c r="I16" s="1"/>
  <c r="H56" i="36" l="1"/>
  <c r="H55" i="35"/>
  <c r="H40" i="34"/>
  <c r="H16" i="36"/>
  <c r="I37"/>
  <c r="H39"/>
  <c r="I40"/>
  <c r="H41"/>
  <c r="I45"/>
  <c r="H46"/>
  <c r="I47"/>
  <c r="H48"/>
  <c r="I49"/>
  <c r="H50"/>
  <c r="I51"/>
  <c r="I59"/>
  <c r="I63"/>
  <c r="H64"/>
  <c r="I65"/>
  <c r="H66"/>
  <c r="I67"/>
  <c r="H59" i="35"/>
  <c r="H48"/>
  <c r="H37"/>
  <c r="H50"/>
  <c r="H16"/>
  <c r="H39"/>
  <c r="I40"/>
  <c r="H41"/>
  <c r="I44"/>
  <c r="H45"/>
  <c r="I46"/>
  <c r="H47"/>
  <c r="H49"/>
  <c r="I63"/>
  <c r="H64"/>
  <c r="I65"/>
  <c r="H66"/>
  <c r="I67"/>
  <c r="I82"/>
  <c r="H83"/>
  <c r="H37" i="34"/>
  <c r="H44"/>
  <c r="H16"/>
  <c r="H39"/>
  <c r="H41"/>
  <c r="H45"/>
  <c r="I46"/>
  <c r="H47"/>
  <c r="I48"/>
  <c r="H49"/>
  <c r="I50"/>
  <c r="I55"/>
  <c r="I59"/>
  <c r="I63"/>
  <c r="H64"/>
  <c r="I65"/>
  <c r="H66"/>
  <c r="I67"/>
  <c r="I94" i="36" l="1"/>
  <c r="H74"/>
  <c r="I102" i="35"/>
  <c r="H79"/>
  <c r="I93" i="34"/>
  <c r="H80"/>
  <c r="I77" i="33" l="1"/>
  <c r="H77"/>
  <c r="H75"/>
  <c r="H71"/>
  <c r="F70"/>
  <c r="H70" s="1"/>
  <c r="F66"/>
  <c r="H66" s="1"/>
  <c r="I65"/>
  <c r="H64"/>
  <c r="I63"/>
  <c r="H62"/>
  <c r="I61"/>
  <c r="H60"/>
  <c r="H57"/>
  <c r="I57"/>
  <c r="H55"/>
  <c r="F54"/>
  <c r="I54" s="1"/>
  <c r="I51"/>
  <c r="F51"/>
  <c r="H51" s="1"/>
  <c r="I50"/>
  <c r="H50"/>
  <c r="F49"/>
  <c r="I49" s="1"/>
  <c r="F48"/>
  <c r="H48" s="1"/>
  <c r="F47"/>
  <c r="I47" s="1"/>
  <c r="F46"/>
  <c r="H46" s="1"/>
  <c r="F45"/>
  <c r="I45" s="1"/>
  <c r="F44"/>
  <c r="H44" s="1"/>
  <c r="F43"/>
  <c r="I43" s="1"/>
  <c r="I41"/>
  <c r="H41"/>
  <c r="F40"/>
  <c r="H40" s="1"/>
  <c r="F39"/>
  <c r="I39" s="1"/>
  <c r="F38"/>
  <c r="H38" s="1"/>
  <c r="I37"/>
  <c r="H37"/>
  <c r="F36"/>
  <c r="I36" s="1"/>
  <c r="I35"/>
  <c r="H35"/>
  <c r="H33"/>
  <c r="H32"/>
  <c r="H31"/>
  <c r="I30"/>
  <c r="H29"/>
  <c r="I28"/>
  <c r="H27"/>
  <c r="H24"/>
  <c r="I23"/>
  <c r="H22"/>
  <c r="I80" i="32"/>
  <c r="H80"/>
  <c r="H78"/>
  <c r="H75"/>
  <c r="F74"/>
  <c r="H74" s="1"/>
  <c r="F70"/>
  <c r="I69"/>
  <c r="I68"/>
  <c r="I67"/>
  <c r="H66"/>
  <c r="I65"/>
  <c r="H64"/>
  <c r="H63"/>
  <c r="I60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3"/>
  <c r="H43"/>
  <c r="F42"/>
  <c r="H42" s="1"/>
  <c r="F41"/>
  <c r="I41" s="1"/>
  <c r="F40"/>
  <c r="H40" s="1"/>
  <c r="I39"/>
  <c r="H39"/>
  <c r="F38"/>
  <c r="I38" s="1"/>
  <c r="I37"/>
  <c r="H37"/>
  <c r="H35"/>
  <c r="H34"/>
  <c r="H33"/>
  <c r="I32"/>
  <c r="H31"/>
  <c r="I30"/>
  <c r="H29"/>
  <c r="H24"/>
  <c r="I23"/>
  <c r="H22"/>
  <c r="H20"/>
  <c r="H18"/>
  <c r="I75" i="31"/>
  <c r="H31"/>
  <c r="H30"/>
  <c r="H29"/>
  <c r="H28"/>
  <c r="I31"/>
  <c r="H78"/>
  <c r="I77"/>
  <c r="H75"/>
  <c r="H73"/>
  <c r="H70"/>
  <c r="F69"/>
  <c r="H69" s="1"/>
  <c r="F65"/>
  <c r="H65" s="1"/>
  <c r="H64"/>
  <c r="H63"/>
  <c r="H62"/>
  <c r="H61"/>
  <c r="H60"/>
  <c r="H59"/>
  <c r="F56"/>
  <c r="H54"/>
  <c r="F53"/>
  <c r="I53" s="1"/>
  <c r="I50"/>
  <c r="H50"/>
  <c r="H49"/>
  <c r="I48"/>
  <c r="H47"/>
  <c r="I46"/>
  <c r="H45"/>
  <c r="H44"/>
  <c r="H43"/>
  <c r="H42"/>
  <c r="I40"/>
  <c r="H40"/>
  <c r="F39"/>
  <c r="H39" s="1"/>
  <c r="F38"/>
  <c r="I38" s="1"/>
  <c r="F37"/>
  <c r="H37" s="1"/>
  <c r="I36"/>
  <c r="H36"/>
  <c r="I35"/>
  <c r="I34"/>
  <c r="H34"/>
  <c r="H32"/>
  <c r="H24"/>
  <c r="H23"/>
  <c r="H22"/>
  <c r="I21"/>
  <c r="I20"/>
  <c r="H16"/>
  <c r="I78" i="30"/>
  <c r="H77"/>
  <c r="H75"/>
  <c r="H73"/>
  <c r="H70"/>
  <c r="F69"/>
  <c r="H69" s="1"/>
  <c r="F64"/>
  <c r="H64" s="1"/>
  <c r="F63"/>
  <c r="H63" s="1"/>
  <c r="F62"/>
  <c r="H62" s="1"/>
  <c r="F61"/>
  <c r="H61" s="1"/>
  <c r="F60"/>
  <c r="H60" s="1"/>
  <c r="F59"/>
  <c r="H59" s="1"/>
  <c r="H58"/>
  <c r="I57"/>
  <c r="H57"/>
  <c r="F55"/>
  <c r="H53"/>
  <c r="F52"/>
  <c r="I49"/>
  <c r="F49"/>
  <c r="H49" s="1"/>
  <c r="I48"/>
  <c r="H48"/>
  <c r="H43"/>
  <c r="I42"/>
  <c r="H41"/>
  <c r="I40"/>
  <c r="H39"/>
  <c r="I38"/>
  <c r="H37"/>
  <c r="H35"/>
  <c r="H34"/>
  <c r="F33"/>
  <c r="H33" s="1"/>
  <c r="F32"/>
  <c r="H32" s="1"/>
  <c r="H31"/>
  <c r="F30"/>
  <c r="H30" s="1"/>
  <c r="F29"/>
  <c r="H29" s="1"/>
  <c r="I26"/>
  <c r="H25"/>
  <c r="F24"/>
  <c r="H24" s="1"/>
  <c r="F23"/>
  <c r="H23" s="1"/>
  <c r="F22"/>
  <c r="H22" s="1"/>
  <c r="H21"/>
  <c r="I20"/>
  <c r="F19"/>
  <c r="H19" s="1"/>
  <c r="H17"/>
  <c r="I53" i="29"/>
  <c r="H81"/>
  <c r="H79"/>
  <c r="H76"/>
  <c r="F75"/>
  <c r="H75" s="1"/>
  <c r="F71"/>
  <c r="H71" s="1"/>
  <c r="F70"/>
  <c r="H70" s="1"/>
  <c r="F69"/>
  <c r="H69" s="1"/>
  <c r="F68"/>
  <c r="H68" s="1"/>
  <c r="F67"/>
  <c r="H67" s="1"/>
  <c r="F66"/>
  <c r="H66" s="1"/>
  <c r="H65"/>
  <c r="H64"/>
  <c r="H61"/>
  <c r="I61"/>
  <c r="I85" s="1"/>
  <c r="H58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H36"/>
  <c r="H34"/>
  <c r="H33"/>
  <c r="F32"/>
  <c r="H32" s="1"/>
  <c r="F31"/>
  <c r="H31" s="1"/>
  <c r="H30"/>
  <c r="F29"/>
  <c r="H29" s="1"/>
  <c r="F28"/>
  <c r="H28" s="1"/>
  <c r="H80" i="28"/>
  <c r="H78"/>
  <c r="H75"/>
  <c r="F74"/>
  <c r="H74" s="1"/>
  <c r="F70"/>
  <c r="H70" s="1"/>
  <c r="F69"/>
  <c r="H69" s="1"/>
  <c r="F68"/>
  <c r="H68" s="1"/>
  <c r="F67"/>
  <c r="H67" s="1"/>
  <c r="F66"/>
  <c r="H66" s="1"/>
  <c r="F65"/>
  <c r="H65" s="1"/>
  <c r="H64"/>
  <c r="H63"/>
  <c r="I61"/>
  <c r="I84" s="1"/>
  <c r="H58"/>
  <c r="F57"/>
  <c r="H53"/>
  <c r="F52"/>
  <c r="H52" s="1"/>
  <c r="F51"/>
  <c r="H51" s="1"/>
  <c r="F49"/>
  <c r="H49" s="1"/>
  <c r="F48"/>
  <c r="H48" s="1"/>
  <c r="F47"/>
  <c r="H47" s="1"/>
  <c r="F46"/>
  <c r="H46" s="1"/>
  <c r="H43"/>
  <c r="H34"/>
  <c r="H33"/>
  <c r="F32"/>
  <c r="H32" s="1"/>
  <c r="F31"/>
  <c r="H31" s="1"/>
  <c r="H30"/>
  <c r="F29"/>
  <c r="H29" s="1"/>
  <c r="F28"/>
  <c r="H28" s="1"/>
  <c r="H80" i="17"/>
  <c r="H78"/>
  <c r="H73"/>
  <c r="F72"/>
  <c r="H72" s="1"/>
  <c r="F69"/>
  <c r="H69" s="1"/>
  <c r="F68"/>
  <c r="H68" s="1"/>
  <c r="F67"/>
  <c r="H67" s="1"/>
  <c r="F66"/>
  <c r="H66" s="1"/>
  <c r="F65"/>
  <c r="H65" s="1"/>
  <c r="F64"/>
  <c r="H64" s="1"/>
  <c r="H63"/>
  <c r="H62"/>
  <c r="H58"/>
  <c r="H57"/>
  <c r="I54"/>
  <c r="F54"/>
  <c r="H54" s="1"/>
  <c r="H53"/>
  <c r="F52"/>
  <c r="H52" s="1"/>
  <c r="F51"/>
  <c r="H51" s="1"/>
  <c r="F49"/>
  <c r="H49" s="1"/>
  <c r="F48"/>
  <c r="H48" s="1"/>
  <c r="F47"/>
  <c r="H47" s="1"/>
  <c r="F46"/>
  <c r="H46" s="1"/>
  <c r="H34"/>
  <c r="H33"/>
  <c r="F32"/>
  <c r="H32" s="1"/>
  <c r="F31"/>
  <c r="H31" s="1"/>
  <c r="H30"/>
  <c r="F29"/>
  <c r="H29" s="1"/>
  <c r="F28"/>
  <c r="H28" s="1"/>
  <c r="H54" i="33" l="1"/>
  <c r="H70" i="32"/>
  <c r="I70"/>
  <c r="H60"/>
  <c r="H57"/>
  <c r="I45" i="31"/>
  <c r="I43"/>
  <c r="I60"/>
  <c r="I63"/>
  <c r="I61"/>
  <c r="H19"/>
  <c r="I19"/>
  <c r="I44"/>
  <c r="I42"/>
  <c r="I64"/>
  <c r="I62"/>
  <c r="H57" i="29"/>
  <c r="H80" s="1"/>
  <c r="H49" i="33"/>
  <c r="H21"/>
  <c r="I22"/>
  <c r="H23"/>
  <c r="I27"/>
  <c r="H28"/>
  <c r="I29"/>
  <c r="H30"/>
  <c r="I31"/>
  <c r="H36"/>
  <c r="I38"/>
  <c r="H39"/>
  <c r="I40"/>
  <c r="H43"/>
  <c r="I44"/>
  <c r="H45"/>
  <c r="I46"/>
  <c r="H47"/>
  <c r="I48"/>
  <c r="H61"/>
  <c r="I62"/>
  <c r="H63"/>
  <c r="I64"/>
  <c r="H65"/>
  <c r="H68" i="32"/>
  <c r="H17"/>
  <c r="H16"/>
  <c r="H19"/>
  <c r="I20"/>
  <c r="H21"/>
  <c r="I22"/>
  <c r="H23"/>
  <c r="I29"/>
  <c r="H30"/>
  <c r="I31"/>
  <c r="H32"/>
  <c r="I33"/>
  <c r="I84" s="1"/>
  <c r="H38"/>
  <c r="I40"/>
  <c r="H41"/>
  <c r="I42"/>
  <c r="H46"/>
  <c r="I47"/>
  <c r="H48"/>
  <c r="I49"/>
  <c r="H50"/>
  <c r="I51"/>
  <c r="H52"/>
  <c r="H65"/>
  <c r="I66"/>
  <c r="H67"/>
  <c r="H69"/>
  <c r="I28" i="31"/>
  <c r="I29"/>
  <c r="I22"/>
  <c r="I23"/>
  <c r="H53"/>
  <c r="I24"/>
  <c r="H20"/>
  <c r="H18"/>
  <c r="I16"/>
  <c r="H17"/>
  <c r="H21"/>
  <c r="H35"/>
  <c r="I37"/>
  <c r="H38"/>
  <c r="I39"/>
  <c r="H46"/>
  <c r="I47"/>
  <c r="H48"/>
  <c r="H56"/>
  <c r="H74" s="1"/>
  <c r="H77"/>
  <c r="I78"/>
  <c r="H55" i="30"/>
  <c r="H38"/>
  <c r="H52"/>
  <c r="H74" s="1"/>
  <c r="H18"/>
  <c r="H16"/>
  <c r="I17"/>
  <c r="H20"/>
  <c r="I21"/>
  <c r="H26"/>
  <c r="H40"/>
  <c r="I41"/>
  <c r="H42"/>
  <c r="I77"/>
  <c r="I80" s="1"/>
  <c r="H78"/>
  <c r="I50" i="29"/>
  <c r="H57" i="28"/>
  <c r="H61"/>
  <c r="I60" i="17"/>
  <c r="I84" s="1"/>
  <c r="I79" i="31" l="1"/>
  <c r="I104" s="1"/>
  <c r="I95" i="32"/>
  <c r="I89" i="30"/>
  <c r="I99" i="29"/>
  <c r="I101" i="28"/>
  <c r="I97" i="33"/>
  <c r="H76"/>
  <c r="H79" i="32"/>
  <c r="H79" i="28"/>
  <c r="H79" i="17" l="1"/>
  <c r="I92" l="1"/>
</calcChain>
</file>

<file path=xl/sharedStrings.xml><?xml version="1.0" encoding="utf-8"?>
<sst xmlns="http://schemas.openxmlformats.org/spreadsheetml/2006/main" count="2770" uniqueCount="368">
  <si>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</si>
  <si>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</si>
  <si>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</si>
  <si>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</si>
  <si>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</si>
  <si>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</si>
  <si>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</si>
  <si>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</si>
  <si>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</si>
  <si>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</si>
  <si>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</si>
  <si>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</si>
  <si>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</si>
  <si>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</si>
  <si>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</si>
  <si>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</si>
  <si>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</si>
  <si>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</si>
  <si>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</si>
  <si>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</si>
  <si>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</si>
  <si>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</si>
  <si>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</si>
  <si>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</si>
  <si>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</si>
  <si>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</si>
  <si>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</si>
  <si>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</si>
  <si>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</si>
  <si>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</si>
  <si>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</si>
  <si>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</si>
  <si>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</si>
  <si>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</si>
  <si>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</si>
  <si>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</si>
  <si>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</si>
  <si>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</si>
  <si>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</si>
  <si>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</si>
  <si>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</si>
  <si>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</si>
  <si>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</si>
  <si>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</si>
  <si>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</si>
  <si>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</si>
  <si>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</si>
  <si>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</si>
  <si>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</si>
  <si>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</si>
  <si>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</si>
  <si>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</si>
  <si>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</si>
  <si>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</si>
  <si>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</si>
  <si>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</si>
  <si>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</si>
  <si>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</si>
  <si>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</si>
  <si>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</si>
  <si>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</si>
  <si>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</si>
  <si>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</si>
  <si>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</si>
  <si>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</si>
  <si>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</si>
  <si>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</si>
  <si>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</si>
  <si>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</si>
  <si>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</si>
  <si>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плавкой вставки в электрощите</t>
  </si>
  <si>
    <t>Вентканалы, дымоходы</t>
  </si>
  <si>
    <t>100м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</si>
  <si>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</si>
  <si>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</si>
  <si>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</si>
  <si>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</si>
  <si>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</si>
  <si>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</si>
  <si>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</si>
  <si>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</si>
  <si>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</si>
  <si>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4 раза в месяц</t>
  </si>
  <si>
    <t>1 шт</t>
  </si>
  <si>
    <t>Влажное подметание лестничных клеток 2-5 этажа</t>
  </si>
  <si>
    <t>Мытье лестничных  площадок и маршей 1-5 этаж.</t>
  </si>
  <si>
    <t>Вывоз снега с придомовой территории</t>
  </si>
  <si>
    <t>Дератизация</t>
  </si>
  <si>
    <t>Влажная протирка перил</t>
  </si>
  <si>
    <t>Влажная протирка почтовых ящиков</t>
  </si>
  <si>
    <t>Очистка внутреннего водостока</t>
  </si>
  <si>
    <t>водосток</t>
  </si>
  <si>
    <t>Влажная протирка отопительных приборов</t>
  </si>
  <si>
    <t>100м2</t>
  </si>
  <si>
    <t>156 раз в год</t>
  </si>
  <si>
    <t>Мытье окон</t>
  </si>
  <si>
    <t>10м2</t>
  </si>
  <si>
    <t xml:space="preserve">1 раз в год     </t>
  </si>
  <si>
    <t xml:space="preserve">Влажная уборка стен </t>
  </si>
  <si>
    <t>Влажная протирка дверей</t>
  </si>
  <si>
    <t>Уборка газонов</t>
  </si>
  <si>
    <t>1000м2</t>
  </si>
  <si>
    <t>52 раза в сезон</t>
  </si>
  <si>
    <t>78 раз за сезон</t>
  </si>
  <si>
    <t xml:space="preserve">Очистка урн от мусора </t>
  </si>
  <si>
    <t>Уборка контейнерной площадки (16 кв.м.)</t>
  </si>
  <si>
    <t>1м3</t>
  </si>
  <si>
    <t>155 раз за сезон</t>
  </si>
  <si>
    <t xml:space="preserve">Пескопосыпка территории: крыльца и тротуары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</si>
  <si>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</si>
  <si>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</si>
  <si>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</si>
  <si>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100м3</t>
  </si>
  <si>
    <t>1000м3</t>
  </si>
  <si>
    <t>Вода для промывки СО</t>
  </si>
  <si>
    <t>Спуск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</si>
  <si>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</si>
  <si>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</si>
  <si>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 xml:space="preserve"> </t>
  </si>
  <si>
    <t>Прочистка каналов</t>
  </si>
  <si>
    <t>Аварийно-диспетчерское обслуживание</t>
  </si>
  <si>
    <t>III. Проведение технических осмотров</t>
  </si>
  <si>
    <t>IV. Содержание общего имущества МКД</t>
  </si>
  <si>
    <t>V. Прочие услуги</t>
  </si>
  <si>
    <t>АКТ №1</t>
  </si>
  <si>
    <t>104 раза в год</t>
  </si>
  <si>
    <t>Подметание территории с усовершенствованным покрытием асф.: крыльца, контейнерн пл., проезд, тротуар</t>
  </si>
  <si>
    <t>5 раз в год</t>
  </si>
  <si>
    <t xml:space="preserve">приемки оказанных услуг и выполненных работ по содержанию и текущему ремонту
общего имущества в многоквартирном доме №4 по ул.Нефтяников пгт.Ярега
</t>
  </si>
  <si>
    <t>Итого месячные затраты</t>
  </si>
  <si>
    <t>Уборка отмостки</t>
  </si>
  <si>
    <t>50 раз за сезон</t>
  </si>
  <si>
    <t>70 раз за сезон</t>
  </si>
  <si>
    <t>Осмотр рулонной  кровли</t>
  </si>
  <si>
    <t>5 раз за сезон</t>
  </si>
  <si>
    <t>Осмотр и очистка оголовков дымоходов и вентканалов от наледи и снега (по необходимости) зимой</t>
  </si>
  <si>
    <t>6 раз в год</t>
  </si>
  <si>
    <t>1шт</t>
  </si>
  <si>
    <t>АКТ №2</t>
  </si>
  <si>
    <t>АКТ №3</t>
  </si>
  <si>
    <t>АКТ №4</t>
  </si>
  <si>
    <t>АКТ №5</t>
  </si>
  <si>
    <t>АКТ №6</t>
  </si>
  <si>
    <t>АКТ №7</t>
  </si>
  <si>
    <t>III. Содержание общего имущества МКД</t>
  </si>
  <si>
    <t>IV. Прочие услуги</t>
  </si>
  <si>
    <t>АКТ №8</t>
  </si>
  <si>
    <t>АКТ №9</t>
  </si>
  <si>
    <t>АКТ №10</t>
  </si>
  <si>
    <t xml:space="preserve">ежедневно </t>
  </si>
  <si>
    <t>АКТ №11</t>
  </si>
  <si>
    <t>АКТ №12</t>
  </si>
  <si>
    <t>Очистка канализационной сети внутренней</t>
  </si>
  <si>
    <t>Установка хомута диаметром до 50 мм</t>
  </si>
  <si>
    <r>
      <t>1.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ул.Нефтяников, д.4</t>
    </r>
  </si>
  <si>
    <t>Итого затраты за месяц</t>
  </si>
  <si>
    <t>ООО «Движение»</t>
  </si>
  <si>
    <t>м</t>
  </si>
  <si>
    <t>Влажное подметание лестничных клеток 1-5 этажа</t>
  </si>
  <si>
    <t>зимняя 1 раз в неделю</t>
  </si>
  <si>
    <t>летняя 2 раза в неделю</t>
  </si>
  <si>
    <t>Влажная протирка шкафов для щитов и слаботочных устройств</t>
  </si>
  <si>
    <t>Организация и содержание мест накопления ТКО</t>
  </si>
  <si>
    <t>по мере необходимости</t>
  </si>
  <si>
    <t>Очистка вручную от снега и наледи люков канализационных и водопроводных олодцев</t>
  </si>
  <si>
    <t>Смена арматуры - вентелей диаметром до 32 мм</t>
  </si>
  <si>
    <t>Водоснабжение, канализация</t>
  </si>
  <si>
    <t>Техническое обслуживание внутренних сетей водопровода и канализации</t>
  </si>
  <si>
    <t>руб/м2 в мес.</t>
  </si>
  <si>
    <t>Снятие показаний с общедомовых приборов учета холодной воды и электрической энергии</t>
  </si>
  <si>
    <t>Работы по ведению технической и отчетной документации, сбору и начислению платежей</t>
  </si>
  <si>
    <t>Работы по проведению одного общего собрания собственников МКД</t>
  </si>
  <si>
    <t>1м2</t>
  </si>
  <si>
    <t>Выкашивание газонов</t>
  </si>
  <si>
    <t>1 раза в год</t>
  </si>
  <si>
    <t>Уборка с газонов травы</t>
  </si>
  <si>
    <t>Валка деревьев</t>
  </si>
  <si>
    <t>Очистка от мусора</t>
  </si>
  <si>
    <t>1 раз</t>
  </si>
  <si>
    <t>4 раза</t>
  </si>
  <si>
    <t xml:space="preserve">1 раз </t>
  </si>
  <si>
    <t>13 раз</t>
  </si>
  <si>
    <t>2 раз</t>
  </si>
  <si>
    <t xml:space="preserve">2 раза </t>
  </si>
  <si>
    <t>2шт</t>
  </si>
  <si>
    <t>8 раз</t>
  </si>
  <si>
    <t xml:space="preserve">1 раз   </t>
  </si>
  <si>
    <t xml:space="preserve">1 раз    </t>
  </si>
  <si>
    <t>Работа ротенбергера</t>
  </si>
  <si>
    <t>час</t>
  </si>
  <si>
    <t>2 раза</t>
  </si>
  <si>
    <t>Смена светодиодного светильника внутреннего освещения ( со стоимостью светильника)</t>
  </si>
  <si>
    <t>4 под.4 этаж</t>
  </si>
  <si>
    <t>Работа автовышки</t>
  </si>
  <si>
    <t>маш/час</t>
  </si>
  <si>
    <t>24 раза за сезон</t>
  </si>
  <si>
    <t>Очистка отмостки от снега</t>
  </si>
  <si>
    <t>1 м/час</t>
  </si>
  <si>
    <t>Очистка от слежавшегося снега со сбрасыванием сосулек ( козырьки над подъездами)</t>
  </si>
  <si>
    <t>Осмотр электросетей, армазуры и электрооборудования на лестничных клетках</t>
  </si>
  <si>
    <t xml:space="preserve">Осмотр водопроводов, канализации, отопления </t>
  </si>
  <si>
    <t>1 шт.(подвал ХВС)</t>
  </si>
  <si>
    <t>1 раз ( 19.02.2020)</t>
  </si>
  <si>
    <t>Очистка водостоков от наледи</t>
  </si>
  <si>
    <t xml:space="preserve">1 раз     </t>
  </si>
  <si>
    <t>Герметизация межпанельных швов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</si>
  <si>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</si>
  <si>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</si>
  <si>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ламп накаливания</t>
  </si>
  <si>
    <t>10шт</t>
  </si>
  <si>
    <t>2 шт</t>
  </si>
  <si>
    <t>3 шт. ГВС кв.66</t>
  </si>
  <si>
    <t>1 шт. подсобка</t>
  </si>
  <si>
    <t>1 место</t>
  </si>
  <si>
    <t>Сварочные работы</t>
  </si>
  <si>
    <t>6 раз</t>
  </si>
  <si>
    <r>
      <t xml:space="preserve">    Собственники помещений в многоквартирном доме, расположенном по адресу:  пгт.Ярега, ул.Нефтяников, д.4,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25.03.2019г. стороны,  и ООО «Движение», именуемое в дальнейшем "Исполнитель",  в лице генерального директора Кочановой 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</si>
  <si>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генеральный директор Кочанова И.Л.</t>
  </si>
  <si>
    <r>
      <t xml:space="preserve">    Собственники помещений в многоквартирном доме, расположенном по адресу:  пгт.Ярега, ул.Нефтяников, д.4,  именуемые в дальнейшем "Заказчик", 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25.03.2019г. стороны,  и ООО «Движение», именуемое в дальнейшем "Исполнитель", 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</si>
  <si>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Ремонт канализационной трубы</t>
  </si>
  <si>
    <t>2 шт.</t>
  </si>
  <si>
    <t>Прочистка фановой трубы</t>
  </si>
  <si>
    <t>5 часов</t>
  </si>
  <si>
    <t>3 раза</t>
  </si>
  <si>
    <t>16 м</t>
  </si>
  <si>
    <t>6 м</t>
  </si>
  <si>
    <t>за период с 01.01.2021 г. по 31.01.2021 г.</t>
  </si>
  <si>
    <t>2,5 ч ( 21,24,25,28 янв.)</t>
  </si>
  <si>
    <t>Прочистка канализационного лежака</t>
  </si>
  <si>
    <t>2. Всего за период с 01.01.2021 по 31.01.2021 выполнено работ (оказано услуг) на общую сумму: 71720,18 руб.</t>
  </si>
  <si>
    <t>(семьдесят одна тысяча семьсот двадцать рублей 18 копеек)</t>
  </si>
  <si>
    <t>за период с 01.02.2021 г. по 28.02.2021 г.</t>
  </si>
  <si>
    <t>1,5 ч (1 и 5 февр)</t>
  </si>
  <si>
    <t>11 раз</t>
  </si>
  <si>
    <t>под.2 ручка на ж/д</t>
  </si>
  <si>
    <t>12м</t>
  </si>
  <si>
    <t>Смена полипропиленовых канализационных труб ПП100*2000</t>
  </si>
  <si>
    <t>Смена полипропиленовых канализационных труб ПП100*1000</t>
  </si>
  <si>
    <t>Переход чугун-пластик 100</t>
  </si>
  <si>
    <t>Патрубок компенсационный</t>
  </si>
  <si>
    <t>Отвод 100-90</t>
  </si>
  <si>
    <t>Манжета 123*100</t>
  </si>
  <si>
    <t>Тройник 100</t>
  </si>
  <si>
    <t>2 м подвал кан-ция</t>
  </si>
  <si>
    <t>2. Всего за период с 01.02.2021 по 28.02.2021 выполнено работ (оказано услуг) на общую сумму: 87048,63 руб.</t>
  </si>
  <si>
    <t>(восемьдесят семь тысяч сорок восемь рублей 63 копейки)</t>
  </si>
  <si>
    <t>за период с 01.03.2021 г. по 31.03.2021 г.</t>
  </si>
  <si>
    <t>3,15,19,23,31</t>
  </si>
  <si>
    <t>1 час</t>
  </si>
  <si>
    <t>22 марта</t>
  </si>
  <si>
    <t>Ремонт и регулировка доводчика (со стоимостью доводчика)</t>
  </si>
  <si>
    <t>1шт.</t>
  </si>
  <si>
    <t>Изготовление и установка металлических решеток на продухи</t>
  </si>
  <si>
    <t>Патрубок компенсационный 100</t>
  </si>
  <si>
    <t>Отвод 100-45</t>
  </si>
  <si>
    <t>с/о 1 шт. подвал</t>
  </si>
  <si>
    <t>подвал, 2 м</t>
  </si>
  <si>
    <t>под.№1</t>
  </si>
  <si>
    <t>2. Всего за период с 01.03.2021 по 31.03.2021 выполнено работ (оказано услуг) на общую сумму: 80860,21 руб.</t>
  </si>
  <si>
    <t>(восемьдесят тысяч восемьсот шестьдесят рублей 21 копейка)</t>
  </si>
  <si>
    <t>за период с 01.04.2021 г. по 30.04.2021 г.</t>
  </si>
  <si>
    <t>26м3 ( 7 апр)</t>
  </si>
  <si>
    <t>под под.№3</t>
  </si>
  <si>
    <t>Установка зонтика на фановую трубу</t>
  </si>
  <si>
    <t>за период с 01.05.2021 г. по 31.05.2021 г.</t>
  </si>
  <si>
    <t>Смена арматуры - вентилей и клапанов обратных муфтовых диаметром до 32 мм</t>
  </si>
  <si>
    <t>Смена внутренних трубопроводов на полипропиленовые трубы PN 20 Dу 25</t>
  </si>
  <si>
    <t>Переход 160*100</t>
  </si>
  <si>
    <t>Переход 100*50</t>
  </si>
  <si>
    <t>Патрубок компенсационный 50</t>
  </si>
  <si>
    <t>Муфта 110</t>
  </si>
  <si>
    <t>Ревизия 110</t>
  </si>
  <si>
    <t>Заглушка 110</t>
  </si>
  <si>
    <t>10 м канализ.лежак</t>
  </si>
  <si>
    <t>1 м ХВС подвал</t>
  </si>
  <si>
    <t>1 м канализ.лежак</t>
  </si>
  <si>
    <t>18 м</t>
  </si>
  <si>
    <t>2. Всего за период с 01.05.2021 по 31.05.2021 выполнено работ (оказано услуг) на общую сумму: 109043,90 руб.</t>
  </si>
  <si>
    <t>(сто девять тысяч сорок три рубля 90 копеек)</t>
  </si>
  <si>
    <t>2. Всего за период с 01.04.2021 по 30.04.2021 выполнено работ (оказано услуг) на общую сумму: 69675,50 руб.</t>
  </si>
  <si>
    <t>(шестьдесят девять тысяч естьсот семьдесят пять рублей 50 копеек )</t>
  </si>
  <si>
    <t>за период с 01.06.2021 г. по 30.06.2021 г.</t>
  </si>
  <si>
    <t>Установка урны у под.№1</t>
  </si>
  <si>
    <t>руб</t>
  </si>
  <si>
    <t>Смена оконных приборов - ручки</t>
  </si>
  <si>
    <t>Смена отдельных участков наружной проводки</t>
  </si>
  <si>
    <t>1 шт. под.№4</t>
  </si>
  <si>
    <t>ГВС 1 шт. кв 47</t>
  </si>
  <si>
    <t>2. Всего за период с 01.06.2021 по 30.06.2021 выполнено работ (оказано услуг) на общую сумму: 209722,46 руб.</t>
  </si>
  <si>
    <t>( двести девять тысяч семьсот двадцать два рубля 46 копеек)</t>
  </si>
  <si>
    <t>за период с 01.07.2021 г. по 31.07.2021 г.</t>
  </si>
  <si>
    <t>Осмотр рулонных кровель</t>
  </si>
  <si>
    <t>Обрезка ветвей деревьев</t>
  </si>
  <si>
    <t>1 мЗ</t>
  </si>
  <si>
    <t>Герметизация трубостойки</t>
  </si>
  <si>
    <t>Герметик битумный</t>
  </si>
  <si>
    <t>Демонтаж короба в кв.№6</t>
  </si>
  <si>
    <t>10 м2</t>
  </si>
  <si>
    <t>Ремонт групповых щитков на лестничной клетки под. №5</t>
  </si>
  <si>
    <t>руб.</t>
  </si>
  <si>
    <t>с/о 1 шт. кв.23</t>
  </si>
  <si>
    <t>свищ в кв.6</t>
  </si>
  <si>
    <t>3 шт</t>
  </si>
  <si>
    <t>под.№5</t>
  </si>
  <si>
    <t>5 м</t>
  </si>
  <si>
    <t>за период с 01.08.2021 г. по 31.08.2021 г.</t>
  </si>
  <si>
    <t>Смена светодиодного светильника наружного освещения</t>
  </si>
  <si>
    <t>Покос травы</t>
  </si>
  <si>
    <t>1 шт. под.№1</t>
  </si>
  <si>
    <t>7 м</t>
  </si>
  <si>
    <t>за период с 01.09.2021 г. по 30.09.2021 г.</t>
  </si>
  <si>
    <t>Нумерация подъездов и квартир</t>
  </si>
  <si>
    <t>Смена внутренних трубопроводов на полипропиленовые трубы PN 25 Dу 25</t>
  </si>
  <si>
    <t>Смена внутренних трубопроводов на полипропиленовые трубы PN 25 Dу 20</t>
  </si>
  <si>
    <t>Смена внутренних трубопроводов на полипропиленовые трубы PN 20 Dу 20</t>
  </si>
  <si>
    <t>1 шт. кв.45</t>
  </si>
  <si>
    <t>13 м ГВС с 5эт. до подвала</t>
  </si>
  <si>
    <t>2 м ХВС с 5 эт.до подвала</t>
  </si>
  <si>
    <t>2 м кв.44</t>
  </si>
  <si>
    <t>15 м ГВС с 5 эт. до подвала; 2 с с/о кв.23</t>
  </si>
  <si>
    <t>1 шт ГВС кв.44, 1 шт. ХВС кв.44; 1 шт. с/о кв.23</t>
  </si>
  <si>
    <t>1 шт. с/о кв.23</t>
  </si>
  <si>
    <t>под.№3</t>
  </si>
  <si>
    <t>1 шт.</t>
  </si>
  <si>
    <t>2. Всего за период с 01.09.2021 по 30.09.2021 выполнено работ (оказано услуг) на общую сумму: 134509,99 руб.</t>
  </si>
  <si>
    <t>(сто тридцать четыре тысячи пятьсот девять рублей 99 копеек)</t>
  </si>
  <si>
    <t>Подключение и отключение электрооборудования</t>
  </si>
  <si>
    <t>2. Всего за период с 01.07.2021 по 31.07.2021 выполнено работ (оказано услуг) на общую сумму: 76992,18 руб.</t>
  </si>
  <si>
    <t>(семьдесят шесть тысяч девятьсот девяносто два рубля 18 копеек)</t>
  </si>
  <si>
    <t>5 маш/час</t>
  </si>
  <si>
    <t>14 м.п.( кв.7 и 8)</t>
  </si>
  <si>
    <t>2. Всего за период с 01.08.2021 по 31.08.2021 выполнено работ (оказано услуг) на общую сумму: 99382,86 руб.</t>
  </si>
  <si>
    <t>(девяносто девять тысяч триста восемьдесят два рубля 86 копеек)</t>
  </si>
  <si>
    <t>за период с 01.10.2021 г. по 31.10.2021 г.</t>
  </si>
  <si>
    <t>19 м у кв.3</t>
  </si>
  <si>
    <t>3 м</t>
  </si>
  <si>
    <t>Работа автопогрузчика</t>
  </si>
  <si>
    <t>Засыпка ям вручную</t>
  </si>
  <si>
    <t>мЗ</t>
  </si>
  <si>
    <t>2 м/часа</t>
  </si>
  <si>
    <t>100шт</t>
  </si>
  <si>
    <t>Отвод 50-45</t>
  </si>
  <si>
    <t>кв.74</t>
  </si>
  <si>
    <t>2. Всего за период с 01.10.2021 по 31.10.2021 выполнено работ (оказано услуг) на общую сумму: 77140,09 руб.</t>
  </si>
  <si>
    <t>(семьдесят семь тысяч сто сорок рублей 09 копеек)</t>
  </si>
  <si>
    <t>за период с 01.11.2021 г. по 30.11.2021 г.</t>
  </si>
  <si>
    <t>4 м</t>
  </si>
  <si>
    <t>1 шт. под.№3, 1 шт. под.№2</t>
  </si>
  <si>
    <t>1 шт. ГВС подвал</t>
  </si>
  <si>
    <t>29 ноября</t>
  </si>
  <si>
    <t>за период с 01.12.2021 г. по 31.12.2021 г.</t>
  </si>
  <si>
    <t>2,16,30 декабря</t>
  </si>
  <si>
    <t>Утепление подвального помещения со стороны торца ( ДВП + УРСА)</t>
  </si>
  <si>
    <t>Герметизация зазоров между дверной коробкой и стеной тамбура</t>
  </si>
  <si>
    <t>10 шт</t>
  </si>
  <si>
    <t>Водоотлив из подвала электрическими (механическими) насосами (100 м3 воды)</t>
  </si>
  <si>
    <t>10 м3</t>
  </si>
  <si>
    <t>Установка насоса в подвале для откачки воды</t>
  </si>
  <si>
    <t>подвал</t>
  </si>
  <si>
    <t xml:space="preserve">Смена внутренних трубопроводов из стальных труб диаметром до 100 мм </t>
  </si>
  <si>
    <t>1 м</t>
  </si>
  <si>
    <t>1,5 м с/о подвал</t>
  </si>
  <si>
    <t>2 м</t>
  </si>
  <si>
    <t>8 м</t>
  </si>
  <si>
    <t>2. Всего за период с 01.12.2021 по 31.12.2021 выполнено работ (оказано услуг) на общую сумму: 76146,99 руб.</t>
  </si>
  <si>
    <t>(семьдесят шесть тысяч сто сорок шесть рублей 99 копеек)</t>
  </si>
  <si>
    <t>2. Всего за период с 01.11.2021 по 30.11.2021 выполнено работ (оказано услуг) на общую сумму: 75748,98 руб.</t>
  </si>
  <si>
    <t>(семьдесят пять тысяч семьсот сорок восемь рублей 98 копеек)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</si>
</sst>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3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3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4" fontId="11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8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20" fillId="0" borderId="0" xfId="0" applyFont="1"/>
    <xf numFmtId="4" fontId="11" fillId="2" borderId="7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 wrapText="1"/>
    </xf>
    <xf numFmtId="4" fontId="11" fillId="2" borderId="20" xfId="0" applyNumberFormat="1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left" vertical="center"/>
    </xf>
    <xf numFmtId="4" fontId="11" fillId="2" borderId="21" xfId="0" applyNumberFormat="1" applyFont="1" applyFill="1" applyBorder="1" applyAlignment="1">
      <alignment horizontal="center" vertical="center" wrapText="1"/>
    </xf>
    <xf numFmtId="4" fontId="11" fillId="2" borderId="22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4" fontId="11" fillId="2" borderId="13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4" fontId="11" fillId="0" borderId="23" xfId="0" applyNumberFormat="1" applyFont="1" applyFill="1" applyBorder="1" applyAlignment="1">
      <alignment horizontal="center" vertical="center"/>
    </xf>
    <xf numFmtId="4" fontId="11" fillId="0" borderId="22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center" vertical="center" wrapText="1"/>
    </xf>
    <xf numFmtId="1" fontId="11" fillId="2" borderId="22" xfId="0" applyNumberFormat="1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4" fontId="19" fillId="2" borderId="7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9" fillId="3" borderId="7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" fontId="19" fillId="3" borderId="3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wrapText="1"/>
    </xf>
    <xf numFmtId="0" fontId="21" fillId="2" borderId="11" xfId="0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left" vertical="center" wrapText="1"/>
    </xf>
    <xf numFmtId="14" fontId="11" fillId="2" borderId="3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3"/>
  <sheetViews>
    <sheetView topLeftCell="A81" workbookViewId="0">
      <selection activeCell="I96" sqref="I96"/>
    </sheetView>
  </sheetViews>
  <sheetFormatPr defaultRowHeight="15"/>
  <cols>
    <col min="1" max="1" width="7.5703125" customWidth="1"/>
    <col min="2" max="2" width="54" customWidth="1"/>
    <col min="3" max="4" width="18.42578125" customWidth="1"/>
    <col min="5" max="5" width="18.85546875" hidden="1" customWidth="1"/>
    <col min="6" max="6" width="13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124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226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50"/>
      <c r="C6" s="50"/>
      <c r="D6" s="50"/>
      <c r="E6" s="50"/>
      <c r="F6" s="50"/>
      <c r="G6" s="50"/>
      <c r="H6" s="50"/>
      <c r="I6" s="30">
        <v>44227</v>
      </c>
      <c r="J6" s="2"/>
      <c r="K6" s="2"/>
      <c r="L6" s="2"/>
      <c r="M6" s="2"/>
    </row>
    <row r="7" spans="1:13" ht="15.75" customHeight="1">
      <c r="B7" s="49"/>
      <c r="C7" s="49"/>
      <c r="D7" s="49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218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15.75" customHeight="1">
      <c r="A16" s="29">
        <v>1</v>
      </c>
      <c r="B16" s="101" t="s">
        <v>158</v>
      </c>
      <c r="C16" s="102" t="s">
        <v>93</v>
      </c>
      <c r="D16" s="101" t="s">
        <v>179</v>
      </c>
      <c r="E16" s="123">
        <v>591.70000000000005</v>
      </c>
      <c r="F16" s="112">
        <f>SUM(E16*24/100)</f>
        <v>142.00800000000001</v>
      </c>
      <c r="G16" s="112">
        <v>322.51</v>
      </c>
      <c r="H16" s="60">
        <f t="shared" ref="H16:H17" si="0">SUM(F16*G16/1000)</f>
        <v>45.799000080000006</v>
      </c>
      <c r="I16" s="13">
        <f>G16*F16/6</f>
        <v>7633.1666800000012</v>
      </c>
      <c r="J16" s="8"/>
      <c r="K16" s="8"/>
      <c r="L16" s="8"/>
      <c r="M16" s="8"/>
    </row>
    <row r="17" spans="1:13" ht="15.75" hidden="1" customHeight="1">
      <c r="A17" s="29">
        <v>2</v>
      </c>
      <c r="B17" s="57" t="s">
        <v>84</v>
      </c>
      <c r="C17" s="58" t="s">
        <v>93</v>
      </c>
      <c r="D17" s="57" t="s">
        <v>125</v>
      </c>
      <c r="E17" s="45">
        <v>473.36</v>
      </c>
      <c r="F17" s="59">
        <f>SUM(E17*104/100)</f>
        <v>492.2944</v>
      </c>
      <c r="G17" s="59">
        <v>175.38</v>
      </c>
      <c r="H17" s="60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2</v>
      </c>
      <c r="B18" s="101" t="s">
        <v>85</v>
      </c>
      <c r="C18" s="102" t="s">
        <v>93</v>
      </c>
      <c r="D18" s="101" t="s">
        <v>178</v>
      </c>
      <c r="E18" s="123">
        <v>591.70000000000005</v>
      </c>
      <c r="F18" s="112">
        <f>SUM(E18*18/100)</f>
        <v>106.506</v>
      </c>
      <c r="G18" s="112">
        <v>723.23</v>
      </c>
      <c r="H18" s="60">
        <f t="shared" ref="H18:H25" si="1">SUM(F18*G18/1000)</f>
        <v>77.028334380000004</v>
      </c>
      <c r="I18" s="13">
        <f>F18/18*1*G18</f>
        <v>4279.3519100000003</v>
      </c>
      <c r="J18" s="22"/>
      <c r="K18" s="8"/>
      <c r="L18" s="8"/>
      <c r="M18" s="8"/>
    </row>
    <row r="19" spans="1:13" ht="15.75" hidden="1" customHeight="1">
      <c r="A19" s="29"/>
      <c r="B19" s="101" t="s">
        <v>95</v>
      </c>
      <c r="C19" s="102" t="s">
        <v>96</v>
      </c>
      <c r="D19" s="101" t="s">
        <v>97</v>
      </c>
      <c r="E19" s="45">
        <v>38.4</v>
      </c>
      <c r="F19" s="59">
        <f>SUM(E19/10)</f>
        <v>3.84</v>
      </c>
      <c r="G19" s="59">
        <v>170.16</v>
      </c>
      <c r="H19" s="60">
        <f t="shared" si="1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1" t="s">
        <v>88</v>
      </c>
      <c r="C20" s="102" t="s">
        <v>93</v>
      </c>
      <c r="D20" s="101" t="s">
        <v>180</v>
      </c>
      <c r="E20" s="123">
        <v>43.2</v>
      </c>
      <c r="F20" s="112">
        <f>SUM(E20*12/100)</f>
        <v>5.1840000000000011</v>
      </c>
      <c r="G20" s="112">
        <v>312.35000000000002</v>
      </c>
      <c r="H20" s="60">
        <f t="shared" si="1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1" t="s">
        <v>89</v>
      </c>
      <c r="C21" s="102" t="s">
        <v>93</v>
      </c>
      <c r="D21" s="101" t="s">
        <v>178</v>
      </c>
      <c r="E21" s="123">
        <v>10.08</v>
      </c>
      <c r="F21" s="112">
        <f>SUM(E21*12/100)</f>
        <v>1.2096</v>
      </c>
      <c r="G21" s="112">
        <v>309.81</v>
      </c>
      <c r="H21" s="60">
        <f t="shared" si="1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/>
      <c r="B22" s="57" t="s">
        <v>98</v>
      </c>
      <c r="C22" s="58" t="s">
        <v>50</v>
      </c>
      <c r="D22" s="57" t="s">
        <v>97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1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/>
      <c r="B23" s="57" t="s">
        <v>99</v>
      </c>
      <c r="C23" s="58" t="s">
        <v>50</v>
      </c>
      <c r="D23" s="57" t="s">
        <v>97</v>
      </c>
      <c r="E23" s="53">
        <v>70.56</v>
      </c>
      <c r="F23" s="59">
        <f>SUM(E23/100)</f>
        <v>0.7056</v>
      </c>
      <c r="G23" s="59">
        <v>44.29</v>
      </c>
      <c r="H23" s="60">
        <f t="shared" si="1"/>
        <v>3.1251024000000002E-2</v>
      </c>
      <c r="I23" s="13">
        <f t="shared" ref="I23:I24" si="2">F23*G23</f>
        <v>31.251024000000001</v>
      </c>
      <c r="J23" s="22"/>
      <c r="K23" s="8"/>
      <c r="L23" s="8"/>
      <c r="M23" s="8"/>
    </row>
    <row r="24" spans="1:13" ht="15.75" hidden="1" customHeight="1">
      <c r="A24" s="29"/>
      <c r="B24" s="57" t="s">
        <v>92</v>
      </c>
      <c r="C24" s="58" t="s">
        <v>50</v>
      </c>
      <c r="D24" s="57" t="s">
        <v>97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1"/>
        <v>0.14696975999999998</v>
      </c>
      <c r="I24" s="13">
        <f t="shared" si="2"/>
        <v>146.96975999999998</v>
      </c>
      <c r="J24" s="22"/>
      <c r="K24" s="8"/>
      <c r="L24" s="8"/>
      <c r="M24" s="8"/>
    </row>
    <row r="25" spans="1:13" ht="15.75" customHeight="1">
      <c r="A25" s="29">
        <v>5</v>
      </c>
      <c r="B25" s="101" t="s">
        <v>162</v>
      </c>
      <c r="C25" s="102" t="s">
        <v>32</v>
      </c>
      <c r="D25" s="101" t="s">
        <v>181</v>
      </c>
      <c r="E25" s="126">
        <v>0.2</v>
      </c>
      <c r="F25" s="112">
        <f>E25*155</f>
        <v>31</v>
      </c>
      <c r="G25" s="112">
        <v>370.77</v>
      </c>
      <c r="H25" s="60">
        <f t="shared" si="1"/>
        <v>11.493869999999999</v>
      </c>
      <c r="I25" s="13">
        <f>F25/12*G25</f>
        <v>957.82249999999999</v>
      </c>
      <c r="J25" s="22"/>
      <c r="K25" s="8"/>
      <c r="L25" s="8"/>
      <c r="M25" s="8"/>
    </row>
    <row r="26" spans="1:13" ht="15.75" customHeight="1">
      <c r="A26" s="213" t="s">
        <v>78</v>
      </c>
      <c r="B26" s="213"/>
      <c r="C26" s="213"/>
      <c r="D26" s="213"/>
      <c r="E26" s="213"/>
      <c r="F26" s="213"/>
      <c r="G26" s="213"/>
      <c r="H26" s="213"/>
      <c r="I26" s="213"/>
      <c r="J26" s="22"/>
      <c r="K26" s="8"/>
      <c r="L26" s="8"/>
      <c r="M26" s="8"/>
    </row>
    <row r="27" spans="1:13" ht="15.75" hidden="1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hidden="1" customHeight="1">
      <c r="A28" s="29">
        <v>7</v>
      </c>
      <c r="B28" s="57" t="s">
        <v>100</v>
      </c>
      <c r="C28" s="58" t="s">
        <v>101</v>
      </c>
      <c r="D28" s="57" t="s">
        <v>102</v>
      </c>
      <c r="E28" s="59">
        <v>1414.6</v>
      </c>
      <c r="F28" s="59">
        <f>SUM(E28*52/1000)</f>
        <v>73.559200000000004</v>
      </c>
      <c r="G28" s="59">
        <v>155.88999999999999</v>
      </c>
      <c r="H28" s="60">
        <f t="shared" ref="H28:H34" si="3">SUM(F28*G28/1000)</f>
        <v>11.467143688</v>
      </c>
      <c r="I28" s="13">
        <v>0</v>
      </c>
      <c r="J28" s="22"/>
      <c r="K28" s="8"/>
      <c r="L28" s="8"/>
      <c r="M28" s="8"/>
    </row>
    <row r="29" spans="1:13" ht="31.5" hidden="1" customHeight="1">
      <c r="A29" s="29">
        <v>8</v>
      </c>
      <c r="B29" s="57" t="s">
        <v>126</v>
      </c>
      <c r="C29" s="58" t="s">
        <v>101</v>
      </c>
      <c r="D29" s="57" t="s">
        <v>103</v>
      </c>
      <c r="E29" s="59">
        <v>632.4</v>
      </c>
      <c r="F29" s="59">
        <f>SUM(E29*78/1000)</f>
        <v>49.327199999999998</v>
      </c>
      <c r="G29" s="59">
        <v>258.63</v>
      </c>
      <c r="H29" s="60">
        <f t="shared" si="3"/>
        <v>12.757493735999999</v>
      </c>
      <c r="I29" s="13">
        <v>0</v>
      </c>
      <c r="J29" s="22"/>
      <c r="K29" s="8"/>
      <c r="L29" s="8"/>
      <c r="M29" s="8"/>
    </row>
    <row r="30" spans="1:13" ht="15.75" hidden="1" customHeight="1">
      <c r="A30" s="29"/>
      <c r="B30" s="57" t="s">
        <v>130</v>
      </c>
      <c r="C30" s="58" t="s">
        <v>101</v>
      </c>
      <c r="D30" s="57" t="s">
        <v>82</v>
      </c>
      <c r="E30" s="45">
        <v>143.20000000000002</v>
      </c>
      <c r="F30" s="59">
        <v>0</v>
      </c>
      <c r="G30" s="59">
        <v>293.27999999999997</v>
      </c>
      <c r="H30" s="60">
        <f t="shared" si="3"/>
        <v>0</v>
      </c>
      <c r="I30" s="13"/>
      <c r="J30" s="22"/>
      <c r="K30" s="8"/>
      <c r="L30" s="8"/>
      <c r="M30" s="8"/>
    </row>
    <row r="31" spans="1:13" ht="15.75" hidden="1" customHeight="1">
      <c r="A31" s="29">
        <v>9</v>
      </c>
      <c r="B31" s="57" t="s">
        <v>27</v>
      </c>
      <c r="C31" s="58" t="s">
        <v>101</v>
      </c>
      <c r="D31" s="57" t="s">
        <v>51</v>
      </c>
      <c r="E31" s="59">
        <v>1414.6</v>
      </c>
      <c r="F31" s="59">
        <f>SUM(E31/1000)</f>
        <v>1.4145999999999999</v>
      </c>
      <c r="G31" s="59">
        <v>3020.33</v>
      </c>
      <c r="H31" s="60">
        <f t="shared" si="3"/>
        <v>4.2725588179999994</v>
      </c>
      <c r="I31" s="13">
        <v>0</v>
      </c>
      <c r="J31" s="22"/>
      <c r="K31" s="8"/>
      <c r="L31" s="8"/>
      <c r="M31" s="8"/>
    </row>
    <row r="32" spans="1:13" ht="15.75" hidden="1" customHeight="1">
      <c r="A32" s="29">
        <v>10</v>
      </c>
      <c r="B32" s="57" t="s">
        <v>104</v>
      </c>
      <c r="C32" s="58" t="s">
        <v>38</v>
      </c>
      <c r="D32" s="57" t="s">
        <v>60</v>
      </c>
      <c r="E32" s="59">
        <v>6</v>
      </c>
      <c r="F32" s="59">
        <f>SUM(E32*155/100)</f>
        <v>9.3000000000000007</v>
      </c>
      <c r="G32" s="59">
        <v>1302.02</v>
      </c>
      <c r="H32" s="60">
        <f t="shared" si="3"/>
        <v>12.108786</v>
      </c>
      <c r="I32" s="13">
        <v>0</v>
      </c>
      <c r="J32" s="22"/>
      <c r="K32" s="8"/>
    </row>
    <row r="33" spans="1:14" ht="15.75" hidden="1" customHeight="1">
      <c r="A33" s="29"/>
      <c r="B33" s="57" t="s">
        <v>61</v>
      </c>
      <c r="C33" s="58" t="s">
        <v>32</v>
      </c>
      <c r="D33" s="57" t="s">
        <v>63</v>
      </c>
      <c r="E33" s="45"/>
      <c r="F33" s="59">
        <v>4</v>
      </c>
      <c r="G33" s="59">
        <v>191.32</v>
      </c>
      <c r="H33" s="60">
        <f t="shared" si="3"/>
        <v>0.76527999999999996</v>
      </c>
      <c r="I33" s="13">
        <v>0</v>
      </c>
      <c r="J33" s="23"/>
    </row>
    <row r="34" spans="1:14" ht="15.75" hidden="1" customHeight="1">
      <c r="A34" s="29"/>
      <c r="B34" s="57" t="s">
        <v>62</v>
      </c>
      <c r="C34" s="58" t="s">
        <v>31</v>
      </c>
      <c r="D34" s="57" t="s">
        <v>63</v>
      </c>
      <c r="E34" s="45"/>
      <c r="F34" s="59">
        <v>3</v>
      </c>
      <c r="G34" s="59">
        <v>1136.33</v>
      </c>
      <c r="H34" s="60">
        <f t="shared" si="3"/>
        <v>3.4089899999999997</v>
      </c>
      <c r="I34" s="13">
        <v>0</v>
      </c>
      <c r="J34" s="23"/>
    </row>
    <row r="35" spans="1:14" ht="15.75" customHeight="1">
      <c r="A35" s="29"/>
      <c r="B35" s="76" t="s">
        <v>5</v>
      </c>
      <c r="C35" s="58"/>
      <c r="D35" s="57"/>
      <c r="E35" s="45"/>
      <c r="F35" s="59"/>
      <c r="G35" s="59"/>
      <c r="H35" s="60" t="s">
        <v>118</v>
      </c>
      <c r="I35" s="13"/>
      <c r="J35" s="23"/>
    </row>
    <row r="36" spans="1:14" ht="31.5" customHeight="1">
      <c r="A36" s="29">
        <v>6</v>
      </c>
      <c r="B36" s="57" t="s">
        <v>26</v>
      </c>
      <c r="C36" s="58" t="s">
        <v>31</v>
      </c>
      <c r="D36" s="57" t="s">
        <v>227</v>
      </c>
      <c r="E36" s="45"/>
      <c r="F36" s="59">
        <v>20</v>
      </c>
      <c r="G36" s="112">
        <v>1855</v>
      </c>
      <c r="H36" s="60">
        <f t="shared" ref="H36:H41" si="4">SUM(F36*G36/1000)</f>
        <v>37.1</v>
      </c>
      <c r="I36" s="13">
        <f>G36*2.5</f>
        <v>4637.5</v>
      </c>
      <c r="J36" s="23"/>
    </row>
    <row r="37" spans="1:14" ht="15.75" customHeight="1">
      <c r="A37" s="29">
        <v>7</v>
      </c>
      <c r="B37" s="127" t="s">
        <v>64</v>
      </c>
      <c r="C37" s="128" t="s">
        <v>29</v>
      </c>
      <c r="D37" s="127" t="s">
        <v>179</v>
      </c>
      <c r="E37" s="129">
        <v>202.36</v>
      </c>
      <c r="F37" s="129">
        <f>SUM(E37*24/1000)</f>
        <v>4.8566400000000005</v>
      </c>
      <c r="G37" s="129">
        <v>4525.34</v>
      </c>
      <c r="H37" s="182">
        <f t="shared" si="4"/>
        <v>21.977947257600004</v>
      </c>
      <c r="I37" s="13">
        <f>F37/6*G37</f>
        <v>3662.9912096000003</v>
      </c>
      <c r="J37" s="23"/>
      <c r="L37" s="19"/>
      <c r="M37" s="20"/>
      <c r="N37" s="21"/>
    </row>
    <row r="38" spans="1:14" ht="15.75" hidden="1" customHeight="1">
      <c r="A38" s="29"/>
      <c r="B38" s="127" t="s">
        <v>64</v>
      </c>
      <c r="C38" s="128" t="s">
        <v>29</v>
      </c>
      <c r="D38" s="127" t="s">
        <v>195</v>
      </c>
      <c r="E38" s="129">
        <v>202.36</v>
      </c>
      <c r="F38" s="129">
        <f>SUM(E38*24/1000)</f>
        <v>4.8566400000000005</v>
      </c>
      <c r="G38" s="129">
        <v>4525.34</v>
      </c>
      <c r="H38" s="182">
        <f t="shared" si="4"/>
        <v>21.977947257600004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9</v>
      </c>
      <c r="B39" s="101" t="s">
        <v>86</v>
      </c>
      <c r="C39" s="102" t="s">
        <v>106</v>
      </c>
      <c r="D39" s="101" t="s">
        <v>163</v>
      </c>
      <c r="E39" s="123"/>
      <c r="F39" s="129">
        <v>26</v>
      </c>
      <c r="G39" s="112">
        <v>330</v>
      </c>
      <c r="H39" s="182">
        <f t="shared" si="4"/>
        <v>8.58</v>
      </c>
      <c r="I39" s="13">
        <f>F39/6*G39</f>
        <v>1430</v>
      </c>
      <c r="J39" s="23"/>
      <c r="L39" s="19"/>
      <c r="M39" s="20"/>
      <c r="N39" s="21"/>
    </row>
    <row r="40" spans="1:14" ht="19.5" customHeight="1">
      <c r="A40" s="29">
        <v>8</v>
      </c>
      <c r="B40" s="101" t="s">
        <v>65</v>
      </c>
      <c r="C40" s="102" t="s">
        <v>29</v>
      </c>
      <c r="D40" s="101" t="s">
        <v>181</v>
      </c>
      <c r="E40" s="112">
        <v>202.36</v>
      </c>
      <c r="F40" s="129">
        <f>SUM(E40*78/1000)</f>
        <v>15.784080000000001</v>
      </c>
      <c r="G40" s="112">
        <v>754.23</v>
      </c>
      <c r="H40" s="182">
        <f t="shared" si="4"/>
        <v>11.904826658400001</v>
      </c>
      <c r="I40" s="13">
        <f>F40/6*G40</f>
        <v>1984.1377764000003</v>
      </c>
      <c r="J40" s="23"/>
      <c r="L40" s="19"/>
      <c r="M40" s="20"/>
      <c r="N40" s="21"/>
    </row>
    <row r="41" spans="1:14" ht="15.75" customHeight="1">
      <c r="A41" s="29">
        <v>9</v>
      </c>
      <c r="B41" s="101" t="s">
        <v>76</v>
      </c>
      <c r="C41" s="102" t="s">
        <v>101</v>
      </c>
      <c r="D41" s="101" t="s">
        <v>190</v>
      </c>
      <c r="E41" s="112">
        <v>105.56</v>
      </c>
      <c r="F41" s="129">
        <f>SUM(E41*15/1000)</f>
        <v>1.5834000000000001</v>
      </c>
      <c r="G41" s="112">
        <v>12067.57</v>
      </c>
      <c r="H41" s="60">
        <f t="shared" si="4"/>
        <v>19.107790338000001</v>
      </c>
      <c r="I41" s="13">
        <f>F41/6*G41</f>
        <v>3184.6317230000004</v>
      </c>
      <c r="J41" s="23"/>
      <c r="L41" s="19"/>
      <c r="M41" s="20"/>
      <c r="N41" s="21"/>
    </row>
    <row r="42" spans="1:14" ht="15.75" hidden="1" customHeight="1">
      <c r="A42" s="178">
        <v>10</v>
      </c>
      <c r="B42" s="189" t="s">
        <v>108</v>
      </c>
      <c r="C42" s="190" t="s">
        <v>101</v>
      </c>
      <c r="D42" s="189" t="s">
        <v>202</v>
      </c>
      <c r="E42" s="184">
        <v>202.36</v>
      </c>
      <c r="F42" s="187">
        <f>SUM(E42*24/1000)</f>
        <v>4.8566400000000005</v>
      </c>
      <c r="G42" s="184">
        <v>614.55999999999995</v>
      </c>
      <c r="H42" s="179"/>
      <c r="I42" s="181">
        <f>G42*F42/24</f>
        <v>124.3623616</v>
      </c>
      <c r="J42" s="23"/>
      <c r="L42" s="19"/>
      <c r="M42" s="20"/>
      <c r="N42" s="21"/>
    </row>
    <row r="43" spans="1:14" ht="15.75" hidden="1" customHeight="1">
      <c r="A43" s="178">
        <v>11</v>
      </c>
      <c r="B43" s="191" t="s">
        <v>67</v>
      </c>
      <c r="C43" s="192" t="s">
        <v>32</v>
      </c>
      <c r="D43" s="191"/>
      <c r="E43" s="193"/>
      <c r="F43" s="187">
        <v>0.9</v>
      </c>
      <c r="G43" s="187">
        <v>800</v>
      </c>
      <c r="H43" s="182">
        <f t="shared" ref="H43" si="5">SUM(F43*G43/1000)</f>
        <v>0.72</v>
      </c>
      <c r="I43" s="13">
        <f>G43*F43/24</f>
        <v>30</v>
      </c>
      <c r="J43" s="23"/>
      <c r="L43" s="19"/>
      <c r="M43" s="20"/>
      <c r="N43" s="21"/>
    </row>
    <row r="44" spans="1:14" ht="28.5" customHeight="1">
      <c r="A44" s="178">
        <v>10</v>
      </c>
      <c r="B44" s="101" t="s">
        <v>164</v>
      </c>
      <c r="C44" s="102" t="s">
        <v>29</v>
      </c>
      <c r="D44" s="101" t="s">
        <v>190</v>
      </c>
      <c r="E44" s="123">
        <v>3.6</v>
      </c>
      <c r="F44" s="112">
        <f>E44*12/1000</f>
        <v>4.3200000000000002E-2</v>
      </c>
      <c r="G44" s="112">
        <v>19757.060000000001</v>
      </c>
      <c r="H44" s="182">
        <f>G44*F44/1000</f>
        <v>0.85350499200000018</v>
      </c>
      <c r="I44" s="13">
        <f>G44*F44/6</f>
        <v>142.25083200000003</v>
      </c>
      <c r="J44" s="23"/>
      <c r="L44" s="19"/>
      <c r="M44" s="20"/>
      <c r="N44" s="21"/>
    </row>
    <row r="45" spans="1:14" ht="15.75" customHeight="1">
      <c r="A45" s="214" t="s">
        <v>121</v>
      </c>
      <c r="B45" s="215"/>
      <c r="C45" s="215"/>
      <c r="D45" s="215"/>
      <c r="E45" s="215"/>
      <c r="F45" s="215"/>
      <c r="G45" s="215"/>
      <c r="H45" s="215"/>
      <c r="I45" s="216"/>
      <c r="J45" s="23"/>
      <c r="L45" s="19"/>
      <c r="M45" s="20"/>
      <c r="N45" s="21"/>
    </row>
    <row r="46" spans="1:14" ht="15.75" hidden="1" customHeight="1">
      <c r="A46" s="29"/>
      <c r="B46" s="57" t="s">
        <v>133</v>
      </c>
      <c r="C46" s="58" t="s">
        <v>101</v>
      </c>
      <c r="D46" s="57" t="s">
        <v>40</v>
      </c>
      <c r="E46" s="45">
        <v>1150.5999999999999</v>
      </c>
      <c r="F46" s="59">
        <f>SUM(E46*2/1000)</f>
        <v>2.3011999999999997</v>
      </c>
      <c r="G46" s="13">
        <v>849.49</v>
      </c>
      <c r="H46" s="60">
        <f t="shared" ref="H46:H54" si="6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57" t="s">
        <v>33</v>
      </c>
      <c r="C47" s="58" t="s">
        <v>101</v>
      </c>
      <c r="D47" s="57" t="s">
        <v>40</v>
      </c>
      <c r="E47" s="45">
        <v>108.96</v>
      </c>
      <c r="F47" s="59">
        <f>SUM(E47*2/1000)</f>
        <v>0.21791999999999997</v>
      </c>
      <c r="G47" s="13">
        <v>579.48</v>
      </c>
      <c r="H47" s="60">
        <f t="shared" si="6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57" t="s">
        <v>34</v>
      </c>
      <c r="C48" s="58" t="s">
        <v>101</v>
      </c>
      <c r="D48" s="57" t="s">
        <v>40</v>
      </c>
      <c r="E48" s="45">
        <v>4224.3999999999996</v>
      </c>
      <c r="F48" s="59">
        <f>SUM(E48*2/1000)</f>
        <v>8.4487999999999985</v>
      </c>
      <c r="G48" s="13">
        <v>579.48</v>
      </c>
      <c r="H48" s="60">
        <f t="shared" si="6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57" t="s">
        <v>35</v>
      </c>
      <c r="C49" s="58" t="s">
        <v>101</v>
      </c>
      <c r="D49" s="57" t="s">
        <v>40</v>
      </c>
      <c r="E49" s="45">
        <v>3059.7</v>
      </c>
      <c r="F49" s="59">
        <f>SUM(E49*2/1000)</f>
        <v>6.1193999999999997</v>
      </c>
      <c r="G49" s="13">
        <v>606.77</v>
      </c>
      <c r="H49" s="60">
        <f t="shared" si="6"/>
        <v>3.7130683379999998</v>
      </c>
      <c r="I49" s="13">
        <v>0</v>
      </c>
      <c r="J49" s="23"/>
      <c r="L49" s="19"/>
      <c r="M49" s="20"/>
      <c r="N49" s="21"/>
    </row>
    <row r="50" spans="1:22" ht="15.75" customHeight="1">
      <c r="A50" s="29">
        <v>11</v>
      </c>
      <c r="B50" s="57" t="s">
        <v>53</v>
      </c>
      <c r="C50" s="58" t="s">
        <v>101</v>
      </c>
      <c r="D50" s="57" t="s">
        <v>178</v>
      </c>
      <c r="E50" s="45">
        <v>1150.5999999999999</v>
      </c>
      <c r="F50" s="59">
        <f>SUM(E50*5/1000)</f>
        <v>5.7530000000000001</v>
      </c>
      <c r="G50" s="98">
        <v>1739.68</v>
      </c>
      <c r="H50" s="60">
        <f t="shared" ref="H50" si="7">SUM(F50*G50/1000)</f>
        <v>10.008379039999999</v>
      </c>
      <c r="I50" s="13">
        <f>F50/5*G50</f>
        <v>2001.6758080000002</v>
      </c>
      <c r="J50" s="23"/>
      <c r="L50" s="19"/>
      <c r="M50" s="20"/>
      <c r="N50" s="21"/>
    </row>
    <row r="51" spans="1:22" ht="31.5" hidden="1" customHeight="1">
      <c r="A51" s="29">
        <v>14</v>
      </c>
      <c r="B51" s="57" t="s">
        <v>109</v>
      </c>
      <c r="C51" s="58" t="s">
        <v>101</v>
      </c>
      <c r="D51" s="57" t="s">
        <v>40</v>
      </c>
      <c r="E51" s="45">
        <v>1150.5999999999999</v>
      </c>
      <c r="F51" s="59">
        <f>SUM(E51*2/1000)</f>
        <v>2.3011999999999997</v>
      </c>
      <c r="G51" s="13">
        <v>1213.55</v>
      </c>
      <c r="H51" s="60">
        <f t="shared" si="6"/>
        <v>2.7926212599999993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57" t="s">
        <v>110</v>
      </c>
      <c r="C52" s="58" t="s">
        <v>36</v>
      </c>
      <c r="D52" s="57" t="s">
        <v>40</v>
      </c>
      <c r="E52" s="45">
        <v>30</v>
      </c>
      <c r="F52" s="59">
        <f>SUM(E52*2/100)</f>
        <v>0.6</v>
      </c>
      <c r="G52" s="13">
        <v>2730.49</v>
      </c>
      <c r="H52" s="60">
        <f t="shared" si="6"/>
        <v>1.6382939999999999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57" t="s">
        <v>37</v>
      </c>
      <c r="C53" s="58" t="s">
        <v>38</v>
      </c>
      <c r="D53" s="57" t="s">
        <v>40</v>
      </c>
      <c r="E53" s="45">
        <v>1</v>
      </c>
      <c r="F53" s="59">
        <v>0.02</v>
      </c>
      <c r="G53" s="13">
        <v>5652.13</v>
      </c>
      <c r="H53" s="60">
        <f t="shared" si="6"/>
        <v>0.11304260000000001</v>
      </c>
      <c r="I53" s="13">
        <v>0</v>
      </c>
      <c r="J53" s="23"/>
      <c r="L53" s="19"/>
      <c r="M53" s="20"/>
      <c r="N53" s="21"/>
    </row>
    <row r="54" spans="1:22" ht="15.75" hidden="1" customHeight="1">
      <c r="A54" s="29">
        <v>15</v>
      </c>
      <c r="B54" s="57" t="s">
        <v>39</v>
      </c>
      <c r="C54" s="58" t="s">
        <v>111</v>
      </c>
      <c r="D54" s="57" t="s">
        <v>68</v>
      </c>
      <c r="E54" s="45">
        <v>158</v>
      </c>
      <c r="F54" s="59">
        <f>SUM(E54)*3</f>
        <v>474</v>
      </c>
      <c r="G54" s="13">
        <v>65.67</v>
      </c>
      <c r="H54" s="60">
        <f t="shared" si="6"/>
        <v>31.127580000000002</v>
      </c>
      <c r="I54" s="13">
        <f>E54*G54</f>
        <v>10375.86</v>
      </c>
      <c r="J54" s="23"/>
      <c r="L54" s="19"/>
      <c r="M54" s="20"/>
      <c r="N54" s="21"/>
    </row>
    <row r="55" spans="1:22" ht="15.75" customHeight="1">
      <c r="A55" s="214" t="s">
        <v>122</v>
      </c>
      <c r="B55" s="215"/>
      <c r="C55" s="215"/>
      <c r="D55" s="215"/>
      <c r="E55" s="215"/>
      <c r="F55" s="215"/>
      <c r="G55" s="215"/>
      <c r="H55" s="215"/>
      <c r="I55" s="216"/>
      <c r="J55" s="23"/>
      <c r="L55" s="19"/>
      <c r="M55" s="20"/>
      <c r="N55" s="21"/>
    </row>
    <row r="56" spans="1:22" ht="17.25" customHeight="1">
      <c r="A56" s="29"/>
      <c r="B56" s="76" t="s">
        <v>41</v>
      </c>
      <c r="C56" s="58"/>
      <c r="D56" s="57"/>
      <c r="E56" s="45"/>
      <c r="F56" s="59"/>
      <c r="G56" s="59"/>
      <c r="H56" s="60"/>
      <c r="I56" s="13"/>
      <c r="J56" s="23"/>
      <c r="L56" s="19"/>
      <c r="M56" s="20"/>
      <c r="N56" s="21"/>
    </row>
    <row r="57" spans="1:22" ht="30.75" customHeight="1">
      <c r="A57" s="29">
        <v>12</v>
      </c>
      <c r="B57" s="101" t="s">
        <v>198</v>
      </c>
      <c r="C57" s="102" t="s">
        <v>93</v>
      </c>
      <c r="D57" s="101" t="s">
        <v>136</v>
      </c>
      <c r="E57" s="188">
        <v>18</v>
      </c>
      <c r="F57" s="98">
        <f>E57*6/100</f>
        <v>1.08</v>
      </c>
      <c r="G57" s="129">
        <v>2218.11</v>
      </c>
      <c r="H57" s="60">
        <f>SUM(F57*G57/1000)</f>
        <v>2.3955588000000003</v>
      </c>
      <c r="I57" s="13">
        <f>G57*0.18</f>
        <v>399.25979999999998</v>
      </c>
      <c r="J57" s="23"/>
      <c r="L57" s="19"/>
      <c r="M57" s="20"/>
      <c r="N57" s="21"/>
    </row>
    <row r="58" spans="1:22" ht="17.25" hidden="1" customHeight="1">
      <c r="A58" s="86"/>
      <c r="B58" s="57" t="s">
        <v>90</v>
      </c>
      <c r="C58" s="58" t="s">
        <v>91</v>
      </c>
      <c r="D58" s="57" t="s">
        <v>40</v>
      </c>
      <c r="E58" s="45">
        <v>6</v>
      </c>
      <c r="F58" s="59">
        <v>12</v>
      </c>
      <c r="G58" s="65">
        <v>180.78</v>
      </c>
      <c r="H58" s="60">
        <f t="shared" ref="H58" si="8">SUM(F58*G58/1000)</f>
        <v>2.1693600000000002</v>
      </c>
      <c r="I58" s="13">
        <v>0</v>
      </c>
      <c r="J58" s="23"/>
      <c r="L58" s="19"/>
      <c r="M58" s="20"/>
      <c r="N58" s="21"/>
    </row>
    <row r="59" spans="1:22" ht="15.75" customHeight="1">
      <c r="A59" s="29"/>
      <c r="B59" s="77" t="s">
        <v>42</v>
      </c>
      <c r="C59" s="66"/>
      <c r="D59" s="67"/>
      <c r="E59" s="68"/>
      <c r="F59" s="70"/>
      <c r="G59" s="13"/>
      <c r="H59" s="71"/>
      <c r="I59" s="13"/>
      <c r="J59" s="23"/>
      <c r="L59" s="19"/>
      <c r="M59" s="20"/>
      <c r="N59" s="21"/>
    </row>
    <row r="60" spans="1:22" ht="15.75" customHeight="1">
      <c r="A60" s="29">
        <v>13</v>
      </c>
      <c r="B60" s="103" t="s">
        <v>87</v>
      </c>
      <c r="C60" s="104" t="s">
        <v>25</v>
      </c>
      <c r="D60" s="103"/>
      <c r="E60" s="105">
        <v>200</v>
      </c>
      <c r="F60" s="106">
        <f>E60*12</f>
        <v>2400</v>
      </c>
      <c r="G60" s="107">
        <v>1.4</v>
      </c>
      <c r="H60" s="108">
        <f>G60*F60</f>
        <v>3360</v>
      </c>
      <c r="I60" s="13">
        <f>F60/12*G60</f>
        <v>280</v>
      </c>
      <c r="J60" s="23"/>
      <c r="L60" s="19"/>
    </row>
    <row r="61" spans="1:22" ht="15.75" customHeight="1">
      <c r="A61" s="29"/>
      <c r="B61" s="77" t="s">
        <v>43</v>
      </c>
      <c r="C61" s="66"/>
      <c r="D61" s="67"/>
      <c r="E61" s="68"/>
      <c r="F61" s="69"/>
      <c r="G61" s="69"/>
      <c r="H61" s="70" t="s">
        <v>118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customHeight="1">
      <c r="A62" s="29">
        <v>14</v>
      </c>
      <c r="B62" s="14" t="s">
        <v>44</v>
      </c>
      <c r="C62" s="16" t="s">
        <v>111</v>
      </c>
      <c r="D62" s="14" t="s">
        <v>178</v>
      </c>
      <c r="E62" s="18">
        <v>15</v>
      </c>
      <c r="F62" s="59">
        <v>15</v>
      </c>
      <c r="G62" s="110">
        <v>318.82</v>
      </c>
      <c r="H62" s="72">
        <f t="shared" ref="H62:H69" si="9">SUM(F62*G62/1000)</f>
        <v>4.7823000000000002</v>
      </c>
      <c r="I62" s="13">
        <f>G62*1</f>
        <v>318.82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customHeight="1">
      <c r="A63" s="29">
        <v>15</v>
      </c>
      <c r="B63" s="14" t="s">
        <v>45</v>
      </c>
      <c r="C63" s="16" t="s">
        <v>111</v>
      </c>
      <c r="D63" s="14" t="s">
        <v>178</v>
      </c>
      <c r="E63" s="18">
        <v>5</v>
      </c>
      <c r="F63" s="59">
        <v>5</v>
      </c>
      <c r="G63" s="110">
        <v>109.32</v>
      </c>
      <c r="H63" s="72">
        <f t="shared" si="9"/>
        <v>0.54659999999999986</v>
      </c>
      <c r="I63" s="13">
        <f>G63*1</f>
        <v>109.32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46</v>
      </c>
      <c r="C64" s="16" t="s">
        <v>112</v>
      </c>
      <c r="D64" s="14" t="s">
        <v>51</v>
      </c>
      <c r="E64" s="45">
        <v>18281</v>
      </c>
      <c r="F64" s="13">
        <f>SUM(E64/100)</f>
        <v>182.81</v>
      </c>
      <c r="G64" s="13">
        <v>199.77</v>
      </c>
      <c r="H64" s="72">
        <f t="shared" si="9"/>
        <v>36.519953700000002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210"/>
      <c r="S64" s="210"/>
      <c r="T64" s="210"/>
      <c r="U64" s="210"/>
    </row>
    <row r="65" spans="1:9" ht="15.75" hidden="1" customHeight="1">
      <c r="A65" s="29"/>
      <c r="B65" s="14" t="s">
        <v>47</v>
      </c>
      <c r="C65" s="16" t="s">
        <v>113</v>
      </c>
      <c r="D65" s="14"/>
      <c r="E65" s="45">
        <v>18281</v>
      </c>
      <c r="F65" s="13">
        <f>SUM(E65/1000)</f>
        <v>18.280999999999999</v>
      </c>
      <c r="G65" s="13">
        <v>155.57</v>
      </c>
      <c r="H65" s="72">
        <f t="shared" si="9"/>
        <v>2.8439751699999998</v>
      </c>
      <c r="I65" s="13">
        <v>0</v>
      </c>
    </row>
    <row r="66" spans="1:9" ht="15.75" hidden="1" customHeight="1">
      <c r="A66" s="29"/>
      <c r="B66" s="14" t="s">
        <v>48</v>
      </c>
      <c r="C66" s="16" t="s">
        <v>72</v>
      </c>
      <c r="D66" s="14" t="s">
        <v>51</v>
      </c>
      <c r="E66" s="45">
        <v>2730</v>
      </c>
      <c r="F66" s="13">
        <f>SUM(E66/100)</f>
        <v>27.3</v>
      </c>
      <c r="G66" s="13">
        <v>1953.52</v>
      </c>
      <c r="H66" s="72">
        <f t="shared" si="9"/>
        <v>53.331095999999995</v>
      </c>
      <c r="I66" s="13">
        <v>0</v>
      </c>
    </row>
    <row r="67" spans="1:9" ht="15.75" hidden="1" customHeight="1">
      <c r="A67" s="29"/>
      <c r="B67" s="73" t="s">
        <v>114</v>
      </c>
      <c r="C67" s="16" t="s">
        <v>32</v>
      </c>
      <c r="D67" s="14"/>
      <c r="E67" s="45">
        <v>16.399999999999999</v>
      </c>
      <c r="F67" s="13">
        <f>SUM(E67)</f>
        <v>16.399999999999999</v>
      </c>
      <c r="G67" s="13">
        <v>40.270000000000003</v>
      </c>
      <c r="H67" s="72">
        <f t="shared" si="9"/>
        <v>0.66042800000000002</v>
      </c>
      <c r="I67" s="13">
        <v>0</v>
      </c>
    </row>
    <row r="68" spans="1:9" ht="15.75" hidden="1" customHeight="1">
      <c r="A68" s="29"/>
      <c r="B68" s="73" t="s">
        <v>115</v>
      </c>
      <c r="C68" s="16" t="s">
        <v>32</v>
      </c>
      <c r="D68" s="14"/>
      <c r="E68" s="45">
        <v>16.399999999999999</v>
      </c>
      <c r="F68" s="13">
        <f>SUM(E68)</f>
        <v>16.399999999999999</v>
      </c>
      <c r="G68" s="13">
        <v>37.71</v>
      </c>
      <c r="H68" s="72">
        <f t="shared" si="9"/>
        <v>0.61844399999999999</v>
      </c>
      <c r="I68" s="13">
        <v>0</v>
      </c>
    </row>
    <row r="69" spans="1:9" ht="15.75" hidden="1" customHeight="1">
      <c r="A69" s="29"/>
      <c r="B69" s="14" t="s">
        <v>54</v>
      </c>
      <c r="C69" s="16" t="s">
        <v>55</v>
      </c>
      <c r="D69" s="14" t="s">
        <v>51</v>
      </c>
      <c r="E69" s="18">
        <v>7</v>
      </c>
      <c r="F69" s="59">
        <f>SUM(E69)</f>
        <v>7</v>
      </c>
      <c r="G69" s="13">
        <v>46.97</v>
      </c>
      <c r="H69" s="72">
        <f t="shared" si="9"/>
        <v>0.32878999999999997</v>
      </c>
      <c r="I69" s="13">
        <v>0</v>
      </c>
    </row>
    <row r="70" spans="1:9" ht="18" hidden="1" customHeight="1">
      <c r="A70" s="29">
        <v>14</v>
      </c>
      <c r="B70" s="100" t="s">
        <v>165</v>
      </c>
      <c r="C70" s="113" t="s">
        <v>137</v>
      </c>
      <c r="D70" s="100" t="s">
        <v>201</v>
      </c>
      <c r="E70" s="17">
        <v>6</v>
      </c>
      <c r="F70" s="134">
        <f>E70*1</f>
        <v>6</v>
      </c>
      <c r="G70" s="98">
        <v>968.66</v>
      </c>
      <c r="H70" s="72"/>
      <c r="I70" s="13">
        <f>G70*1</f>
        <v>968.66</v>
      </c>
    </row>
    <row r="71" spans="1:9" ht="15.75" customHeight="1">
      <c r="A71" s="29"/>
      <c r="B71" s="186" t="s">
        <v>69</v>
      </c>
      <c r="C71" s="16"/>
      <c r="D71" s="14"/>
      <c r="E71" s="18"/>
      <c r="F71" s="13"/>
      <c r="G71" s="13"/>
      <c r="H71" s="72" t="s">
        <v>118</v>
      </c>
      <c r="I71" s="13"/>
    </row>
    <row r="72" spans="1:9" ht="15.75" hidden="1" customHeight="1">
      <c r="A72" s="29"/>
      <c r="B72" s="14" t="s">
        <v>80</v>
      </c>
      <c r="C72" s="16" t="s">
        <v>30</v>
      </c>
      <c r="D72" s="14"/>
      <c r="E72" s="18">
        <v>1</v>
      </c>
      <c r="F72" s="59">
        <f>SUM(E72)</f>
        <v>1</v>
      </c>
      <c r="G72" s="13">
        <v>337.58</v>
      </c>
      <c r="H72" s="72">
        <f t="shared" ref="H72" si="10">SUM(F72*G72/1000)</f>
        <v>0.33757999999999999</v>
      </c>
      <c r="I72" s="13">
        <v>0</v>
      </c>
    </row>
    <row r="73" spans="1:9" ht="15.75" hidden="1" customHeight="1">
      <c r="A73" s="29"/>
      <c r="B73" s="14" t="s">
        <v>70</v>
      </c>
      <c r="C73" s="16" t="s">
        <v>30</v>
      </c>
      <c r="D73" s="14"/>
      <c r="E73" s="18">
        <v>2</v>
      </c>
      <c r="F73" s="13">
        <v>2</v>
      </c>
      <c r="G73" s="13">
        <v>803.19</v>
      </c>
      <c r="H73" s="72">
        <f>F73*G73/1000</f>
        <v>1.6063800000000001</v>
      </c>
      <c r="I73" s="13">
        <v>0</v>
      </c>
    </row>
    <row r="74" spans="1:9" ht="15.75" customHeight="1">
      <c r="A74" s="29">
        <v>16</v>
      </c>
      <c r="B74" s="95" t="s">
        <v>169</v>
      </c>
      <c r="C74" s="96" t="s">
        <v>111</v>
      </c>
      <c r="D74" s="100" t="s">
        <v>180</v>
      </c>
      <c r="E74" s="17">
        <v>2</v>
      </c>
      <c r="F74" s="98">
        <f>E74*12</f>
        <v>24</v>
      </c>
      <c r="G74" s="98">
        <v>404</v>
      </c>
      <c r="H74" s="72"/>
      <c r="I74" s="13">
        <f>G74*2</f>
        <v>808</v>
      </c>
    </row>
    <row r="75" spans="1:9" ht="15.75" customHeight="1">
      <c r="A75" s="29"/>
      <c r="B75" s="135" t="s">
        <v>166</v>
      </c>
      <c r="C75" s="113"/>
      <c r="D75" s="100"/>
      <c r="E75" s="17"/>
      <c r="F75" s="98"/>
      <c r="G75" s="98"/>
      <c r="H75" s="75"/>
      <c r="I75" s="62"/>
    </row>
    <row r="76" spans="1:9" ht="32.25" customHeight="1">
      <c r="A76" s="29">
        <v>17</v>
      </c>
      <c r="B76" s="100" t="s">
        <v>167</v>
      </c>
      <c r="C76" s="35" t="s">
        <v>168</v>
      </c>
      <c r="D76" s="100"/>
      <c r="E76" s="17">
        <v>4224.3999999999996</v>
      </c>
      <c r="F76" s="98">
        <f>E76*12</f>
        <v>50692.799999999996</v>
      </c>
      <c r="G76" s="98">
        <v>2.4900000000000002</v>
      </c>
      <c r="H76" s="75"/>
      <c r="I76" s="13">
        <f>G76*F76/12</f>
        <v>10518.755999999999</v>
      </c>
    </row>
    <row r="77" spans="1:9" ht="15.75" hidden="1" customHeight="1">
      <c r="A77" s="29"/>
      <c r="B77" s="74" t="s">
        <v>71</v>
      </c>
      <c r="C77" s="16"/>
      <c r="D77" s="14"/>
      <c r="E77" s="18"/>
      <c r="F77" s="13"/>
      <c r="G77" s="13" t="s">
        <v>118</v>
      </c>
      <c r="H77" s="72" t="s">
        <v>118</v>
      </c>
      <c r="I77" s="13"/>
    </row>
    <row r="78" spans="1:9" ht="15.75" hidden="1" customHeight="1">
      <c r="A78" s="29"/>
      <c r="B78" s="42" t="s">
        <v>119</v>
      </c>
      <c r="C78" s="16" t="s">
        <v>72</v>
      </c>
      <c r="D78" s="14"/>
      <c r="E78" s="18"/>
      <c r="F78" s="13">
        <v>1.35</v>
      </c>
      <c r="G78" s="13">
        <v>2494</v>
      </c>
      <c r="H78" s="72">
        <f t="shared" ref="H78" si="11">SUM(F78*G78/1000)</f>
        <v>3.3669000000000002</v>
      </c>
      <c r="I78" s="13">
        <v>0</v>
      </c>
    </row>
    <row r="79" spans="1:9" ht="15.75" hidden="1" customHeight="1">
      <c r="A79" s="29"/>
      <c r="B79" s="61" t="s">
        <v>116</v>
      </c>
      <c r="C79" s="74"/>
      <c r="D79" s="31"/>
      <c r="E79" s="32"/>
      <c r="F79" s="62"/>
      <c r="G79" s="62"/>
      <c r="H79" s="75">
        <f>SUM(H57:H78)</f>
        <v>3469.5073656700001</v>
      </c>
      <c r="I79" s="62"/>
    </row>
    <row r="80" spans="1:9" ht="15.75" hidden="1" customHeight="1">
      <c r="A80" s="29"/>
      <c r="B80" s="57" t="s">
        <v>117</v>
      </c>
      <c r="C80" s="16"/>
      <c r="D80" s="14"/>
      <c r="E80" s="52"/>
      <c r="F80" s="13">
        <v>1</v>
      </c>
      <c r="G80" s="13">
        <v>17359.8</v>
      </c>
      <c r="H80" s="72">
        <f>G80*F80/1000</f>
        <v>17.3598</v>
      </c>
      <c r="I80" s="13">
        <v>0</v>
      </c>
    </row>
    <row r="81" spans="1:9" ht="15.75" customHeight="1">
      <c r="A81" s="223" t="s">
        <v>123</v>
      </c>
      <c r="B81" s="224"/>
      <c r="C81" s="224"/>
      <c r="D81" s="224"/>
      <c r="E81" s="224"/>
      <c r="F81" s="224"/>
      <c r="G81" s="224"/>
      <c r="H81" s="224"/>
      <c r="I81" s="225"/>
    </row>
    <row r="82" spans="1:9" ht="15.75" customHeight="1">
      <c r="A82" s="29">
        <v>18</v>
      </c>
      <c r="B82" s="100" t="s">
        <v>120</v>
      </c>
      <c r="C82" s="113" t="s">
        <v>52</v>
      </c>
      <c r="D82" s="136"/>
      <c r="E82" s="98">
        <v>4224.3999999999996</v>
      </c>
      <c r="F82" s="98">
        <f>SUM(E82*12)</f>
        <v>50692.799999999996</v>
      </c>
      <c r="G82" s="98">
        <v>3.38</v>
      </c>
      <c r="H82" s="13">
        <f>SUM(F82*G82/1000)</f>
        <v>171.34166399999998</v>
      </c>
      <c r="I82" s="13">
        <f>F82/12*G82</f>
        <v>14278.471999999998</v>
      </c>
    </row>
    <row r="83" spans="1:9" ht="31.5" customHeight="1">
      <c r="A83" s="29">
        <v>19</v>
      </c>
      <c r="B83" s="155" t="s">
        <v>170</v>
      </c>
      <c r="C83" s="138" t="s">
        <v>52</v>
      </c>
      <c r="D83" s="139"/>
      <c r="E83" s="140">
        <f>E82</f>
        <v>4224.3999999999996</v>
      </c>
      <c r="F83" s="141">
        <f>E83*12</f>
        <v>50692.799999999996</v>
      </c>
      <c r="G83" s="141">
        <v>3.05</v>
      </c>
      <c r="H83" s="156">
        <f>F83*G83/1000</f>
        <v>154.61303999999998</v>
      </c>
      <c r="I83" s="157">
        <f>F83/12*G83</f>
        <v>12884.419999999998</v>
      </c>
    </row>
    <row r="84" spans="1:9" ht="15.75" customHeight="1">
      <c r="A84" s="185"/>
      <c r="B84" s="34" t="s">
        <v>74</v>
      </c>
      <c r="C84" s="35"/>
      <c r="D84" s="15"/>
      <c r="E84" s="15"/>
      <c r="F84" s="15"/>
      <c r="G84" s="18"/>
      <c r="H84" s="18"/>
      <c r="I84" s="32">
        <f>I83+I82+I76+I74+I63+I62+I60+I57+I50+I44+I41+I40+I37+I36+I25+I21+I20+I18+I16</f>
        <v>68246.740286999979</v>
      </c>
    </row>
    <row r="85" spans="1:9" ht="15.75" customHeight="1">
      <c r="A85" s="220" t="s">
        <v>57</v>
      </c>
      <c r="B85" s="221"/>
      <c r="C85" s="221"/>
      <c r="D85" s="221"/>
      <c r="E85" s="221"/>
      <c r="F85" s="221"/>
      <c r="G85" s="221"/>
      <c r="H85" s="221"/>
      <c r="I85" s="222"/>
    </row>
    <row r="86" spans="1:9" ht="15.75" customHeight="1">
      <c r="A86" s="36">
        <v>20</v>
      </c>
      <c r="B86" s="100" t="s">
        <v>221</v>
      </c>
      <c r="C86" s="113" t="s">
        <v>157</v>
      </c>
      <c r="D86" s="97"/>
      <c r="E86" s="98"/>
      <c r="F86" s="98">
        <v>3</v>
      </c>
      <c r="G86" s="98">
        <v>295.36</v>
      </c>
      <c r="H86" s="36"/>
      <c r="I86" s="36">
        <f>G86*3</f>
        <v>886.08</v>
      </c>
    </row>
    <row r="87" spans="1:9" ht="15.75" customHeight="1">
      <c r="A87" s="36">
        <v>21</v>
      </c>
      <c r="B87" s="100" t="s">
        <v>228</v>
      </c>
      <c r="C87" s="113" t="s">
        <v>157</v>
      </c>
      <c r="D87" s="97"/>
      <c r="E87" s="98"/>
      <c r="F87" s="98">
        <v>8</v>
      </c>
      <c r="G87" s="98">
        <v>295.36</v>
      </c>
      <c r="H87" s="36"/>
      <c r="I87" s="36">
        <f>G87*8</f>
        <v>2362.88</v>
      </c>
    </row>
    <row r="88" spans="1:9" ht="15.75" customHeight="1">
      <c r="A88" s="36">
        <v>22</v>
      </c>
      <c r="B88" s="95" t="s">
        <v>75</v>
      </c>
      <c r="C88" s="96" t="s">
        <v>111</v>
      </c>
      <c r="D88" s="97"/>
      <c r="E88" s="98"/>
      <c r="F88" s="98">
        <v>2</v>
      </c>
      <c r="G88" s="98">
        <v>224.48</v>
      </c>
      <c r="H88" s="36"/>
      <c r="I88" s="36">
        <f>G88*1</f>
        <v>224.48</v>
      </c>
    </row>
    <row r="89" spans="1:9" ht="34.5" customHeight="1">
      <c r="A89" s="29">
        <v>23</v>
      </c>
      <c r="B89" s="95" t="s">
        <v>199</v>
      </c>
      <c r="C89" s="96" t="s">
        <v>36</v>
      </c>
      <c r="D89" s="97" t="s">
        <v>178</v>
      </c>
      <c r="E89" s="98"/>
      <c r="F89" s="98">
        <v>0.01</v>
      </c>
      <c r="G89" s="98">
        <v>4233.72</v>
      </c>
      <c r="H89" s="36"/>
      <c r="I89" s="200">
        <v>0</v>
      </c>
    </row>
    <row r="90" spans="1:9" ht="15.75" customHeight="1">
      <c r="A90" s="29"/>
      <c r="B90" s="40" t="s">
        <v>49</v>
      </c>
      <c r="C90" s="36"/>
      <c r="D90" s="43"/>
      <c r="E90" s="36">
        <v>1</v>
      </c>
      <c r="F90" s="36"/>
      <c r="G90" s="36"/>
      <c r="H90" s="36"/>
      <c r="I90" s="32">
        <f>SUM(I86:I89)</f>
        <v>3473.44</v>
      </c>
    </row>
    <row r="91" spans="1:9" ht="15.75" customHeight="1">
      <c r="A91" s="29"/>
      <c r="B91" s="42" t="s">
        <v>73</v>
      </c>
      <c r="C91" s="15"/>
      <c r="D91" s="15"/>
      <c r="E91" s="37"/>
      <c r="F91" s="37"/>
      <c r="G91" s="38"/>
      <c r="H91" s="38"/>
      <c r="I91" s="17">
        <v>0</v>
      </c>
    </row>
    <row r="92" spans="1:9" ht="15.75" customHeight="1">
      <c r="A92" s="44"/>
      <c r="B92" s="41" t="s">
        <v>155</v>
      </c>
      <c r="C92" s="33"/>
      <c r="D92" s="33"/>
      <c r="E92" s="33"/>
      <c r="F92" s="33"/>
      <c r="G92" s="33"/>
      <c r="H92" s="33"/>
      <c r="I92" s="39">
        <f>I84+I90</f>
        <v>71720.180286999981</v>
      </c>
    </row>
    <row r="93" spans="1:9" ht="15.75" customHeight="1">
      <c r="A93" s="217" t="s">
        <v>229</v>
      </c>
      <c r="B93" s="217"/>
      <c r="C93" s="217"/>
      <c r="D93" s="217"/>
      <c r="E93" s="217"/>
      <c r="F93" s="217"/>
      <c r="G93" s="217"/>
      <c r="H93" s="217"/>
      <c r="I93" s="217"/>
    </row>
    <row r="94" spans="1:9" ht="15.75" customHeight="1">
      <c r="A94" s="51"/>
      <c r="B94" s="218" t="s">
        <v>230</v>
      </c>
      <c r="C94" s="218"/>
      <c r="D94" s="218"/>
      <c r="E94" s="218"/>
      <c r="F94" s="218"/>
      <c r="G94" s="218"/>
      <c r="H94" s="56"/>
      <c r="I94" s="3"/>
    </row>
    <row r="95" spans="1:9" ht="15.75" customHeight="1">
      <c r="A95" s="46"/>
      <c r="B95" s="208" t="s">
        <v>6</v>
      </c>
      <c r="C95" s="208"/>
      <c r="D95" s="208"/>
      <c r="E95" s="208"/>
      <c r="F95" s="208"/>
      <c r="G95" s="208"/>
      <c r="H95" s="24"/>
      <c r="I95" s="5"/>
    </row>
    <row r="96" spans="1:9" ht="15.75" customHeight="1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 customHeight="1">
      <c r="A97" s="219" t="s">
        <v>7</v>
      </c>
      <c r="B97" s="219"/>
      <c r="C97" s="219"/>
      <c r="D97" s="219"/>
      <c r="E97" s="219"/>
      <c r="F97" s="219"/>
      <c r="G97" s="219"/>
      <c r="H97" s="219"/>
      <c r="I97" s="219"/>
    </row>
    <row r="98" spans="1:9" ht="15.75" customHeight="1">
      <c r="A98" s="219" t="s">
        <v>8</v>
      </c>
      <c r="B98" s="219"/>
      <c r="C98" s="219"/>
      <c r="D98" s="219"/>
      <c r="E98" s="219"/>
      <c r="F98" s="219"/>
      <c r="G98" s="219"/>
      <c r="H98" s="219"/>
      <c r="I98" s="219"/>
    </row>
    <row r="99" spans="1:9" ht="15.75" customHeight="1">
      <c r="A99" s="212" t="s">
        <v>58</v>
      </c>
      <c r="B99" s="212"/>
      <c r="C99" s="212"/>
      <c r="D99" s="212"/>
      <c r="E99" s="212"/>
      <c r="F99" s="212"/>
      <c r="G99" s="212"/>
      <c r="H99" s="212"/>
      <c r="I99" s="212"/>
    </row>
    <row r="100" spans="1:9" ht="15.75" customHeight="1">
      <c r="A100" s="11"/>
    </row>
    <row r="101" spans="1:9" ht="15.75" customHeight="1">
      <c r="A101" s="206" t="s">
        <v>9</v>
      </c>
      <c r="B101" s="206"/>
      <c r="C101" s="206"/>
      <c r="D101" s="206"/>
      <c r="E101" s="206"/>
      <c r="F101" s="206"/>
      <c r="G101" s="206"/>
      <c r="H101" s="206"/>
      <c r="I101" s="206"/>
    </row>
    <row r="102" spans="1:9" ht="15.75" customHeight="1">
      <c r="A102" s="4"/>
    </row>
    <row r="103" spans="1:9" ht="15.75" customHeight="1">
      <c r="B103" s="49" t="s">
        <v>10</v>
      </c>
      <c r="C103" s="207" t="s">
        <v>217</v>
      </c>
      <c r="D103" s="207"/>
      <c r="E103" s="207"/>
      <c r="F103" s="54"/>
      <c r="I103" s="48"/>
    </row>
    <row r="104" spans="1:9" ht="15.75" customHeight="1">
      <c r="A104" s="46"/>
      <c r="C104" s="208" t="s">
        <v>11</v>
      </c>
      <c r="D104" s="208"/>
      <c r="E104" s="208"/>
      <c r="F104" s="24"/>
      <c r="I104" s="47" t="s">
        <v>12</v>
      </c>
    </row>
    <row r="105" spans="1:9" ht="15.75" customHeight="1">
      <c r="A105" s="25"/>
      <c r="C105" s="12"/>
      <c r="D105" s="12"/>
      <c r="G105" s="12"/>
      <c r="H105" s="12"/>
    </row>
    <row r="106" spans="1:9" ht="15.75" customHeight="1">
      <c r="B106" s="49" t="s">
        <v>13</v>
      </c>
      <c r="C106" s="209"/>
      <c r="D106" s="209"/>
      <c r="E106" s="209"/>
      <c r="F106" s="55"/>
      <c r="I106" s="48"/>
    </row>
    <row r="107" spans="1:9" ht="15.75" customHeight="1">
      <c r="A107" s="46"/>
      <c r="C107" s="210" t="s">
        <v>11</v>
      </c>
      <c r="D107" s="210"/>
      <c r="E107" s="210"/>
      <c r="F107" s="46"/>
      <c r="I107" s="47" t="s">
        <v>12</v>
      </c>
    </row>
    <row r="108" spans="1:9" ht="15.75" customHeight="1">
      <c r="A108" s="4" t="s">
        <v>14</v>
      </c>
    </row>
    <row r="109" spans="1:9" ht="15.75" customHeight="1">
      <c r="A109" s="211" t="s">
        <v>15</v>
      </c>
      <c r="B109" s="211"/>
      <c r="C109" s="211"/>
      <c r="D109" s="211"/>
      <c r="E109" s="211"/>
      <c r="F109" s="211"/>
      <c r="G109" s="211"/>
      <c r="H109" s="211"/>
      <c r="I109" s="211"/>
    </row>
    <row r="110" spans="1:9" ht="45" customHeight="1">
      <c r="A110" s="205" t="s">
        <v>16</v>
      </c>
      <c r="B110" s="205"/>
      <c r="C110" s="205"/>
      <c r="D110" s="205"/>
      <c r="E110" s="205"/>
      <c r="F110" s="205"/>
      <c r="G110" s="205"/>
      <c r="H110" s="205"/>
      <c r="I110" s="205"/>
    </row>
    <row r="111" spans="1:9" ht="30" customHeight="1">
      <c r="A111" s="205" t="s">
        <v>17</v>
      </c>
      <c r="B111" s="205"/>
      <c r="C111" s="205"/>
      <c r="D111" s="205"/>
      <c r="E111" s="205"/>
      <c r="F111" s="205"/>
      <c r="G111" s="205"/>
      <c r="H111" s="205"/>
      <c r="I111" s="205"/>
    </row>
    <row r="112" spans="1:9" ht="30" customHeight="1">
      <c r="A112" s="205" t="s">
        <v>21</v>
      </c>
      <c r="B112" s="205"/>
      <c r="C112" s="205"/>
      <c r="D112" s="205"/>
      <c r="E112" s="205"/>
      <c r="F112" s="205"/>
      <c r="G112" s="205"/>
      <c r="H112" s="205"/>
      <c r="I112" s="205"/>
    </row>
    <row r="113" spans="1:9" ht="15" customHeight="1">
      <c r="A113" s="205" t="s">
        <v>20</v>
      </c>
      <c r="B113" s="205"/>
      <c r="C113" s="205"/>
      <c r="D113" s="205"/>
      <c r="E113" s="205"/>
      <c r="F113" s="205"/>
      <c r="G113" s="205"/>
      <c r="H113" s="205"/>
      <c r="I113" s="205"/>
    </row>
  </sheetData>
  <autoFilter ref="I12:I60"/>
  <mergeCells count="29">
    <mergeCell ref="R64:U64"/>
    <mergeCell ref="A81:I81"/>
    <mergeCell ref="A3:I3"/>
    <mergeCell ref="A4:I4"/>
    <mergeCell ref="A5:I5"/>
    <mergeCell ref="A8:I8"/>
    <mergeCell ref="A10:I10"/>
    <mergeCell ref="A14:I14"/>
    <mergeCell ref="A99:I99"/>
    <mergeCell ref="A15:I15"/>
    <mergeCell ref="A26:I26"/>
    <mergeCell ref="A45:I45"/>
    <mergeCell ref="A55:I55"/>
    <mergeCell ref="A93:I93"/>
    <mergeCell ref="B94:G94"/>
    <mergeCell ref="B95:G95"/>
    <mergeCell ref="A97:I97"/>
    <mergeCell ref="A98:I98"/>
    <mergeCell ref="A85:I85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11811023622047245" right="0.23622047244094491" top="0.27559055118110237" bottom="0.27559055118110237" header="0.31496062992125984" footer="0.31496062992125984"/>
  <pageSetup paperSize="9" scale="65" orientation="portrait" r:id="rId1"/>
  <rowBreaks count="1" manualBreakCount="1">
    <brk id="95" max="8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5"/>
  <sheetViews>
    <sheetView topLeftCell="A79" workbookViewId="0">
      <selection activeCell="A100" sqref="A100:I100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7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148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333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44500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216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15.75" hidden="1" customHeight="1">
      <c r="A16" s="29">
        <v>1</v>
      </c>
      <c r="B16" s="57" t="s">
        <v>79</v>
      </c>
      <c r="C16" s="58" t="s">
        <v>93</v>
      </c>
      <c r="D16" s="57" t="s">
        <v>94</v>
      </c>
      <c r="E16" s="45">
        <v>118.34</v>
      </c>
      <c r="F16" s="59">
        <f>SUM(E16*156/100)</f>
        <v>184.6104</v>
      </c>
      <c r="G16" s="59">
        <v>175.38</v>
      </c>
      <c r="H16" s="60">
        <f t="shared" ref="H16:H25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1</v>
      </c>
      <c r="B17" s="101" t="s">
        <v>158</v>
      </c>
      <c r="C17" s="102" t="s">
        <v>93</v>
      </c>
      <c r="D17" s="101" t="s">
        <v>185</v>
      </c>
      <c r="E17" s="123">
        <v>591.70000000000005</v>
      </c>
      <c r="F17" s="112">
        <f>SUM(E17*48/100)</f>
        <v>284.01600000000002</v>
      </c>
      <c r="G17" s="112">
        <v>322.51</v>
      </c>
      <c r="H17" s="60">
        <f t="shared" si="0"/>
        <v>91.598000160000012</v>
      </c>
      <c r="I17" s="13">
        <f>F17/6*G17</f>
        <v>15266.333360000001</v>
      </c>
      <c r="J17" s="22"/>
      <c r="K17" s="8"/>
      <c r="L17" s="8"/>
      <c r="M17" s="8"/>
    </row>
    <row r="18" spans="1:13" ht="15.75" customHeight="1">
      <c r="A18" s="29">
        <v>2</v>
      </c>
      <c r="B18" s="101" t="s">
        <v>85</v>
      </c>
      <c r="C18" s="102" t="s">
        <v>93</v>
      </c>
      <c r="D18" s="101" t="s">
        <v>190</v>
      </c>
      <c r="E18" s="123">
        <v>591.70000000000005</v>
      </c>
      <c r="F18" s="112">
        <f>SUM(E18*18/100)</f>
        <v>106.506</v>
      </c>
      <c r="G18" s="112">
        <v>723.23</v>
      </c>
      <c r="H18" s="60">
        <f t="shared" si="0"/>
        <v>77.028334380000004</v>
      </c>
      <c r="I18" s="13">
        <f>F18/18*2*G18</f>
        <v>8558.7038200000006</v>
      </c>
      <c r="J18" s="22"/>
      <c r="K18" s="8"/>
      <c r="L18" s="8"/>
      <c r="M18" s="8"/>
    </row>
    <row r="19" spans="1:13" ht="15.75" hidden="1" customHeight="1">
      <c r="A19" s="29">
        <v>4</v>
      </c>
      <c r="B19" s="101" t="s">
        <v>95</v>
      </c>
      <c r="C19" s="102" t="s">
        <v>96</v>
      </c>
      <c r="D19" s="101" t="s">
        <v>97</v>
      </c>
      <c r="E19" s="45">
        <v>38.4</v>
      </c>
      <c r="F19" s="59">
        <f>SUM(E19/10)</f>
        <v>3.84</v>
      </c>
      <c r="G19" s="59">
        <v>170.16</v>
      </c>
      <c r="H19" s="60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1" t="s">
        <v>88</v>
      </c>
      <c r="C20" s="102" t="s">
        <v>93</v>
      </c>
      <c r="D20" s="101" t="s">
        <v>180</v>
      </c>
      <c r="E20" s="123">
        <v>43.2</v>
      </c>
      <c r="F20" s="112">
        <f>SUM(E20*12/100)</f>
        <v>5.1840000000000011</v>
      </c>
      <c r="G20" s="112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1" t="s">
        <v>89</v>
      </c>
      <c r="C21" s="102" t="s">
        <v>93</v>
      </c>
      <c r="D21" s="101" t="s">
        <v>178</v>
      </c>
      <c r="E21" s="123">
        <v>10.08</v>
      </c>
      <c r="F21" s="112">
        <f>SUM(E21*12/100)</f>
        <v>1.2096</v>
      </c>
      <c r="G21" s="112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57" t="s">
        <v>98</v>
      </c>
      <c r="C22" s="58" t="s">
        <v>50</v>
      </c>
      <c r="D22" s="57" t="s">
        <v>97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57" t="s">
        <v>99</v>
      </c>
      <c r="C23" s="58" t="s">
        <v>50</v>
      </c>
      <c r="D23" s="57" t="s">
        <v>97</v>
      </c>
      <c r="E23" s="53">
        <v>70.56</v>
      </c>
      <c r="F23" s="59">
        <f>SUM(E23/100)</f>
        <v>0.7056</v>
      </c>
      <c r="G23" s="59">
        <v>44.29</v>
      </c>
      <c r="H23" s="60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57" t="s">
        <v>92</v>
      </c>
      <c r="C24" s="58" t="s">
        <v>50</v>
      </c>
      <c r="D24" s="57" t="s">
        <v>97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hidden="1" customHeight="1">
      <c r="A25" s="29">
        <v>5</v>
      </c>
      <c r="B25" s="101" t="s">
        <v>162</v>
      </c>
      <c r="C25" s="102" t="s">
        <v>32</v>
      </c>
      <c r="D25" s="101" t="s">
        <v>181</v>
      </c>
      <c r="E25" s="126">
        <v>0.2</v>
      </c>
      <c r="F25" s="112">
        <f>E25*155</f>
        <v>31</v>
      </c>
      <c r="G25" s="112">
        <v>370.77</v>
      </c>
      <c r="H25" s="60">
        <f t="shared" si="0"/>
        <v>11.493869999999999</v>
      </c>
      <c r="I25" s="13">
        <f>F25/12*G25</f>
        <v>957.82249999999999</v>
      </c>
      <c r="J25" s="23"/>
    </row>
    <row r="26" spans="1:13" ht="15.75" customHeight="1">
      <c r="A26" s="213" t="s">
        <v>78</v>
      </c>
      <c r="B26" s="213"/>
      <c r="C26" s="213"/>
      <c r="D26" s="213"/>
      <c r="E26" s="213"/>
      <c r="F26" s="213"/>
      <c r="G26" s="213"/>
      <c r="H26" s="213"/>
      <c r="I26" s="213"/>
      <c r="J26" s="22"/>
      <c r="K26" s="8"/>
      <c r="L26" s="8"/>
      <c r="M26" s="8"/>
    </row>
    <row r="27" spans="1:13" ht="15.75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customHeight="1">
      <c r="A28" s="29">
        <v>5</v>
      </c>
      <c r="B28" s="101" t="s">
        <v>100</v>
      </c>
      <c r="C28" s="102" t="s">
        <v>101</v>
      </c>
      <c r="D28" s="101" t="s">
        <v>179</v>
      </c>
      <c r="E28" s="112">
        <v>360.3</v>
      </c>
      <c r="F28" s="112">
        <f>SUM(E28*24/1000)</f>
        <v>8.6472000000000016</v>
      </c>
      <c r="G28" s="112">
        <v>223.46</v>
      </c>
      <c r="H28" s="60">
        <f t="shared" ref="H28:H32" si="2">SUM(F28*G28/1000)</f>
        <v>1.9323033120000004</v>
      </c>
      <c r="I28" s="13">
        <f>F28/6*G28</f>
        <v>322.0505520000001</v>
      </c>
      <c r="J28" s="22"/>
      <c r="K28" s="8"/>
      <c r="L28" s="8"/>
      <c r="M28" s="8"/>
    </row>
    <row r="29" spans="1:13" ht="31.5" customHeight="1">
      <c r="A29" s="29">
        <v>6</v>
      </c>
      <c r="B29" s="101" t="s">
        <v>126</v>
      </c>
      <c r="C29" s="102" t="s">
        <v>101</v>
      </c>
      <c r="D29" s="101" t="s">
        <v>179</v>
      </c>
      <c r="E29" s="112">
        <v>202.36</v>
      </c>
      <c r="F29" s="112">
        <f>SUM(E29*24/1000)</f>
        <v>4.8566400000000005</v>
      </c>
      <c r="G29" s="112">
        <v>370.77</v>
      </c>
      <c r="H29" s="60">
        <f t="shared" si="2"/>
        <v>1.8006964128000003</v>
      </c>
      <c r="I29" s="13">
        <f t="shared" ref="I29:I32" si="3">F29/6*G29</f>
        <v>300.11606879999999</v>
      </c>
      <c r="J29" s="22"/>
      <c r="K29" s="8"/>
      <c r="L29" s="8"/>
      <c r="M29" s="8"/>
    </row>
    <row r="30" spans="1:13" ht="15.75" hidden="1" customHeight="1">
      <c r="A30" s="29">
        <v>14</v>
      </c>
      <c r="B30" s="101" t="s">
        <v>130</v>
      </c>
      <c r="C30" s="102" t="s">
        <v>101</v>
      </c>
      <c r="D30" s="101" t="s">
        <v>82</v>
      </c>
      <c r="E30" s="123">
        <v>143.20000000000002</v>
      </c>
      <c r="F30" s="112">
        <v>0</v>
      </c>
      <c r="G30" s="112">
        <v>293.27999999999997</v>
      </c>
      <c r="H30" s="60">
        <f t="shared" si="2"/>
        <v>0</v>
      </c>
      <c r="I30" s="13">
        <f>F30*G30</f>
        <v>0</v>
      </c>
      <c r="J30" s="22"/>
      <c r="K30" s="8"/>
      <c r="L30" s="8"/>
      <c r="M30" s="8"/>
    </row>
    <row r="31" spans="1:13" ht="15.75" hidden="1" customHeight="1">
      <c r="A31" s="29">
        <v>10</v>
      </c>
      <c r="B31" s="101" t="s">
        <v>27</v>
      </c>
      <c r="C31" s="102" t="s">
        <v>101</v>
      </c>
      <c r="D31" s="101" t="s">
        <v>51</v>
      </c>
      <c r="E31" s="112">
        <v>360.3</v>
      </c>
      <c r="F31" s="112">
        <f>SUM(E31/1000)</f>
        <v>0.36030000000000001</v>
      </c>
      <c r="G31" s="112">
        <v>4329.78</v>
      </c>
      <c r="H31" s="60">
        <f t="shared" si="2"/>
        <v>1.5600197339999999</v>
      </c>
      <c r="I31" s="13">
        <f t="shared" si="3"/>
        <v>260.003289</v>
      </c>
      <c r="J31" s="22"/>
      <c r="K31" s="8"/>
      <c r="L31" s="8"/>
      <c r="M31" s="8"/>
    </row>
    <row r="32" spans="1:13" ht="15.75" customHeight="1">
      <c r="A32" s="29">
        <v>7</v>
      </c>
      <c r="B32" s="101" t="s">
        <v>104</v>
      </c>
      <c r="C32" s="102" t="s">
        <v>38</v>
      </c>
      <c r="D32" s="101" t="s">
        <v>185</v>
      </c>
      <c r="E32" s="112">
        <v>6</v>
      </c>
      <c r="F32" s="112">
        <f>SUM(E32*48/100)</f>
        <v>2.88</v>
      </c>
      <c r="G32" s="112">
        <v>1866.51</v>
      </c>
      <c r="H32" s="60">
        <f t="shared" si="2"/>
        <v>5.3755487999999998</v>
      </c>
      <c r="I32" s="13">
        <f t="shared" si="3"/>
        <v>895.9248</v>
      </c>
      <c r="J32" s="22"/>
      <c r="K32" s="8"/>
    </row>
    <row r="33" spans="1:14" ht="15.75" hidden="1" customHeight="1">
      <c r="A33" s="29"/>
      <c r="B33" s="57" t="s">
        <v>61</v>
      </c>
      <c r="C33" s="58" t="s">
        <v>32</v>
      </c>
      <c r="D33" s="57" t="s">
        <v>63</v>
      </c>
      <c r="E33" s="45"/>
      <c r="F33" s="59">
        <v>4</v>
      </c>
      <c r="G33" s="59">
        <v>191.32</v>
      </c>
      <c r="H33" s="60">
        <f t="shared" ref="H33:H34" si="4">SUM(F33*G33/1000)</f>
        <v>0.76527999999999996</v>
      </c>
      <c r="I33" s="13">
        <v>0</v>
      </c>
      <c r="J33" s="23"/>
    </row>
    <row r="34" spans="1:14" ht="15.75" hidden="1" customHeight="1">
      <c r="A34" s="29"/>
      <c r="B34" s="57" t="s">
        <v>62</v>
      </c>
      <c r="C34" s="58" t="s">
        <v>31</v>
      </c>
      <c r="D34" s="57" t="s">
        <v>63</v>
      </c>
      <c r="E34" s="45"/>
      <c r="F34" s="59">
        <v>3</v>
      </c>
      <c r="G34" s="59">
        <v>1136.33</v>
      </c>
      <c r="H34" s="60">
        <f t="shared" si="4"/>
        <v>3.4089899999999997</v>
      </c>
      <c r="I34" s="13">
        <v>0</v>
      </c>
      <c r="J34" s="23"/>
    </row>
    <row r="35" spans="1:14" ht="15.75" hidden="1" customHeight="1">
      <c r="A35" s="29"/>
      <c r="B35" s="76" t="s">
        <v>5</v>
      </c>
      <c r="C35" s="58"/>
      <c r="D35" s="57"/>
      <c r="E35" s="45"/>
      <c r="F35" s="59"/>
      <c r="G35" s="59"/>
      <c r="H35" s="60" t="s">
        <v>118</v>
      </c>
      <c r="I35" s="13"/>
      <c r="J35" s="23"/>
    </row>
    <row r="36" spans="1:14" ht="15.75" hidden="1" customHeight="1">
      <c r="A36" s="29">
        <v>8</v>
      </c>
      <c r="B36" s="57" t="s">
        <v>26</v>
      </c>
      <c r="C36" s="58" t="s">
        <v>31</v>
      </c>
      <c r="D36" s="57"/>
      <c r="E36" s="45"/>
      <c r="F36" s="59">
        <v>20</v>
      </c>
      <c r="G36" s="59">
        <v>1527.22</v>
      </c>
      <c r="H36" s="60">
        <f t="shared" ref="H36:H42" si="5">SUM(F36*G36/1000)</f>
        <v>30.544400000000003</v>
      </c>
      <c r="I36" s="13">
        <f>F36/6*G36</f>
        <v>5090.7333333333336</v>
      </c>
      <c r="J36" s="23"/>
    </row>
    <row r="37" spans="1:14" ht="15.75" hidden="1" customHeight="1">
      <c r="A37" s="29">
        <v>9</v>
      </c>
      <c r="B37" s="57" t="s">
        <v>64</v>
      </c>
      <c r="C37" s="58" t="s">
        <v>29</v>
      </c>
      <c r="D37" s="57" t="s">
        <v>131</v>
      </c>
      <c r="E37" s="59">
        <v>632.4</v>
      </c>
      <c r="F37" s="59">
        <f>SUM(E37*50/1000)</f>
        <v>31.62</v>
      </c>
      <c r="G37" s="59">
        <v>2102.71</v>
      </c>
      <c r="H37" s="60">
        <f t="shared" si="5"/>
        <v>66.487690200000003</v>
      </c>
      <c r="I37" s="13">
        <f>F37/6*G37</f>
        <v>11081.281700000001</v>
      </c>
      <c r="J37" s="23"/>
      <c r="L37" s="19"/>
      <c r="M37" s="20"/>
      <c r="N37" s="21"/>
    </row>
    <row r="38" spans="1:14" ht="15.75" hidden="1" customHeight="1">
      <c r="A38" s="29"/>
      <c r="B38" s="57" t="s">
        <v>86</v>
      </c>
      <c r="C38" s="58" t="s">
        <v>106</v>
      </c>
      <c r="D38" s="57" t="s">
        <v>63</v>
      </c>
      <c r="E38" s="45"/>
      <c r="F38" s="59">
        <v>30</v>
      </c>
      <c r="G38" s="59">
        <v>213.2</v>
      </c>
      <c r="H38" s="60">
        <f t="shared" si="5"/>
        <v>6.3959999999999999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57" t="s">
        <v>65</v>
      </c>
      <c r="C39" s="58" t="s">
        <v>29</v>
      </c>
      <c r="D39" s="57" t="s">
        <v>107</v>
      </c>
      <c r="E39" s="59">
        <v>106</v>
      </c>
      <c r="F39" s="59">
        <f>SUM(E39*155/1000)</f>
        <v>16.43</v>
      </c>
      <c r="G39" s="59">
        <v>350.75</v>
      </c>
      <c r="H39" s="60">
        <f t="shared" si="5"/>
        <v>5.7628225000000004</v>
      </c>
      <c r="I39" s="13">
        <f>F39/6*G39</f>
        <v>960.47041666666667</v>
      </c>
      <c r="J39" s="23"/>
      <c r="L39" s="19"/>
      <c r="M39" s="20"/>
      <c r="N39" s="21"/>
    </row>
    <row r="40" spans="1:14" ht="47.25" hidden="1" customHeight="1">
      <c r="A40" s="29">
        <v>11</v>
      </c>
      <c r="B40" s="57" t="s">
        <v>76</v>
      </c>
      <c r="C40" s="58" t="s">
        <v>101</v>
      </c>
      <c r="D40" s="57" t="s">
        <v>132</v>
      </c>
      <c r="E40" s="59">
        <v>106</v>
      </c>
      <c r="F40" s="59">
        <f>SUM(E40*70/1000)</f>
        <v>7.42</v>
      </c>
      <c r="G40" s="59">
        <v>5803.28</v>
      </c>
      <c r="H40" s="60">
        <f t="shared" si="5"/>
        <v>43.060337599999997</v>
      </c>
      <c r="I40" s="13">
        <f>F40/6*G40</f>
        <v>7176.7229333333325</v>
      </c>
      <c r="J40" s="23"/>
      <c r="L40" s="19"/>
      <c r="M40" s="20"/>
      <c r="N40" s="21"/>
    </row>
    <row r="41" spans="1:14" ht="15.75" hidden="1" customHeight="1">
      <c r="A41" s="29">
        <v>12</v>
      </c>
      <c r="B41" s="57" t="s">
        <v>108</v>
      </c>
      <c r="C41" s="58" t="s">
        <v>101</v>
      </c>
      <c r="D41" s="57" t="s">
        <v>66</v>
      </c>
      <c r="E41" s="59">
        <v>106</v>
      </c>
      <c r="F41" s="59">
        <f>SUM(E41*45/1000)</f>
        <v>4.7699999999999996</v>
      </c>
      <c r="G41" s="59">
        <v>428.7</v>
      </c>
      <c r="H41" s="60">
        <f t="shared" si="5"/>
        <v>2.0448989999999996</v>
      </c>
      <c r="I41" s="13">
        <f>F41/6*G41</f>
        <v>340.81649999999996</v>
      </c>
      <c r="J41" s="23"/>
      <c r="L41" s="19"/>
      <c r="M41" s="20"/>
      <c r="N41" s="21"/>
    </row>
    <row r="42" spans="1:14" ht="15.75" hidden="1" customHeight="1">
      <c r="A42" s="29">
        <v>13</v>
      </c>
      <c r="B42" s="57" t="s">
        <v>67</v>
      </c>
      <c r="C42" s="58" t="s">
        <v>32</v>
      </c>
      <c r="D42" s="57"/>
      <c r="E42" s="45"/>
      <c r="F42" s="59">
        <v>0.9</v>
      </c>
      <c r="G42" s="59">
        <v>798</v>
      </c>
      <c r="H42" s="60">
        <f t="shared" si="5"/>
        <v>0.71820000000000006</v>
      </c>
      <c r="I42" s="13">
        <f>F42/6*G42</f>
        <v>119.69999999999999</v>
      </c>
      <c r="J42" s="23"/>
      <c r="L42" s="19"/>
      <c r="M42" s="20"/>
      <c r="N42" s="21"/>
    </row>
    <row r="43" spans="1:14" ht="33.75" hidden="1" customHeight="1">
      <c r="A43" s="178">
        <v>9</v>
      </c>
      <c r="B43" s="101" t="s">
        <v>164</v>
      </c>
      <c r="C43" s="102" t="s">
        <v>29</v>
      </c>
      <c r="D43" s="101" t="s">
        <v>178</v>
      </c>
      <c r="E43" s="123">
        <v>3.6</v>
      </c>
      <c r="F43" s="112">
        <f>E43*12/1000</f>
        <v>4.3200000000000002E-2</v>
      </c>
      <c r="G43" s="112">
        <v>19757.060000000001</v>
      </c>
      <c r="H43" s="179"/>
      <c r="I43" s="180">
        <f>G43*3.6/1000</f>
        <v>71.125416000000016</v>
      </c>
      <c r="J43" s="23"/>
      <c r="L43" s="19"/>
      <c r="M43" s="20"/>
      <c r="N43" s="21"/>
    </row>
    <row r="44" spans="1:14" ht="15.75" hidden="1" customHeight="1">
      <c r="A44" s="214" t="s">
        <v>121</v>
      </c>
      <c r="B44" s="215"/>
      <c r="C44" s="215"/>
      <c r="D44" s="215"/>
      <c r="E44" s="215"/>
      <c r="F44" s="215"/>
      <c r="G44" s="215"/>
      <c r="H44" s="215"/>
      <c r="I44" s="216"/>
      <c r="J44" s="23"/>
      <c r="L44" s="19"/>
      <c r="M44" s="20"/>
      <c r="N44" s="21"/>
    </row>
    <row r="45" spans="1:14" ht="15.75" hidden="1" customHeight="1">
      <c r="A45" s="29">
        <v>12</v>
      </c>
      <c r="B45" s="57" t="s">
        <v>133</v>
      </c>
      <c r="C45" s="58" t="s">
        <v>101</v>
      </c>
      <c r="D45" s="57" t="s">
        <v>40</v>
      </c>
      <c r="E45" s="45">
        <v>1150.5999999999999</v>
      </c>
      <c r="F45" s="59">
        <f>SUM(E45*2/1000)</f>
        <v>2.3011999999999997</v>
      </c>
      <c r="G45" s="13">
        <v>849.49</v>
      </c>
      <c r="H45" s="60">
        <f t="shared" ref="H45:H53" si="6">SUM(F45*G45/1000)</f>
        <v>1.9548463879999998</v>
      </c>
      <c r="I45" s="13">
        <f t="shared" ref="I45:I47" si="7">F45/2*G45</f>
        <v>977.42319399999985</v>
      </c>
      <c r="J45" s="23"/>
      <c r="L45" s="19"/>
      <c r="M45" s="20"/>
      <c r="N45" s="21"/>
    </row>
    <row r="46" spans="1:14" ht="15.75" hidden="1" customHeight="1">
      <c r="A46" s="29">
        <v>13</v>
      </c>
      <c r="B46" s="57" t="s">
        <v>33</v>
      </c>
      <c r="C46" s="58" t="s">
        <v>101</v>
      </c>
      <c r="D46" s="57" t="s">
        <v>40</v>
      </c>
      <c r="E46" s="45">
        <v>108.96</v>
      </c>
      <c r="F46" s="59">
        <f>SUM(E46*2/1000)</f>
        <v>0.21791999999999997</v>
      </c>
      <c r="G46" s="13">
        <v>579.48</v>
      </c>
      <c r="H46" s="60">
        <f t="shared" si="6"/>
        <v>0.12628028159999999</v>
      </c>
      <c r="I46" s="13">
        <f t="shared" si="7"/>
        <v>63.140140799999998</v>
      </c>
      <c r="J46" s="23"/>
      <c r="L46" s="19"/>
      <c r="M46" s="20"/>
      <c r="N46" s="21"/>
    </row>
    <row r="47" spans="1:14" ht="15.75" hidden="1" customHeight="1">
      <c r="A47" s="29">
        <v>14</v>
      </c>
      <c r="B47" s="57" t="s">
        <v>34</v>
      </c>
      <c r="C47" s="58" t="s">
        <v>101</v>
      </c>
      <c r="D47" s="57" t="s">
        <v>40</v>
      </c>
      <c r="E47" s="45">
        <v>4224.3999999999996</v>
      </c>
      <c r="F47" s="59">
        <f>SUM(E47*2/1000)</f>
        <v>8.4487999999999985</v>
      </c>
      <c r="G47" s="13">
        <v>579.48</v>
      </c>
      <c r="H47" s="60">
        <f t="shared" si="6"/>
        <v>4.895910623999999</v>
      </c>
      <c r="I47" s="13">
        <f t="shared" si="7"/>
        <v>2447.9553119999996</v>
      </c>
      <c r="J47" s="23"/>
      <c r="L47" s="19"/>
      <c r="M47" s="20"/>
      <c r="N47" s="21"/>
    </row>
    <row r="48" spans="1:14" ht="15.75" hidden="1" customHeight="1">
      <c r="A48" s="29">
        <v>15</v>
      </c>
      <c r="B48" s="57" t="s">
        <v>35</v>
      </c>
      <c r="C48" s="58" t="s">
        <v>101</v>
      </c>
      <c r="D48" s="57" t="s">
        <v>40</v>
      </c>
      <c r="E48" s="45">
        <v>3059.7</v>
      </c>
      <c r="F48" s="59">
        <f>SUM(E48*2/1000)</f>
        <v>6.1193999999999997</v>
      </c>
      <c r="G48" s="13">
        <v>606.77</v>
      </c>
      <c r="H48" s="60">
        <f t="shared" si="6"/>
        <v>3.7130683379999998</v>
      </c>
      <c r="I48" s="13">
        <f>F48/2*G48</f>
        <v>1856.5341689999998</v>
      </c>
      <c r="J48" s="23"/>
      <c r="L48" s="19"/>
      <c r="M48" s="20"/>
      <c r="N48" s="21"/>
    </row>
    <row r="49" spans="1:22" ht="15.75" hidden="1" customHeight="1">
      <c r="A49" s="29">
        <v>16</v>
      </c>
      <c r="B49" s="57" t="s">
        <v>53</v>
      </c>
      <c r="C49" s="58" t="s">
        <v>101</v>
      </c>
      <c r="D49" s="57" t="s">
        <v>127</v>
      </c>
      <c r="E49" s="45">
        <v>1150.5999999999999</v>
      </c>
      <c r="F49" s="59">
        <f>SUM(E49*5/1000)</f>
        <v>5.7530000000000001</v>
      </c>
      <c r="G49" s="13">
        <v>1213.55</v>
      </c>
      <c r="H49" s="60">
        <f t="shared" si="6"/>
        <v>6.9815531499999999</v>
      </c>
      <c r="I49" s="13">
        <f>F49/5*G49</f>
        <v>1396.3106299999999</v>
      </c>
      <c r="J49" s="23"/>
      <c r="L49" s="19"/>
      <c r="M49" s="20"/>
      <c r="N49" s="21"/>
    </row>
    <row r="50" spans="1:22" ht="31.5" hidden="1" customHeight="1">
      <c r="A50" s="29">
        <v>12</v>
      </c>
      <c r="B50" s="57" t="s">
        <v>109</v>
      </c>
      <c r="C50" s="58" t="s">
        <v>101</v>
      </c>
      <c r="D50" s="57" t="s">
        <v>40</v>
      </c>
      <c r="E50" s="45">
        <v>1150.5999999999999</v>
      </c>
      <c r="F50" s="59">
        <f>SUM(E50*2/1000)</f>
        <v>2.3011999999999997</v>
      </c>
      <c r="G50" s="13">
        <v>1213.55</v>
      </c>
      <c r="H50" s="60">
        <f t="shared" si="6"/>
        <v>2.7926212599999993</v>
      </c>
      <c r="I50" s="13">
        <f>F50/2*G50</f>
        <v>1396.3106299999997</v>
      </c>
      <c r="J50" s="23"/>
      <c r="L50" s="19"/>
      <c r="M50" s="20"/>
      <c r="N50" s="21"/>
    </row>
    <row r="51" spans="1:22" ht="31.5" hidden="1" customHeight="1">
      <c r="A51" s="29">
        <v>13</v>
      </c>
      <c r="B51" s="57" t="s">
        <v>110</v>
      </c>
      <c r="C51" s="58" t="s">
        <v>36</v>
      </c>
      <c r="D51" s="57" t="s">
        <v>40</v>
      </c>
      <c r="E51" s="45">
        <v>30</v>
      </c>
      <c r="F51" s="59">
        <f>SUM(E51*2/100)</f>
        <v>0.6</v>
      </c>
      <c r="G51" s="13">
        <v>2730.49</v>
      </c>
      <c r="H51" s="60">
        <f t="shared" si="6"/>
        <v>1.6382939999999999</v>
      </c>
      <c r="I51" s="13">
        <f>F51/2*G51</f>
        <v>819.14699999999993</v>
      </c>
      <c r="J51" s="23"/>
      <c r="L51" s="19"/>
      <c r="M51" s="20"/>
      <c r="N51" s="21"/>
    </row>
    <row r="52" spans="1:22" ht="15.75" hidden="1" customHeight="1">
      <c r="A52" s="29">
        <v>14</v>
      </c>
      <c r="B52" s="57" t="s">
        <v>37</v>
      </c>
      <c r="C52" s="58" t="s">
        <v>38</v>
      </c>
      <c r="D52" s="57" t="s">
        <v>40</v>
      </c>
      <c r="E52" s="45">
        <v>1</v>
      </c>
      <c r="F52" s="59">
        <v>0.02</v>
      </c>
      <c r="G52" s="13">
        <v>5652.13</v>
      </c>
      <c r="H52" s="60">
        <f t="shared" si="6"/>
        <v>0.11304260000000001</v>
      </c>
      <c r="I52" s="13">
        <f>F52/2*G52</f>
        <v>56.521300000000004</v>
      </c>
      <c r="J52" s="23"/>
      <c r="L52" s="19"/>
      <c r="M52" s="20"/>
      <c r="N52" s="21"/>
    </row>
    <row r="53" spans="1:22" ht="15.75" hidden="1" customHeight="1">
      <c r="A53" s="29">
        <v>15</v>
      </c>
      <c r="B53" s="57" t="s">
        <v>39</v>
      </c>
      <c r="C53" s="58" t="s">
        <v>111</v>
      </c>
      <c r="D53" s="57" t="s">
        <v>68</v>
      </c>
      <c r="E53" s="45">
        <v>158</v>
      </c>
      <c r="F53" s="59">
        <f>SUM(E53)*3</f>
        <v>474</v>
      </c>
      <c r="G53" s="13">
        <v>65.67</v>
      </c>
      <c r="H53" s="60">
        <f t="shared" si="6"/>
        <v>31.127580000000002</v>
      </c>
      <c r="I53" s="13">
        <f>E53*G53</f>
        <v>10375.86</v>
      </c>
      <c r="J53" s="23"/>
      <c r="L53" s="19"/>
      <c r="M53" s="20"/>
      <c r="N53" s="21"/>
    </row>
    <row r="54" spans="1:22" ht="15.75" customHeight="1">
      <c r="A54" s="214" t="s">
        <v>144</v>
      </c>
      <c r="B54" s="215"/>
      <c r="C54" s="215"/>
      <c r="D54" s="215"/>
      <c r="E54" s="215"/>
      <c r="F54" s="215"/>
      <c r="G54" s="215"/>
      <c r="H54" s="215"/>
      <c r="I54" s="216"/>
      <c r="J54" s="23"/>
      <c r="L54" s="19"/>
      <c r="M54" s="20"/>
      <c r="N54" s="21"/>
    </row>
    <row r="55" spans="1:22" ht="15.75" hidden="1" customHeight="1">
      <c r="A55" s="29"/>
      <c r="B55" s="76" t="s">
        <v>41</v>
      </c>
      <c r="C55" s="58"/>
      <c r="D55" s="57"/>
      <c r="E55" s="45"/>
      <c r="F55" s="59"/>
      <c r="G55" s="59"/>
      <c r="H55" s="60"/>
      <c r="I55" s="13"/>
      <c r="J55" s="23"/>
      <c r="L55" s="19"/>
      <c r="M55" s="20"/>
      <c r="N55" s="21"/>
    </row>
    <row r="56" spans="1:22" ht="31.5" hidden="1" customHeight="1">
      <c r="A56" s="29">
        <v>16</v>
      </c>
      <c r="B56" s="57" t="s">
        <v>135</v>
      </c>
      <c r="C56" s="58" t="s">
        <v>93</v>
      </c>
      <c r="D56" s="57" t="s">
        <v>136</v>
      </c>
      <c r="E56" s="85">
        <v>6</v>
      </c>
      <c r="F56" s="13">
        <f>E56*8/100</f>
        <v>0.48</v>
      </c>
      <c r="G56" s="59">
        <v>1547.28</v>
      </c>
      <c r="H56" s="60">
        <f>SUM(F56*G56/1000)</f>
        <v>0.74269439999999998</v>
      </c>
      <c r="I56" s="13">
        <f>F56/6*G56</f>
        <v>123.7824</v>
      </c>
      <c r="J56" s="23"/>
      <c r="L56" s="19"/>
      <c r="M56" s="20"/>
      <c r="N56" s="21"/>
    </row>
    <row r="57" spans="1:22" ht="15.75" hidden="1" customHeight="1">
      <c r="A57" s="86"/>
      <c r="B57" s="57" t="s">
        <v>90</v>
      </c>
      <c r="C57" s="58" t="s">
        <v>91</v>
      </c>
      <c r="D57" s="57" t="s">
        <v>40</v>
      </c>
      <c r="E57" s="45">
        <v>6</v>
      </c>
      <c r="F57" s="59">
        <v>12</v>
      </c>
      <c r="G57" s="65">
        <v>180.78</v>
      </c>
      <c r="H57" s="60">
        <f t="shared" ref="H57" si="8">SUM(F57*G57/1000)</f>
        <v>2.1693600000000002</v>
      </c>
      <c r="I57" s="13">
        <v>0</v>
      </c>
      <c r="J57" s="23"/>
      <c r="L57" s="19"/>
      <c r="M57" s="20"/>
      <c r="N57" s="21"/>
    </row>
    <row r="58" spans="1:22" ht="15.75" customHeight="1">
      <c r="A58" s="29"/>
      <c r="B58" s="77" t="s">
        <v>42</v>
      </c>
      <c r="C58" s="66"/>
      <c r="D58" s="67"/>
      <c r="E58" s="68"/>
      <c r="F58" s="70"/>
      <c r="G58" s="13"/>
      <c r="H58" s="71"/>
      <c r="I58" s="13"/>
      <c r="J58" s="23"/>
      <c r="L58" s="19"/>
      <c r="M58" s="20"/>
      <c r="N58" s="21"/>
    </row>
    <row r="59" spans="1:22" ht="15.75" customHeight="1">
      <c r="A59" s="29">
        <v>8</v>
      </c>
      <c r="B59" s="67" t="s">
        <v>87</v>
      </c>
      <c r="C59" s="66" t="s">
        <v>25</v>
      </c>
      <c r="D59" s="67"/>
      <c r="E59" s="68">
        <v>232.6</v>
      </c>
      <c r="F59" s="69">
        <v>2400</v>
      </c>
      <c r="G59" s="87">
        <v>1.4</v>
      </c>
      <c r="H59" s="70">
        <f>G59*F59</f>
        <v>3360</v>
      </c>
      <c r="I59" s="13">
        <f>F59/12*G59</f>
        <v>280</v>
      </c>
      <c r="J59" s="23"/>
      <c r="L59" s="19"/>
    </row>
    <row r="60" spans="1:22" ht="15.75" customHeight="1">
      <c r="A60" s="29"/>
      <c r="B60" s="77" t="s">
        <v>43</v>
      </c>
      <c r="C60" s="66"/>
      <c r="D60" s="67"/>
      <c r="E60" s="68"/>
      <c r="F60" s="69"/>
      <c r="G60" s="69"/>
      <c r="H60" s="70" t="s">
        <v>118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9</v>
      </c>
      <c r="B61" s="152" t="s">
        <v>44</v>
      </c>
      <c r="C61" s="113" t="s">
        <v>111</v>
      </c>
      <c r="D61" s="100" t="s">
        <v>178</v>
      </c>
      <c r="E61" s="17">
        <v>18</v>
      </c>
      <c r="F61" s="112">
        <f>E61*1</f>
        <v>18</v>
      </c>
      <c r="G61" s="98">
        <v>318.82</v>
      </c>
      <c r="H61" s="72">
        <f t="shared" ref="H61:H68" si="9">SUM(F61*G61/1000)</f>
        <v>5.7387600000000001</v>
      </c>
      <c r="I61" s="13">
        <f>G61*1</f>
        <v>318.82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customHeight="1">
      <c r="A62" s="29">
        <v>10</v>
      </c>
      <c r="B62" s="14" t="s">
        <v>45</v>
      </c>
      <c r="C62" s="16" t="s">
        <v>111</v>
      </c>
      <c r="D62" s="14" t="s">
        <v>178</v>
      </c>
      <c r="E62" s="18">
        <v>5</v>
      </c>
      <c r="F62" s="59">
        <v>5</v>
      </c>
      <c r="G62" s="110">
        <v>109.32</v>
      </c>
      <c r="H62" s="72">
        <f t="shared" si="9"/>
        <v>0.54659999999999986</v>
      </c>
      <c r="I62" s="13">
        <f>G62*1</f>
        <v>109.32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46</v>
      </c>
      <c r="C63" s="16" t="s">
        <v>112</v>
      </c>
      <c r="D63" s="14" t="s">
        <v>51</v>
      </c>
      <c r="E63" s="45">
        <v>18281</v>
      </c>
      <c r="F63" s="13">
        <f>SUM(E63/100)</f>
        <v>182.81</v>
      </c>
      <c r="G63" s="13">
        <v>199.77</v>
      </c>
      <c r="H63" s="72">
        <f t="shared" si="9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210"/>
      <c r="S63" s="210"/>
      <c r="T63" s="210"/>
      <c r="U63" s="210"/>
    </row>
    <row r="64" spans="1:22" ht="15.75" hidden="1" customHeight="1">
      <c r="A64" s="29">
        <v>25</v>
      </c>
      <c r="B64" s="14" t="s">
        <v>47</v>
      </c>
      <c r="C64" s="16" t="s">
        <v>113</v>
      </c>
      <c r="D64" s="14"/>
      <c r="E64" s="45">
        <v>18281</v>
      </c>
      <c r="F64" s="13">
        <f>SUM(E64/1000)</f>
        <v>18.280999999999999</v>
      </c>
      <c r="G64" s="13">
        <v>155.57</v>
      </c>
      <c r="H64" s="72">
        <f t="shared" si="9"/>
        <v>2.8439751699999998</v>
      </c>
      <c r="I64" s="13">
        <f t="shared" ref="I64:I67" si="10">F64*G64</f>
        <v>2843.9751699999997</v>
      </c>
    </row>
    <row r="65" spans="1:9" ht="15.75" hidden="1" customHeight="1">
      <c r="A65" s="29">
        <v>26</v>
      </c>
      <c r="B65" s="14" t="s">
        <v>48</v>
      </c>
      <c r="C65" s="16" t="s">
        <v>72</v>
      </c>
      <c r="D65" s="14" t="s">
        <v>51</v>
      </c>
      <c r="E65" s="45">
        <v>2730</v>
      </c>
      <c r="F65" s="13">
        <f>SUM(E65/100)</f>
        <v>27.3</v>
      </c>
      <c r="G65" s="13">
        <v>1953.52</v>
      </c>
      <c r="H65" s="72">
        <f t="shared" si="9"/>
        <v>53.331095999999995</v>
      </c>
      <c r="I65" s="13">
        <f t="shared" si="10"/>
        <v>53331.095999999998</v>
      </c>
    </row>
    <row r="66" spans="1:9" ht="15.75" hidden="1" customHeight="1">
      <c r="A66" s="29">
        <v>27</v>
      </c>
      <c r="B66" s="73" t="s">
        <v>114</v>
      </c>
      <c r="C66" s="16" t="s">
        <v>32</v>
      </c>
      <c r="D66" s="14"/>
      <c r="E66" s="45">
        <v>16.399999999999999</v>
      </c>
      <c r="F66" s="13">
        <f>SUM(E66)</f>
        <v>16.399999999999999</v>
      </c>
      <c r="G66" s="13">
        <v>40.270000000000003</v>
      </c>
      <c r="H66" s="72">
        <f t="shared" si="9"/>
        <v>0.66042800000000002</v>
      </c>
      <c r="I66" s="13">
        <f t="shared" si="10"/>
        <v>660.428</v>
      </c>
    </row>
    <row r="67" spans="1:9" ht="15.75" hidden="1" customHeight="1">
      <c r="A67" s="29">
        <v>28</v>
      </c>
      <c r="B67" s="73" t="s">
        <v>115</v>
      </c>
      <c r="C67" s="16" t="s">
        <v>32</v>
      </c>
      <c r="D67" s="14"/>
      <c r="E67" s="45">
        <v>16.399999999999999</v>
      </c>
      <c r="F67" s="13">
        <f>SUM(E67)</f>
        <v>16.399999999999999</v>
      </c>
      <c r="G67" s="13">
        <v>37.71</v>
      </c>
      <c r="H67" s="72">
        <f t="shared" si="9"/>
        <v>0.61844399999999999</v>
      </c>
      <c r="I67" s="13">
        <f t="shared" si="10"/>
        <v>618.44399999999996</v>
      </c>
    </row>
    <row r="68" spans="1:9" ht="15.75" hidden="1" customHeight="1">
      <c r="A68" s="29">
        <v>19</v>
      </c>
      <c r="B68" s="14" t="s">
        <v>54</v>
      </c>
      <c r="C68" s="16" t="s">
        <v>55</v>
      </c>
      <c r="D68" s="14" t="s">
        <v>51</v>
      </c>
      <c r="E68" s="18">
        <v>7</v>
      </c>
      <c r="F68" s="59">
        <f>SUM(E68)</f>
        <v>7</v>
      </c>
      <c r="G68" s="13">
        <v>46.97</v>
      </c>
      <c r="H68" s="72">
        <f t="shared" si="9"/>
        <v>0.32878999999999997</v>
      </c>
      <c r="I68" s="13">
        <f>G68*7</f>
        <v>328.78999999999996</v>
      </c>
    </row>
    <row r="69" spans="1:9" ht="15.75" hidden="1" customHeight="1">
      <c r="A69" s="29"/>
      <c r="B69" s="84" t="s">
        <v>69</v>
      </c>
      <c r="C69" s="16"/>
      <c r="D69" s="14"/>
      <c r="E69" s="18"/>
      <c r="F69" s="13"/>
      <c r="G69" s="13"/>
      <c r="H69" s="72" t="s">
        <v>118</v>
      </c>
      <c r="I69" s="13"/>
    </row>
    <row r="70" spans="1:9" ht="15.75" hidden="1" customHeight="1">
      <c r="A70" s="29"/>
      <c r="B70" s="14" t="s">
        <v>80</v>
      </c>
      <c r="C70" s="16" t="s">
        <v>30</v>
      </c>
      <c r="D70" s="14"/>
      <c r="E70" s="18">
        <v>1</v>
      </c>
      <c r="F70" s="59">
        <f>SUM(E70)</f>
        <v>1</v>
      </c>
      <c r="G70" s="13">
        <v>337.58</v>
      </c>
      <c r="H70" s="72">
        <f t="shared" ref="H70" si="11">SUM(F70*G70/1000)</f>
        <v>0.33757999999999999</v>
      </c>
      <c r="I70" s="13">
        <v>0</v>
      </c>
    </row>
    <row r="71" spans="1:9" ht="15.75" hidden="1" customHeight="1">
      <c r="A71" s="29"/>
      <c r="B71" s="14" t="s">
        <v>70</v>
      </c>
      <c r="C71" s="16" t="s">
        <v>30</v>
      </c>
      <c r="D71" s="14"/>
      <c r="E71" s="18">
        <v>2</v>
      </c>
      <c r="F71" s="13">
        <v>2</v>
      </c>
      <c r="G71" s="13">
        <v>803.19</v>
      </c>
      <c r="H71" s="72">
        <f>F71*G71/1000</f>
        <v>1.6063800000000001</v>
      </c>
      <c r="I71" s="13">
        <v>0</v>
      </c>
    </row>
    <row r="72" spans="1:9" ht="15.75" hidden="1" customHeight="1">
      <c r="A72" s="29"/>
      <c r="B72" s="74" t="s">
        <v>71</v>
      </c>
      <c r="C72" s="16"/>
      <c r="D72" s="14"/>
      <c r="E72" s="18"/>
      <c r="F72" s="13"/>
      <c r="G72" s="13" t="s">
        <v>118</v>
      </c>
      <c r="H72" s="72" t="s">
        <v>118</v>
      </c>
      <c r="I72" s="13"/>
    </row>
    <row r="73" spans="1:9" ht="15.75" hidden="1" customHeight="1">
      <c r="A73" s="29"/>
      <c r="B73" s="42" t="s">
        <v>119</v>
      </c>
      <c r="C73" s="16" t="s">
        <v>72</v>
      </c>
      <c r="D73" s="14"/>
      <c r="E73" s="18"/>
      <c r="F73" s="13">
        <v>1.35</v>
      </c>
      <c r="G73" s="13">
        <v>2494</v>
      </c>
      <c r="H73" s="72">
        <f t="shared" ref="H73" si="12">SUM(F73*G73/1000)</f>
        <v>3.3669000000000002</v>
      </c>
      <c r="I73" s="13">
        <v>0</v>
      </c>
    </row>
    <row r="74" spans="1:9" ht="15.75" hidden="1" customHeight="1">
      <c r="A74" s="29"/>
      <c r="B74" s="61" t="s">
        <v>116</v>
      </c>
      <c r="C74" s="74"/>
      <c r="D74" s="31"/>
      <c r="E74" s="32"/>
      <c r="F74" s="62"/>
      <c r="G74" s="62"/>
      <c r="H74" s="75">
        <f>SUM(H56:H73)</f>
        <v>3468.8109612700005</v>
      </c>
      <c r="I74" s="62"/>
    </row>
    <row r="75" spans="1:9" ht="15.75" hidden="1" customHeight="1">
      <c r="A75" s="120">
        <v>29</v>
      </c>
      <c r="B75" s="67" t="s">
        <v>117</v>
      </c>
      <c r="C75" s="171"/>
      <c r="D75" s="172"/>
      <c r="E75" s="52"/>
      <c r="F75" s="109">
        <v>1</v>
      </c>
      <c r="G75" s="109">
        <v>17359.8</v>
      </c>
      <c r="H75" s="121">
        <f>G75*F75/1000</f>
        <v>17.3598</v>
      </c>
      <c r="I75" s="109">
        <f>G75</f>
        <v>17359.8</v>
      </c>
    </row>
    <row r="76" spans="1:9" ht="15.75" customHeight="1">
      <c r="A76" s="29"/>
      <c r="B76" s="135" t="s">
        <v>166</v>
      </c>
      <c r="C76" s="113"/>
      <c r="D76" s="100"/>
      <c r="E76" s="17"/>
      <c r="F76" s="98"/>
      <c r="G76" s="98"/>
      <c r="H76" s="75"/>
      <c r="I76" s="62"/>
    </row>
    <row r="77" spans="1:9" ht="28.5" customHeight="1">
      <c r="A77" s="29">
        <v>11</v>
      </c>
      <c r="B77" s="100" t="s">
        <v>167</v>
      </c>
      <c r="C77" s="35" t="s">
        <v>168</v>
      </c>
      <c r="D77" s="100" t="s">
        <v>163</v>
      </c>
      <c r="E77" s="17">
        <v>4224.3999999999996</v>
      </c>
      <c r="F77" s="98">
        <f>E77*12</f>
        <v>50692.799999999996</v>
      </c>
      <c r="G77" s="98">
        <v>2.4900000000000002</v>
      </c>
      <c r="H77" s="75"/>
      <c r="I77" s="13">
        <f>G77*F77/12</f>
        <v>10518.755999999999</v>
      </c>
    </row>
    <row r="78" spans="1:9" ht="18.75" customHeight="1">
      <c r="A78" s="29"/>
      <c r="B78" s="176" t="s">
        <v>69</v>
      </c>
      <c r="C78" s="35"/>
      <c r="D78" s="100"/>
      <c r="E78" s="17"/>
      <c r="F78" s="98"/>
      <c r="G78" s="98"/>
      <c r="H78" s="62"/>
      <c r="I78" s="13"/>
    </row>
    <row r="79" spans="1:9" ht="28.5" customHeight="1">
      <c r="A79" s="29">
        <v>12</v>
      </c>
      <c r="B79" s="95" t="s">
        <v>169</v>
      </c>
      <c r="C79" s="96" t="s">
        <v>111</v>
      </c>
      <c r="D79" s="100" t="s">
        <v>180</v>
      </c>
      <c r="E79" s="17">
        <v>2</v>
      </c>
      <c r="F79" s="98">
        <f>E79*12</f>
        <v>24</v>
      </c>
      <c r="G79" s="98">
        <v>404</v>
      </c>
      <c r="H79" s="72"/>
      <c r="I79" s="13">
        <f>G79*2</f>
        <v>808</v>
      </c>
    </row>
    <row r="80" spans="1:9" ht="15.75" customHeight="1">
      <c r="A80" s="223" t="s">
        <v>145</v>
      </c>
      <c r="B80" s="224"/>
      <c r="C80" s="224"/>
      <c r="D80" s="224"/>
      <c r="E80" s="224"/>
      <c r="F80" s="224"/>
      <c r="G80" s="224"/>
      <c r="H80" s="224"/>
      <c r="I80" s="225"/>
    </row>
    <row r="81" spans="1:9" ht="15.75" customHeight="1">
      <c r="A81" s="29">
        <v>13</v>
      </c>
      <c r="B81" s="100" t="s">
        <v>120</v>
      </c>
      <c r="C81" s="113" t="s">
        <v>52</v>
      </c>
      <c r="D81" s="136"/>
      <c r="E81" s="98">
        <v>4224.3999999999996</v>
      </c>
      <c r="F81" s="98">
        <f>SUM(E81*12)</f>
        <v>50692.799999999996</v>
      </c>
      <c r="G81" s="98">
        <v>3.38</v>
      </c>
      <c r="H81" s="13">
        <f>SUM(F81*G81/1000)</f>
        <v>171.34166399999998</v>
      </c>
      <c r="I81" s="13">
        <f>F81/12*G81</f>
        <v>14278.471999999998</v>
      </c>
    </row>
    <row r="82" spans="1:9" ht="31.5" customHeight="1">
      <c r="A82" s="29">
        <v>14</v>
      </c>
      <c r="B82" s="155" t="s">
        <v>170</v>
      </c>
      <c r="C82" s="138" t="s">
        <v>52</v>
      </c>
      <c r="D82" s="139"/>
      <c r="E82" s="140">
        <f>E81</f>
        <v>4224.3999999999996</v>
      </c>
      <c r="F82" s="141">
        <f>E82*12</f>
        <v>50692.799999999996</v>
      </c>
      <c r="G82" s="141">
        <v>3.05</v>
      </c>
      <c r="H82" s="156">
        <f>F82*G82/1000</f>
        <v>154.61303999999998</v>
      </c>
      <c r="I82" s="157">
        <f>F82/12*G82</f>
        <v>12884.419999999998</v>
      </c>
    </row>
    <row r="83" spans="1:9" ht="15.75" customHeight="1">
      <c r="A83" s="82"/>
      <c r="B83" s="34" t="s">
        <v>74</v>
      </c>
      <c r="C83" s="35"/>
      <c r="D83" s="15"/>
      <c r="E83" s="15"/>
      <c r="F83" s="15"/>
      <c r="G83" s="18"/>
      <c r="H83" s="18"/>
      <c r="I83" s="32">
        <f>I82+I81+I79+I77+I62+I61+I59+I32+I29+I28+I21+I20+I18+I17</f>
        <v>64707.080648799994</v>
      </c>
    </row>
    <row r="84" spans="1:9" ht="15.75" customHeight="1">
      <c r="A84" s="220" t="s">
        <v>57</v>
      </c>
      <c r="B84" s="221"/>
      <c r="C84" s="221"/>
      <c r="D84" s="221"/>
      <c r="E84" s="221"/>
      <c r="F84" s="221"/>
      <c r="G84" s="221"/>
      <c r="H84" s="221"/>
      <c r="I84" s="222"/>
    </row>
    <row r="85" spans="1:9" ht="18.75" customHeight="1">
      <c r="A85" s="29">
        <v>15</v>
      </c>
      <c r="B85" s="95" t="s">
        <v>205</v>
      </c>
      <c r="C85" s="116" t="s">
        <v>157</v>
      </c>
      <c r="D85" s="97" t="s">
        <v>334</v>
      </c>
      <c r="E85" s="98"/>
      <c r="F85" s="98">
        <v>33</v>
      </c>
      <c r="G85" s="98">
        <v>404.52</v>
      </c>
      <c r="H85" s="72"/>
      <c r="I85" s="13">
        <f>G85*19</f>
        <v>7685.8799999999992</v>
      </c>
    </row>
    <row r="86" spans="1:9" ht="18" customHeight="1">
      <c r="A86" s="29">
        <v>16</v>
      </c>
      <c r="B86" s="100" t="s">
        <v>152</v>
      </c>
      <c r="C86" s="113" t="s">
        <v>157</v>
      </c>
      <c r="D86" s="97" t="s">
        <v>335</v>
      </c>
      <c r="E86" s="98"/>
      <c r="F86" s="98">
        <v>70</v>
      </c>
      <c r="G86" s="98">
        <v>295.36</v>
      </c>
      <c r="H86" s="72"/>
      <c r="I86" s="13">
        <v>0</v>
      </c>
    </row>
    <row r="87" spans="1:9" ht="20.25" customHeight="1">
      <c r="A87" s="29">
        <v>17</v>
      </c>
      <c r="B87" s="95" t="s">
        <v>336</v>
      </c>
      <c r="C87" s="96" t="s">
        <v>31</v>
      </c>
      <c r="D87" s="97" t="s">
        <v>339</v>
      </c>
      <c r="E87" s="98"/>
      <c r="F87" s="98">
        <v>2</v>
      </c>
      <c r="G87" s="98">
        <v>2006</v>
      </c>
      <c r="H87" s="72"/>
      <c r="I87" s="13">
        <f>G87*2</f>
        <v>4012</v>
      </c>
    </row>
    <row r="88" spans="1:9" ht="14.25" customHeight="1">
      <c r="A88" s="29">
        <v>18</v>
      </c>
      <c r="B88" s="95" t="s">
        <v>337</v>
      </c>
      <c r="C88" s="96" t="s">
        <v>338</v>
      </c>
      <c r="D88" s="97" t="s">
        <v>303</v>
      </c>
      <c r="E88" s="98"/>
      <c r="F88" s="98">
        <v>1</v>
      </c>
      <c r="G88" s="98">
        <v>660.13</v>
      </c>
      <c r="H88" s="72"/>
      <c r="I88" s="13">
        <f>G88*1</f>
        <v>660.13</v>
      </c>
    </row>
    <row r="89" spans="1:9" ht="14.25" customHeight="1">
      <c r="A89" s="29">
        <v>19</v>
      </c>
      <c r="B89" s="95" t="s">
        <v>37</v>
      </c>
      <c r="C89" s="96" t="s">
        <v>340</v>
      </c>
      <c r="D89" s="97" t="s">
        <v>178</v>
      </c>
      <c r="E89" s="98"/>
      <c r="F89" s="98">
        <v>0.01</v>
      </c>
      <c r="G89" s="98">
        <v>8763.7900000000009</v>
      </c>
      <c r="H89" s="72"/>
      <c r="I89" s="13">
        <v>0</v>
      </c>
    </row>
    <row r="90" spans="1:9" ht="18.75" customHeight="1">
      <c r="A90" s="29">
        <v>20</v>
      </c>
      <c r="B90" s="95" t="s">
        <v>269</v>
      </c>
      <c r="C90" s="96" t="s">
        <v>111</v>
      </c>
      <c r="D90" s="97" t="s">
        <v>342</v>
      </c>
      <c r="E90" s="98"/>
      <c r="F90" s="98">
        <v>2</v>
      </c>
      <c r="G90" s="98">
        <v>50</v>
      </c>
      <c r="H90" s="72"/>
      <c r="I90" s="13">
        <f>G90*1</f>
        <v>50</v>
      </c>
    </row>
    <row r="91" spans="1:9" ht="18.75" customHeight="1">
      <c r="A91" s="29">
        <v>21</v>
      </c>
      <c r="B91" s="95" t="s">
        <v>341</v>
      </c>
      <c r="C91" s="96" t="s">
        <v>111</v>
      </c>
      <c r="D91" s="97" t="s">
        <v>342</v>
      </c>
      <c r="E91" s="98"/>
      <c r="F91" s="98">
        <v>1</v>
      </c>
      <c r="G91" s="98">
        <v>25</v>
      </c>
      <c r="H91" s="72"/>
      <c r="I91" s="13">
        <f>G91*1</f>
        <v>25</v>
      </c>
    </row>
    <row r="92" spans="1:9" ht="15.75" customHeight="1">
      <c r="A92" s="29"/>
      <c r="B92" s="40" t="s">
        <v>49</v>
      </c>
      <c r="C92" s="36"/>
      <c r="D92" s="43"/>
      <c r="E92" s="36">
        <v>1</v>
      </c>
      <c r="F92" s="36"/>
      <c r="G92" s="36"/>
      <c r="H92" s="36"/>
      <c r="I92" s="32">
        <f>SUM(I85:I91)</f>
        <v>12433.009999999998</v>
      </c>
    </row>
    <row r="93" spans="1:9" ht="15.75" customHeight="1">
      <c r="A93" s="29"/>
      <c r="B93" s="42" t="s">
        <v>73</v>
      </c>
      <c r="C93" s="15"/>
      <c r="D93" s="15"/>
      <c r="E93" s="37"/>
      <c r="F93" s="37"/>
      <c r="G93" s="38"/>
      <c r="H93" s="38"/>
      <c r="I93" s="17">
        <v>0</v>
      </c>
    </row>
    <row r="94" spans="1:9" ht="15.75" customHeight="1">
      <c r="A94" s="44"/>
      <c r="B94" s="41" t="s">
        <v>129</v>
      </c>
      <c r="C94" s="33"/>
      <c r="D94" s="33"/>
      <c r="E94" s="33"/>
      <c r="F94" s="33"/>
      <c r="G94" s="33"/>
      <c r="H94" s="33"/>
      <c r="I94" s="39">
        <f>I83+I92</f>
        <v>77140.090648799989</v>
      </c>
    </row>
    <row r="95" spans="1:9" ht="15.75" customHeight="1">
      <c r="A95" s="217" t="s">
        <v>343</v>
      </c>
      <c r="B95" s="217"/>
      <c r="C95" s="217"/>
      <c r="D95" s="217"/>
      <c r="E95" s="217"/>
      <c r="F95" s="217"/>
      <c r="G95" s="217"/>
      <c r="H95" s="217"/>
      <c r="I95" s="217"/>
    </row>
    <row r="96" spans="1:9" ht="15.75" customHeight="1">
      <c r="A96" s="51"/>
      <c r="B96" s="218" t="s">
        <v>344</v>
      </c>
      <c r="C96" s="218"/>
      <c r="D96" s="218"/>
      <c r="E96" s="218"/>
      <c r="F96" s="218"/>
      <c r="G96" s="218"/>
      <c r="H96" s="56"/>
      <c r="I96" s="3"/>
    </row>
    <row r="97" spans="1:9" ht="15.75" customHeight="1">
      <c r="A97" s="80"/>
      <c r="B97" s="208" t="s">
        <v>6</v>
      </c>
      <c r="C97" s="208"/>
      <c r="D97" s="208"/>
      <c r="E97" s="208"/>
      <c r="F97" s="208"/>
      <c r="G97" s="208"/>
      <c r="H97" s="24"/>
      <c r="I97" s="5"/>
    </row>
    <row r="98" spans="1:9" ht="15.75" customHeight="1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 customHeight="1">
      <c r="A99" s="219" t="s">
        <v>7</v>
      </c>
      <c r="B99" s="219"/>
      <c r="C99" s="219"/>
      <c r="D99" s="219"/>
      <c r="E99" s="219"/>
      <c r="F99" s="219"/>
      <c r="G99" s="219"/>
      <c r="H99" s="219"/>
      <c r="I99" s="219"/>
    </row>
    <row r="100" spans="1:9" ht="15.75" customHeight="1">
      <c r="A100" s="219" t="s">
        <v>8</v>
      </c>
      <c r="B100" s="219"/>
      <c r="C100" s="219"/>
      <c r="D100" s="219"/>
      <c r="E100" s="219"/>
      <c r="F100" s="219"/>
      <c r="G100" s="219"/>
      <c r="H100" s="219"/>
      <c r="I100" s="219"/>
    </row>
    <row r="101" spans="1:9" ht="15.75" customHeight="1">
      <c r="A101" s="212" t="s">
        <v>58</v>
      </c>
      <c r="B101" s="212"/>
      <c r="C101" s="212"/>
      <c r="D101" s="212"/>
      <c r="E101" s="212"/>
      <c r="F101" s="212"/>
      <c r="G101" s="212"/>
      <c r="H101" s="212"/>
      <c r="I101" s="212"/>
    </row>
    <row r="102" spans="1:9" ht="15.75" customHeight="1">
      <c r="A102" s="11"/>
    </row>
    <row r="103" spans="1:9" ht="15.75" customHeight="1">
      <c r="A103" s="206" t="s">
        <v>9</v>
      </c>
      <c r="B103" s="206"/>
      <c r="C103" s="206"/>
      <c r="D103" s="206"/>
      <c r="E103" s="206"/>
      <c r="F103" s="206"/>
      <c r="G103" s="206"/>
      <c r="H103" s="206"/>
      <c r="I103" s="206"/>
    </row>
    <row r="104" spans="1:9" ht="15.75" customHeight="1">
      <c r="A104" s="4"/>
    </row>
    <row r="105" spans="1:9" ht="15.75" customHeight="1">
      <c r="B105" s="81" t="s">
        <v>10</v>
      </c>
      <c r="C105" s="207" t="s">
        <v>217</v>
      </c>
      <c r="D105" s="207"/>
      <c r="E105" s="207"/>
      <c r="F105" s="54"/>
      <c r="I105" s="79"/>
    </row>
    <row r="106" spans="1:9" ht="15.75" customHeight="1">
      <c r="A106" s="80"/>
      <c r="C106" s="208" t="s">
        <v>11</v>
      </c>
      <c r="D106" s="208"/>
      <c r="E106" s="208"/>
      <c r="F106" s="24"/>
      <c r="I106" s="78" t="s">
        <v>12</v>
      </c>
    </row>
    <row r="107" spans="1:9" ht="15.75" customHeight="1">
      <c r="A107" s="25"/>
      <c r="C107" s="12"/>
      <c r="D107" s="12"/>
      <c r="G107" s="12"/>
      <c r="H107" s="12"/>
    </row>
    <row r="108" spans="1:9" ht="15.75" customHeight="1">
      <c r="B108" s="81" t="s">
        <v>13</v>
      </c>
      <c r="C108" s="209"/>
      <c r="D108" s="209"/>
      <c r="E108" s="209"/>
      <c r="F108" s="55"/>
      <c r="I108" s="79"/>
    </row>
    <row r="109" spans="1:9" ht="15.75" customHeight="1">
      <c r="A109" s="80"/>
      <c r="C109" s="210" t="s">
        <v>11</v>
      </c>
      <c r="D109" s="210"/>
      <c r="E109" s="210"/>
      <c r="F109" s="80"/>
      <c r="I109" s="78" t="s">
        <v>12</v>
      </c>
    </row>
    <row r="110" spans="1:9" ht="15.75" customHeight="1">
      <c r="A110" s="4" t="s">
        <v>14</v>
      </c>
    </row>
    <row r="111" spans="1:9" ht="15.75" customHeight="1">
      <c r="A111" s="211" t="s">
        <v>15</v>
      </c>
      <c r="B111" s="211"/>
      <c r="C111" s="211"/>
      <c r="D111" s="211"/>
      <c r="E111" s="211"/>
      <c r="F111" s="211"/>
      <c r="G111" s="211"/>
      <c r="H111" s="211"/>
      <c r="I111" s="211"/>
    </row>
    <row r="112" spans="1:9" ht="45" customHeight="1">
      <c r="A112" s="205" t="s">
        <v>16</v>
      </c>
      <c r="B112" s="205"/>
      <c r="C112" s="205"/>
      <c r="D112" s="205"/>
      <c r="E112" s="205"/>
      <c r="F112" s="205"/>
      <c r="G112" s="205"/>
      <c r="H112" s="205"/>
      <c r="I112" s="205"/>
    </row>
    <row r="113" spans="1:9" ht="30" customHeight="1">
      <c r="A113" s="205" t="s">
        <v>17</v>
      </c>
      <c r="B113" s="205"/>
      <c r="C113" s="205"/>
      <c r="D113" s="205"/>
      <c r="E113" s="205"/>
      <c r="F113" s="205"/>
      <c r="G113" s="205"/>
      <c r="H113" s="205"/>
      <c r="I113" s="205"/>
    </row>
    <row r="114" spans="1:9" ht="30" customHeight="1">
      <c r="A114" s="205" t="s">
        <v>21</v>
      </c>
      <c r="B114" s="205"/>
      <c r="C114" s="205"/>
      <c r="D114" s="205"/>
      <c r="E114" s="205"/>
      <c r="F114" s="205"/>
      <c r="G114" s="205"/>
      <c r="H114" s="205"/>
      <c r="I114" s="205"/>
    </row>
    <row r="115" spans="1:9" ht="15" customHeight="1">
      <c r="A115" s="205" t="s">
        <v>20</v>
      </c>
      <c r="B115" s="205"/>
      <c r="C115" s="205"/>
      <c r="D115" s="205"/>
      <c r="E115" s="205"/>
      <c r="F115" s="205"/>
      <c r="G115" s="205"/>
      <c r="H115" s="205"/>
      <c r="I115" s="205"/>
    </row>
  </sheetData>
  <autoFilter ref="I12:I59"/>
  <mergeCells count="29">
    <mergeCell ref="A14:I14"/>
    <mergeCell ref="A15:I15"/>
    <mergeCell ref="A26:I26"/>
    <mergeCell ref="A44:I44"/>
    <mergeCell ref="A54:I54"/>
    <mergeCell ref="A3:I3"/>
    <mergeCell ref="A4:I4"/>
    <mergeCell ref="A5:I5"/>
    <mergeCell ref="A8:I8"/>
    <mergeCell ref="A10:I10"/>
    <mergeCell ref="R63:U63"/>
    <mergeCell ref="C109:E109"/>
    <mergeCell ref="A84:I84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0:I80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4"/>
  <sheetViews>
    <sheetView topLeftCell="A65" zoomScaleNormal="100" workbookViewId="0">
      <selection activeCell="I96" sqref="I96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9.5703125" hidden="1" customWidth="1"/>
    <col min="7" max="7" width="22.5703125" customWidth="1"/>
    <col min="8" max="8" width="13.8554687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150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345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89"/>
      <c r="C6" s="89"/>
      <c r="D6" s="89"/>
      <c r="E6" s="89"/>
      <c r="F6" s="89"/>
      <c r="G6" s="89"/>
      <c r="H6" s="89"/>
      <c r="I6" s="30">
        <v>44530</v>
      </c>
      <c r="J6" s="2"/>
      <c r="K6" s="2"/>
      <c r="L6" s="2"/>
      <c r="M6" s="2"/>
    </row>
    <row r="7" spans="1:13" ht="15.75" customHeight="1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218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15.75" customHeight="1">
      <c r="A16" s="29">
        <v>1</v>
      </c>
      <c r="B16" s="101" t="s">
        <v>158</v>
      </c>
      <c r="C16" s="102" t="s">
        <v>93</v>
      </c>
      <c r="D16" s="101" t="s">
        <v>179</v>
      </c>
      <c r="E16" s="123">
        <v>591.70000000000005</v>
      </c>
      <c r="F16" s="112">
        <f>SUM(E16*24/100)</f>
        <v>142.00800000000001</v>
      </c>
      <c r="G16" s="112">
        <v>322.51</v>
      </c>
      <c r="H16" s="60">
        <f t="shared" ref="H16:H26" si="0">SUM(F16*G16/1000)</f>
        <v>45.799000080000006</v>
      </c>
      <c r="I16" s="13">
        <f>G16*F16/6</f>
        <v>7633.1666800000012</v>
      </c>
      <c r="J16" s="8"/>
      <c r="K16" s="8"/>
      <c r="L16" s="8"/>
      <c r="M16" s="8"/>
    </row>
    <row r="17" spans="1:13" ht="15.75" hidden="1" customHeight="1">
      <c r="A17" s="29">
        <v>2</v>
      </c>
      <c r="B17" s="57" t="s">
        <v>84</v>
      </c>
      <c r="C17" s="58" t="s">
        <v>93</v>
      </c>
      <c r="D17" s="57" t="s">
        <v>125</v>
      </c>
      <c r="E17" s="45">
        <v>473.36</v>
      </c>
      <c r="F17" s="59">
        <f>SUM(E17*104/100)</f>
        <v>492.2944</v>
      </c>
      <c r="G17" s="59">
        <v>175.38</v>
      </c>
      <c r="H17" s="60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2</v>
      </c>
      <c r="B18" s="101" t="s">
        <v>85</v>
      </c>
      <c r="C18" s="102" t="s">
        <v>93</v>
      </c>
      <c r="D18" s="101" t="s">
        <v>178</v>
      </c>
      <c r="E18" s="123">
        <v>591.70000000000005</v>
      </c>
      <c r="F18" s="112">
        <f>SUM(E18*18/100)</f>
        <v>106.506</v>
      </c>
      <c r="G18" s="112">
        <v>723.23</v>
      </c>
      <c r="H18" s="60">
        <f t="shared" ref="H18:H25" si="1">SUM(F18*G18/1000)</f>
        <v>77.028334380000004</v>
      </c>
      <c r="I18" s="13">
        <f>F18/18*1*G18</f>
        <v>4279.3519100000003</v>
      </c>
      <c r="J18" s="22"/>
      <c r="K18" s="8"/>
      <c r="L18" s="8"/>
      <c r="M18" s="8"/>
    </row>
    <row r="19" spans="1:13" ht="15.75" hidden="1" customHeight="1">
      <c r="A19" s="29">
        <v>4</v>
      </c>
      <c r="B19" s="101" t="s">
        <v>95</v>
      </c>
      <c r="C19" s="102" t="s">
        <v>96</v>
      </c>
      <c r="D19" s="101" t="s">
        <v>97</v>
      </c>
      <c r="E19" s="45">
        <v>38.4</v>
      </c>
      <c r="F19" s="59">
        <f>SUM(E19/10)</f>
        <v>3.84</v>
      </c>
      <c r="G19" s="59">
        <v>170.16</v>
      </c>
      <c r="H19" s="60">
        <f t="shared" si="1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1" t="s">
        <v>88</v>
      </c>
      <c r="C20" s="102" t="s">
        <v>93</v>
      </c>
      <c r="D20" s="101" t="s">
        <v>180</v>
      </c>
      <c r="E20" s="123">
        <v>43.2</v>
      </c>
      <c r="F20" s="112">
        <f>SUM(E20*12/100)</f>
        <v>5.1840000000000011</v>
      </c>
      <c r="G20" s="112">
        <v>312.35000000000002</v>
      </c>
      <c r="H20" s="60">
        <f t="shared" si="1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1" t="s">
        <v>89</v>
      </c>
      <c r="C21" s="102" t="s">
        <v>93</v>
      </c>
      <c r="D21" s="101" t="s">
        <v>178</v>
      </c>
      <c r="E21" s="123">
        <v>10.08</v>
      </c>
      <c r="F21" s="112">
        <f>SUM(E21*12/100)</f>
        <v>1.2096</v>
      </c>
      <c r="G21" s="112">
        <v>309.81</v>
      </c>
      <c r="H21" s="60">
        <f t="shared" si="1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57" t="s">
        <v>98</v>
      </c>
      <c r="C22" s="58" t="s">
        <v>50</v>
      </c>
      <c r="D22" s="57" t="s">
        <v>97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1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57" t="s">
        <v>99</v>
      </c>
      <c r="C23" s="58" t="s">
        <v>50</v>
      </c>
      <c r="D23" s="57" t="s">
        <v>97</v>
      </c>
      <c r="E23" s="53">
        <v>70.56</v>
      </c>
      <c r="F23" s="59">
        <f>SUM(E23/100)</f>
        <v>0.7056</v>
      </c>
      <c r="G23" s="59">
        <v>44.29</v>
      </c>
      <c r="H23" s="60">
        <f t="shared" si="1"/>
        <v>3.1251024000000002E-2</v>
      </c>
      <c r="I23" s="13">
        <f t="shared" ref="I23:I24" si="2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57" t="s">
        <v>92</v>
      </c>
      <c r="C24" s="58" t="s">
        <v>50</v>
      </c>
      <c r="D24" s="57" t="s">
        <v>97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1"/>
        <v>0.14696975999999998</v>
      </c>
      <c r="I24" s="13">
        <f t="shared" si="2"/>
        <v>146.96975999999998</v>
      </c>
      <c r="J24" s="22"/>
      <c r="K24" s="8"/>
      <c r="L24" s="8"/>
      <c r="M24" s="8"/>
    </row>
    <row r="25" spans="1:13" ht="15.75" hidden="1" customHeight="1">
      <c r="A25" s="29">
        <v>5</v>
      </c>
      <c r="B25" s="101" t="s">
        <v>162</v>
      </c>
      <c r="C25" s="102" t="s">
        <v>32</v>
      </c>
      <c r="D25" s="101" t="s">
        <v>181</v>
      </c>
      <c r="E25" s="126">
        <v>0.2</v>
      </c>
      <c r="F25" s="112">
        <f>E25*155</f>
        <v>31</v>
      </c>
      <c r="G25" s="112">
        <v>370.77</v>
      </c>
      <c r="H25" s="60">
        <f t="shared" si="1"/>
        <v>11.493869999999999</v>
      </c>
      <c r="I25" s="13">
        <f>F25/12*G25</f>
        <v>957.82249999999999</v>
      </c>
      <c r="J25" s="23"/>
    </row>
    <row r="26" spans="1:13" ht="15.75" hidden="1" customHeight="1">
      <c r="A26" s="29">
        <v>7</v>
      </c>
      <c r="B26" s="64" t="s">
        <v>23</v>
      </c>
      <c r="C26" s="58" t="s">
        <v>24</v>
      </c>
      <c r="D26" s="57" t="s">
        <v>149</v>
      </c>
      <c r="E26" s="45">
        <v>4224.3999999999996</v>
      </c>
      <c r="F26" s="59">
        <f>SUM(E26*12)</f>
        <v>50692.799999999996</v>
      </c>
      <c r="G26" s="59">
        <v>4.59</v>
      </c>
      <c r="H26" s="60">
        <f t="shared" si="0"/>
        <v>232.67995199999996</v>
      </c>
      <c r="I26" s="13">
        <f>F26/12*G26</f>
        <v>19389.995999999999</v>
      </c>
      <c r="J26" s="23"/>
    </row>
    <row r="27" spans="1:13" ht="15.75" customHeight="1">
      <c r="A27" s="213" t="s">
        <v>78</v>
      </c>
      <c r="B27" s="213"/>
      <c r="C27" s="213"/>
      <c r="D27" s="213"/>
      <c r="E27" s="213"/>
      <c r="F27" s="213"/>
      <c r="G27" s="213"/>
      <c r="H27" s="213"/>
      <c r="I27" s="213"/>
      <c r="J27" s="22"/>
      <c r="K27" s="8"/>
      <c r="L27" s="8"/>
      <c r="M27" s="8"/>
    </row>
    <row r="28" spans="1:13" ht="15.75" hidden="1" customHeight="1">
      <c r="A28" s="29"/>
      <c r="B28" s="76" t="s">
        <v>28</v>
      </c>
      <c r="C28" s="58"/>
      <c r="D28" s="57"/>
      <c r="E28" s="45"/>
      <c r="F28" s="59"/>
      <c r="G28" s="59"/>
      <c r="H28" s="60"/>
      <c r="I28" s="13"/>
      <c r="J28" s="22"/>
      <c r="K28" s="8"/>
      <c r="L28" s="8"/>
      <c r="M28" s="8"/>
    </row>
    <row r="29" spans="1:13" ht="15.75" hidden="1" customHeight="1">
      <c r="A29" s="29">
        <v>8</v>
      </c>
      <c r="B29" s="57" t="s">
        <v>100</v>
      </c>
      <c r="C29" s="58" t="s">
        <v>101</v>
      </c>
      <c r="D29" s="57" t="s">
        <v>102</v>
      </c>
      <c r="E29" s="59">
        <v>1414.6</v>
      </c>
      <c r="F29" s="59">
        <f>SUM(E29*52/1000)</f>
        <v>73.559200000000004</v>
      </c>
      <c r="G29" s="59">
        <v>155.88999999999999</v>
      </c>
      <c r="H29" s="60">
        <f t="shared" ref="H29:H35" si="3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hidden="1" customHeight="1">
      <c r="A30" s="29">
        <v>9</v>
      </c>
      <c r="B30" s="57" t="s">
        <v>126</v>
      </c>
      <c r="C30" s="58" t="s">
        <v>101</v>
      </c>
      <c r="D30" s="57" t="s">
        <v>103</v>
      </c>
      <c r="E30" s="59">
        <v>632.4</v>
      </c>
      <c r="F30" s="59">
        <f>SUM(E30*78/1000)</f>
        <v>49.327199999999998</v>
      </c>
      <c r="G30" s="59">
        <v>258.63</v>
      </c>
      <c r="H30" s="60">
        <f t="shared" si="3"/>
        <v>12.757493735999999</v>
      </c>
      <c r="I30" s="13">
        <f t="shared" ref="I30:I33" si="4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57" t="s">
        <v>27</v>
      </c>
      <c r="C31" s="58" t="s">
        <v>101</v>
      </c>
      <c r="D31" s="57" t="s">
        <v>51</v>
      </c>
      <c r="E31" s="59">
        <v>1414.6</v>
      </c>
      <c r="F31" s="59">
        <f>SUM(E31/1000)</f>
        <v>1.4145999999999999</v>
      </c>
      <c r="G31" s="59">
        <v>3020.33</v>
      </c>
      <c r="H31" s="60">
        <f t="shared" si="3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hidden="1" customHeight="1">
      <c r="A32" s="29">
        <v>10</v>
      </c>
      <c r="B32" s="57" t="s">
        <v>104</v>
      </c>
      <c r="C32" s="58" t="s">
        <v>38</v>
      </c>
      <c r="D32" s="57" t="s">
        <v>60</v>
      </c>
      <c r="E32" s="59">
        <v>6</v>
      </c>
      <c r="F32" s="59">
        <f>SUM(E32*155/100)</f>
        <v>9.3000000000000007</v>
      </c>
      <c r="G32" s="59">
        <v>1302.02</v>
      </c>
      <c r="H32" s="60">
        <f t="shared" si="3"/>
        <v>12.108786</v>
      </c>
      <c r="I32" s="13">
        <f t="shared" si="4"/>
        <v>2018.1310000000001</v>
      </c>
      <c r="J32" s="22"/>
      <c r="K32" s="8"/>
      <c r="L32" s="8"/>
      <c r="M32" s="8"/>
    </row>
    <row r="33" spans="1:14" ht="15.75" hidden="1" customHeight="1">
      <c r="A33" s="29">
        <v>11</v>
      </c>
      <c r="B33" s="57" t="s">
        <v>105</v>
      </c>
      <c r="C33" s="58" t="s">
        <v>30</v>
      </c>
      <c r="D33" s="57" t="s">
        <v>60</v>
      </c>
      <c r="E33" s="63">
        <v>0.33333333333333331</v>
      </c>
      <c r="F33" s="59">
        <f>155/3</f>
        <v>51.666666666666664</v>
      </c>
      <c r="G33" s="59">
        <v>56.69</v>
      </c>
      <c r="H33" s="60">
        <f t="shared" si="3"/>
        <v>2.9289833333333331</v>
      </c>
      <c r="I33" s="13">
        <f t="shared" si="4"/>
        <v>488.16388888888883</v>
      </c>
      <c r="J33" s="22"/>
      <c r="K33" s="8"/>
    </row>
    <row r="34" spans="1:14" ht="15.75" hidden="1" customHeight="1">
      <c r="A34" s="29"/>
      <c r="B34" s="57" t="s">
        <v>61</v>
      </c>
      <c r="C34" s="58" t="s">
        <v>32</v>
      </c>
      <c r="D34" s="57" t="s">
        <v>63</v>
      </c>
      <c r="E34" s="45"/>
      <c r="F34" s="59">
        <v>4</v>
      </c>
      <c r="G34" s="59">
        <v>191.32</v>
      </c>
      <c r="H34" s="60">
        <f t="shared" si="3"/>
        <v>0.76527999999999996</v>
      </c>
      <c r="I34" s="13">
        <v>0</v>
      </c>
      <c r="J34" s="23"/>
    </row>
    <row r="35" spans="1:14" ht="15.75" hidden="1" customHeight="1">
      <c r="A35" s="29"/>
      <c r="B35" s="57" t="s">
        <v>62</v>
      </c>
      <c r="C35" s="58" t="s">
        <v>31</v>
      </c>
      <c r="D35" s="57" t="s">
        <v>63</v>
      </c>
      <c r="E35" s="45"/>
      <c r="F35" s="59">
        <v>3</v>
      </c>
      <c r="G35" s="59">
        <v>1136.33</v>
      </c>
      <c r="H35" s="60">
        <f t="shared" si="3"/>
        <v>3.4089899999999997</v>
      </c>
      <c r="I35" s="13">
        <v>0</v>
      </c>
      <c r="J35" s="23"/>
    </row>
    <row r="36" spans="1:14" ht="15.75" customHeight="1">
      <c r="A36" s="29"/>
      <c r="B36" s="76" t="s">
        <v>5</v>
      </c>
      <c r="C36" s="58"/>
      <c r="D36" s="57"/>
      <c r="E36" s="45"/>
      <c r="F36" s="59"/>
      <c r="G36" s="59"/>
      <c r="H36" s="60" t="s">
        <v>118</v>
      </c>
      <c r="I36" s="13"/>
      <c r="J36" s="23"/>
    </row>
    <row r="37" spans="1:14" ht="15.75" customHeight="1">
      <c r="A37" s="29">
        <v>5</v>
      </c>
      <c r="B37" s="127" t="s">
        <v>26</v>
      </c>
      <c r="C37" s="102" t="s">
        <v>31</v>
      </c>
      <c r="D37" s="101" t="s">
        <v>349</v>
      </c>
      <c r="E37" s="123"/>
      <c r="F37" s="112">
        <v>6</v>
      </c>
      <c r="G37" s="112">
        <v>1855</v>
      </c>
      <c r="H37" s="182">
        <f t="shared" ref="H37:H41" si="5">SUM(F37*G37/1000)</f>
        <v>11.13</v>
      </c>
      <c r="I37" s="13">
        <f>G37*0.5</f>
        <v>927.5</v>
      </c>
      <c r="J37" s="23"/>
    </row>
    <row r="38" spans="1:14" ht="15.75" customHeight="1">
      <c r="A38" s="29">
        <v>6</v>
      </c>
      <c r="B38" s="127" t="s">
        <v>64</v>
      </c>
      <c r="C38" s="128" t="s">
        <v>29</v>
      </c>
      <c r="D38" s="127" t="s">
        <v>179</v>
      </c>
      <c r="E38" s="129">
        <v>202.36</v>
      </c>
      <c r="F38" s="129">
        <f>SUM(E38*24/1000)</f>
        <v>4.8566400000000005</v>
      </c>
      <c r="G38" s="129">
        <v>4525.34</v>
      </c>
      <c r="H38" s="182">
        <f t="shared" si="5"/>
        <v>21.977947257600004</v>
      </c>
      <c r="I38" s="13">
        <f>F38/6*G38</f>
        <v>3662.9912096000003</v>
      </c>
      <c r="J38" s="23"/>
      <c r="L38" s="19"/>
      <c r="M38" s="20"/>
      <c r="N38" s="21"/>
    </row>
    <row r="39" spans="1:14" ht="15.75" hidden="1" customHeight="1">
      <c r="A39" s="29"/>
      <c r="B39" s="127" t="s">
        <v>64</v>
      </c>
      <c r="C39" s="128" t="s">
        <v>29</v>
      </c>
      <c r="D39" s="127" t="s">
        <v>195</v>
      </c>
      <c r="E39" s="129">
        <v>202.36</v>
      </c>
      <c r="F39" s="129">
        <f>SUM(E39*24/1000)</f>
        <v>4.8566400000000005</v>
      </c>
      <c r="G39" s="129">
        <v>4525.34</v>
      </c>
      <c r="H39" s="182">
        <f t="shared" si="5"/>
        <v>21.977947257600004</v>
      </c>
      <c r="I39" s="13">
        <f>0</f>
        <v>0</v>
      </c>
      <c r="J39" s="23"/>
      <c r="L39" s="19"/>
      <c r="M39" s="20"/>
      <c r="N39" s="21"/>
    </row>
    <row r="40" spans="1:14" ht="17.25" hidden="1" customHeight="1">
      <c r="A40" s="29">
        <v>10</v>
      </c>
      <c r="B40" s="101" t="s">
        <v>86</v>
      </c>
      <c r="C40" s="102" t="s">
        <v>106</v>
      </c>
      <c r="D40" s="101" t="s">
        <v>163</v>
      </c>
      <c r="E40" s="123"/>
      <c r="F40" s="129">
        <v>26</v>
      </c>
      <c r="G40" s="112">
        <v>330</v>
      </c>
      <c r="H40" s="182">
        <f t="shared" si="5"/>
        <v>8.58</v>
      </c>
      <c r="I40" s="13">
        <f>F40/6*G40</f>
        <v>1430</v>
      </c>
      <c r="J40" s="23"/>
      <c r="L40" s="19"/>
      <c r="M40" s="20"/>
      <c r="N40" s="21"/>
    </row>
    <row r="41" spans="1:14" ht="15.75" customHeight="1">
      <c r="A41" s="29">
        <v>7</v>
      </c>
      <c r="B41" s="101" t="s">
        <v>65</v>
      </c>
      <c r="C41" s="102" t="s">
        <v>29</v>
      </c>
      <c r="D41" s="101" t="s">
        <v>181</v>
      </c>
      <c r="E41" s="112">
        <v>202.36</v>
      </c>
      <c r="F41" s="129">
        <f>SUM(E41*78/1000)</f>
        <v>15.784080000000001</v>
      </c>
      <c r="G41" s="112">
        <v>754.23</v>
      </c>
      <c r="H41" s="182">
        <f t="shared" si="5"/>
        <v>11.904826658400001</v>
      </c>
      <c r="I41" s="13">
        <f>F41/6*G41</f>
        <v>1984.1377764000003</v>
      </c>
      <c r="J41" s="23"/>
      <c r="L41" s="19"/>
      <c r="M41" s="20"/>
      <c r="N41" s="21"/>
    </row>
    <row r="42" spans="1:14" ht="15.75" customHeight="1">
      <c r="A42" s="29">
        <v>8</v>
      </c>
      <c r="B42" s="101" t="s">
        <v>76</v>
      </c>
      <c r="C42" s="102" t="s">
        <v>101</v>
      </c>
      <c r="D42" s="101" t="s">
        <v>190</v>
      </c>
      <c r="E42" s="112">
        <v>105.56</v>
      </c>
      <c r="F42" s="129">
        <f>SUM(E42*15/1000)</f>
        <v>1.5834000000000001</v>
      </c>
      <c r="G42" s="112">
        <v>12067.57</v>
      </c>
      <c r="H42" s="60">
        <f t="shared" ref="H42" si="6">SUM(F42*G42/1000)</f>
        <v>19.107790338000001</v>
      </c>
      <c r="I42" s="13">
        <f>F42/6*G42</f>
        <v>3184.6317230000004</v>
      </c>
      <c r="J42" s="23"/>
      <c r="L42" s="19"/>
      <c r="M42" s="20"/>
      <c r="N42" s="21"/>
    </row>
    <row r="43" spans="1:14" ht="15.75" hidden="1" customHeight="1">
      <c r="A43" s="178">
        <v>9</v>
      </c>
      <c r="B43" s="103" t="s">
        <v>108</v>
      </c>
      <c r="C43" s="104" t="s">
        <v>101</v>
      </c>
      <c r="D43" s="103" t="s">
        <v>190</v>
      </c>
      <c r="E43" s="106">
        <v>202.36</v>
      </c>
      <c r="F43" s="133">
        <f>SUM(E43*24/1000)</f>
        <v>4.8566400000000005</v>
      </c>
      <c r="G43" s="106">
        <v>614.55999999999995</v>
      </c>
      <c r="H43" s="179"/>
      <c r="I43" s="181">
        <f>G43*F43/24*2</f>
        <v>248.7247232</v>
      </c>
      <c r="J43" s="23"/>
      <c r="L43" s="19"/>
      <c r="M43" s="20"/>
      <c r="N43" s="21"/>
    </row>
    <row r="44" spans="1:14" ht="15.75" hidden="1" customHeight="1">
      <c r="A44" s="178">
        <v>10</v>
      </c>
      <c r="B44" s="127" t="s">
        <v>67</v>
      </c>
      <c r="C44" s="128" t="s">
        <v>32</v>
      </c>
      <c r="D44" s="127"/>
      <c r="E44" s="183"/>
      <c r="F44" s="129">
        <v>0.9</v>
      </c>
      <c r="G44" s="129">
        <v>800</v>
      </c>
      <c r="H44" s="182">
        <f t="shared" ref="H44:H45" si="7">SUM(F44*G44/1000)</f>
        <v>0.72</v>
      </c>
      <c r="I44" s="13">
        <f>G44*F44/24*2</f>
        <v>60</v>
      </c>
      <c r="J44" s="23"/>
      <c r="L44" s="19"/>
      <c r="M44" s="20"/>
      <c r="N44" s="21"/>
    </row>
    <row r="45" spans="1:14" ht="15.75" hidden="1" customHeight="1">
      <c r="A45" s="178"/>
      <c r="B45" s="101" t="s">
        <v>196</v>
      </c>
      <c r="C45" s="102" t="s">
        <v>101</v>
      </c>
      <c r="D45" s="101"/>
      <c r="E45" s="123"/>
      <c r="F45" s="112"/>
      <c r="G45" s="112">
        <v>1481.29</v>
      </c>
      <c r="H45" s="182">
        <f t="shared" si="7"/>
        <v>0</v>
      </c>
      <c r="I45" s="13"/>
      <c r="J45" s="23"/>
      <c r="L45" s="19"/>
      <c r="M45" s="20"/>
      <c r="N45" s="21"/>
    </row>
    <row r="46" spans="1:14" ht="27.75" customHeight="1">
      <c r="A46" s="178">
        <v>9</v>
      </c>
      <c r="B46" s="101" t="s">
        <v>164</v>
      </c>
      <c r="C46" s="102" t="s">
        <v>29</v>
      </c>
      <c r="D46" s="101" t="s">
        <v>190</v>
      </c>
      <c r="E46" s="123">
        <v>3.6</v>
      </c>
      <c r="F46" s="112">
        <f>E46*12/1000</f>
        <v>4.3200000000000002E-2</v>
      </c>
      <c r="G46" s="112">
        <v>19757.060000000001</v>
      </c>
      <c r="H46" s="182">
        <f>G46*F46/1000</f>
        <v>0.85350499200000018</v>
      </c>
      <c r="I46" s="13">
        <f>G46*F46/6</f>
        <v>142.25083200000003</v>
      </c>
      <c r="J46" s="23"/>
      <c r="L46" s="19"/>
      <c r="M46" s="20"/>
      <c r="N46" s="21"/>
    </row>
    <row r="47" spans="1:14" ht="15.75" hidden="1" customHeight="1">
      <c r="A47" s="214" t="s">
        <v>121</v>
      </c>
      <c r="B47" s="215"/>
      <c r="C47" s="215"/>
      <c r="D47" s="215"/>
      <c r="E47" s="215"/>
      <c r="F47" s="215"/>
      <c r="G47" s="215"/>
      <c r="H47" s="215"/>
      <c r="I47" s="216"/>
      <c r="J47" s="23"/>
      <c r="L47" s="19"/>
      <c r="M47" s="20"/>
      <c r="N47" s="21"/>
    </row>
    <row r="48" spans="1:14" ht="15.75" hidden="1" customHeight="1">
      <c r="A48" s="29">
        <v>12</v>
      </c>
      <c r="B48" s="57" t="s">
        <v>133</v>
      </c>
      <c r="C48" s="58" t="s">
        <v>101</v>
      </c>
      <c r="D48" s="57" t="s">
        <v>40</v>
      </c>
      <c r="E48" s="45">
        <v>1150.5999999999999</v>
      </c>
      <c r="F48" s="59">
        <f>SUM(E48*2/1000)</f>
        <v>2.3011999999999997</v>
      </c>
      <c r="G48" s="13">
        <v>849.49</v>
      </c>
      <c r="H48" s="60">
        <f t="shared" ref="H48:H56" si="8">SUM(F48*G48/1000)</f>
        <v>1.9548463879999998</v>
      </c>
      <c r="I48" s="13">
        <f t="shared" ref="I48:I50" si="9">F48/2*G48</f>
        <v>977.42319399999985</v>
      </c>
      <c r="J48" s="23"/>
      <c r="L48" s="19"/>
      <c r="M48" s="20"/>
      <c r="N48" s="21"/>
    </row>
    <row r="49" spans="1:22" ht="15.75" hidden="1" customHeight="1">
      <c r="A49" s="29">
        <v>13</v>
      </c>
      <c r="B49" s="57" t="s">
        <v>33</v>
      </c>
      <c r="C49" s="58" t="s">
        <v>101</v>
      </c>
      <c r="D49" s="57" t="s">
        <v>40</v>
      </c>
      <c r="E49" s="45">
        <v>108.96</v>
      </c>
      <c r="F49" s="59">
        <f>SUM(E49*2/1000)</f>
        <v>0.21791999999999997</v>
      </c>
      <c r="G49" s="13">
        <v>579.48</v>
      </c>
      <c r="H49" s="60">
        <f t="shared" si="8"/>
        <v>0.12628028159999999</v>
      </c>
      <c r="I49" s="13">
        <f t="shared" si="9"/>
        <v>63.140140799999998</v>
      </c>
      <c r="J49" s="23"/>
      <c r="L49" s="19"/>
      <c r="M49" s="20"/>
      <c r="N49" s="21"/>
    </row>
    <row r="50" spans="1:22" ht="15.75" hidden="1" customHeight="1">
      <c r="A50" s="29">
        <v>14</v>
      </c>
      <c r="B50" s="57" t="s">
        <v>34</v>
      </c>
      <c r="C50" s="58" t="s">
        <v>101</v>
      </c>
      <c r="D50" s="57" t="s">
        <v>40</v>
      </c>
      <c r="E50" s="45">
        <v>4224.3999999999996</v>
      </c>
      <c r="F50" s="59">
        <f>SUM(E50*2/1000)</f>
        <v>8.4487999999999985</v>
      </c>
      <c r="G50" s="13">
        <v>579.48</v>
      </c>
      <c r="H50" s="60">
        <f t="shared" si="8"/>
        <v>4.895910623999999</v>
      </c>
      <c r="I50" s="13">
        <f t="shared" si="9"/>
        <v>2447.9553119999996</v>
      </c>
      <c r="J50" s="23"/>
      <c r="L50" s="19"/>
      <c r="M50" s="20"/>
      <c r="N50" s="21"/>
    </row>
    <row r="51" spans="1:22" ht="15.75" hidden="1" customHeight="1">
      <c r="A51" s="29">
        <v>15</v>
      </c>
      <c r="B51" s="57" t="s">
        <v>35</v>
      </c>
      <c r="C51" s="58" t="s">
        <v>101</v>
      </c>
      <c r="D51" s="57" t="s">
        <v>40</v>
      </c>
      <c r="E51" s="45">
        <v>3059.7</v>
      </c>
      <c r="F51" s="59">
        <f>SUM(E51*2/1000)</f>
        <v>6.1193999999999997</v>
      </c>
      <c r="G51" s="13">
        <v>606.77</v>
      </c>
      <c r="H51" s="60">
        <f t="shared" si="8"/>
        <v>3.7130683379999998</v>
      </c>
      <c r="I51" s="13">
        <f>F51/2*G51</f>
        <v>1856.5341689999998</v>
      </c>
      <c r="J51" s="23"/>
      <c r="L51" s="19"/>
      <c r="M51" s="20"/>
      <c r="N51" s="21"/>
    </row>
    <row r="52" spans="1:22" ht="15.75" hidden="1" customHeight="1">
      <c r="A52" s="29">
        <v>16</v>
      </c>
      <c r="B52" s="57" t="s">
        <v>53</v>
      </c>
      <c r="C52" s="58" t="s">
        <v>101</v>
      </c>
      <c r="D52" s="57" t="s">
        <v>127</v>
      </c>
      <c r="E52" s="45">
        <v>1150.5999999999999</v>
      </c>
      <c r="F52" s="59">
        <f>SUM(E52*5/1000)</f>
        <v>5.7530000000000001</v>
      </c>
      <c r="G52" s="13">
        <v>1213.55</v>
      </c>
      <c r="H52" s="60">
        <f t="shared" si="8"/>
        <v>6.9815531499999999</v>
      </c>
      <c r="I52" s="13">
        <f>F52/5*G52</f>
        <v>1396.3106299999999</v>
      </c>
      <c r="J52" s="23"/>
      <c r="L52" s="19"/>
      <c r="M52" s="20"/>
      <c r="N52" s="21"/>
    </row>
    <row r="53" spans="1:22" ht="31.5" hidden="1" customHeight="1">
      <c r="A53" s="29">
        <v>12</v>
      </c>
      <c r="B53" s="57" t="s">
        <v>109</v>
      </c>
      <c r="C53" s="58" t="s">
        <v>101</v>
      </c>
      <c r="D53" s="57" t="s">
        <v>40</v>
      </c>
      <c r="E53" s="45">
        <v>1150.5999999999999</v>
      </c>
      <c r="F53" s="59">
        <f>SUM(E53*2/1000)</f>
        <v>2.3011999999999997</v>
      </c>
      <c r="G53" s="13">
        <v>1213.55</v>
      </c>
      <c r="H53" s="60">
        <f t="shared" si="8"/>
        <v>2.7926212599999993</v>
      </c>
      <c r="I53" s="13">
        <f>F53/2*G53</f>
        <v>1396.3106299999997</v>
      </c>
      <c r="J53" s="23"/>
      <c r="L53" s="19"/>
      <c r="M53" s="20"/>
      <c r="N53" s="21"/>
    </row>
    <row r="54" spans="1:22" ht="31.5" hidden="1" customHeight="1">
      <c r="A54" s="29">
        <v>13</v>
      </c>
      <c r="B54" s="57" t="s">
        <v>110</v>
      </c>
      <c r="C54" s="58" t="s">
        <v>36</v>
      </c>
      <c r="D54" s="57" t="s">
        <v>40</v>
      </c>
      <c r="E54" s="45">
        <v>30</v>
      </c>
      <c r="F54" s="59">
        <f>SUM(E54*2/100)</f>
        <v>0.6</v>
      </c>
      <c r="G54" s="13">
        <v>2730.49</v>
      </c>
      <c r="H54" s="60">
        <f t="shared" si="8"/>
        <v>1.6382939999999999</v>
      </c>
      <c r="I54" s="13">
        <f>F54/2*G54</f>
        <v>819.14699999999993</v>
      </c>
      <c r="J54" s="23"/>
      <c r="L54" s="19"/>
      <c r="M54" s="20"/>
      <c r="N54" s="21"/>
    </row>
    <row r="55" spans="1:22" ht="15.75" hidden="1" customHeight="1">
      <c r="A55" s="29">
        <v>14</v>
      </c>
      <c r="B55" s="57" t="s">
        <v>37</v>
      </c>
      <c r="C55" s="58" t="s">
        <v>38</v>
      </c>
      <c r="D55" s="57" t="s">
        <v>40</v>
      </c>
      <c r="E55" s="45">
        <v>1</v>
      </c>
      <c r="F55" s="59">
        <v>0.02</v>
      </c>
      <c r="G55" s="13">
        <v>5652.13</v>
      </c>
      <c r="H55" s="60">
        <f t="shared" si="8"/>
        <v>0.11304260000000001</v>
      </c>
      <c r="I55" s="13">
        <f>F55/2*G55</f>
        <v>56.521300000000004</v>
      </c>
      <c r="J55" s="23"/>
      <c r="L55" s="19"/>
      <c r="M55" s="20"/>
      <c r="N55" s="21"/>
    </row>
    <row r="56" spans="1:22" ht="15.75" hidden="1" customHeight="1">
      <c r="A56" s="29">
        <v>12</v>
      </c>
      <c r="B56" s="57" t="s">
        <v>39</v>
      </c>
      <c r="C56" s="58" t="s">
        <v>111</v>
      </c>
      <c r="D56" s="199">
        <v>44148</v>
      </c>
      <c r="E56" s="45">
        <v>158</v>
      </c>
      <c r="F56" s="59">
        <f>SUM(E56)*3</f>
        <v>474</v>
      </c>
      <c r="G56" s="198">
        <v>94.16</v>
      </c>
      <c r="H56" s="60">
        <f t="shared" si="8"/>
        <v>44.631839999999997</v>
      </c>
      <c r="I56" s="13">
        <f>E56*G56</f>
        <v>14877.279999999999</v>
      </c>
      <c r="J56" s="23"/>
      <c r="L56" s="19"/>
      <c r="M56" s="20"/>
      <c r="N56" s="21"/>
    </row>
    <row r="57" spans="1:22" ht="15.75" customHeight="1">
      <c r="A57" s="214" t="s">
        <v>144</v>
      </c>
      <c r="B57" s="215"/>
      <c r="C57" s="215"/>
      <c r="D57" s="215"/>
      <c r="E57" s="215"/>
      <c r="F57" s="215"/>
      <c r="G57" s="215"/>
      <c r="H57" s="215"/>
      <c r="I57" s="216"/>
      <c r="J57" s="23"/>
      <c r="L57" s="19"/>
      <c r="M57" s="20"/>
      <c r="N57" s="21"/>
    </row>
    <row r="58" spans="1:22" ht="15.75" hidden="1" customHeight="1">
      <c r="A58" s="29"/>
      <c r="B58" s="76" t="s">
        <v>41</v>
      </c>
      <c r="C58" s="58"/>
      <c r="D58" s="57"/>
      <c r="E58" s="45"/>
      <c r="F58" s="59"/>
      <c r="G58" s="59"/>
      <c r="H58" s="60"/>
      <c r="I58" s="13"/>
      <c r="J58" s="23"/>
      <c r="L58" s="19"/>
      <c r="M58" s="20"/>
      <c r="N58" s="21"/>
    </row>
    <row r="59" spans="1:22" ht="31.5" hidden="1" customHeight="1">
      <c r="A59" s="29">
        <v>14</v>
      </c>
      <c r="B59" s="57" t="s">
        <v>135</v>
      </c>
      <c r="C59" s="58" t="s">
        <v>93</v>
      </c>
      <c r="D59" s="57" t="s">
        <v>136</v>
      </c>
      <c r="E59" s="85">
        <v>6</v>
      </c>
      <c r="F59" s="13">
        <f>E59*8/100</f>
        <v>0.48</v>
      </c>
      <c r="G59" s="59">
        <v>1547.28</v>
      </c>
      <c r="H59" s="60">
        <f>SUM(F59*G59/1000)</f>
        <v>0.74269439999999998</v>
      </c>
      <c r="I59" s="13">
        <f>F59/6*G59</f>
        <v>123.7824</v>
      </c>
      <c r="J59" s="23"/>
      <c r="L59" s="19"/>
      <c r="M59" s="20"/>
      <c r="N59" s="21"/>
    </row>
    <row r="60" spans="1:22" ht="15.75" hidden="1" customHeight="1">
      <c r="A60" s="86"/>
      <c r="B60" s="57" t="s">
        <v>90</v>
      </c>
      <c r="C60" s="58" t="s">
        <v>91</v>
      </c>
      <c r="D60" s="57" t="s">
        <v>40</v>
      </c>
      <c r="E60" s="45">
        <v>6</v>
      </c>
      <c r="F60" s="59">
        <v>12</v>
      </c>
      <c r="G60" s="65">
        <v>180.78</v>
      </c>
      <c r="H60" s="60">
        <f t="shared" ref="H60" si="10">SUM(F60*G60/1000)</f>
        <v>2.1693600000000002</v>
      </c>
      <c r="I60" s="13">
        <v>0</v>
      </c>
      <c r="J60" s="23"/>
      <c r="L60" s="19"/>
      <c r="M60" s="20"/>
      <c r="N60" s="21"/>
    </row>
    <row r="61" spans="1:22" ht="15.75" hidden="1" customHeight="1">
      <c r="A61" s="175">
        <v>13</v>
      </c>
      <c r="B61" s="103" t="s">
        <v>193</v>
      </c>
      <c r="C61" s="104" t="s">
        <v>194</v>
      </c>
      <c r="D61" s="103" t="s">
        <v>222</v>
      </c>
      <c r="E61" s="105"/>
      <c r="F61" s="108">
        <v>6</v>
      </c>
      <c r="G61" s="98">
        <v>1730</v>
      </c>
      <c r="H61" s="71"/>
      <c r="I61" s="13">
        <f>G61*5</f>
        <v>8650</v>
      </c>
      <c r="J61" s="23"/>
      <c r="L61" s="19"/>
      <c r="M61" s="20"/>
      <c r="N61" s="21"/>
    </row>
    <row r="62" spans="1:22" ht="15.75" customHeight="1">
      <c r="A62" s="29"/>
      <c r="B62" s="77" t="s">
        <v>42</v>
      </c>
      <c r="C62" s="66"/>
      <c r="D62" s="67"/>
      <c r="E62" s="68"/>
      <c r="F62" s="70"/>
      <c r="G62" s="13"/>
      <c r="H62" s="71"/>
      <c r="I62" s="13"/>
      <c r="J62" s="23"/>
      <c r="L62" s="19"/>
      <c r="M62" s="20"/>
      <c r="N62" s="21"/>
    </row>
    <row r="63" spans="1:22" ht="15.75" customHeight="1">
      <c r="A63" s="29">
        <v>10</v>
      </c>
      <c r="B63" s="67" t="s">
        <v>87</v>
      </c>
      <c r="C63" s="66" t="s">
        <v>25</v>
      </c>
      <c r="D63" s="67"/>
      <c r="E63" s="68">
        <v>232.6</v>
      </c>
      <c r="F63" s="69">
        <v>2400</v>
      </c>
      <c r="G63" s="87">
        <v>1.4</v>
      </c>
      <c r="H63" s="70">
        <f>G63*F63</f>
        <v>3360</v>
      </c>
      <c r="I63" s="13">
        <f>F63/12*G63</f>
        <v>280</v>
      </c>
      <c r="J63" s="23"/>
      <c r="L63" s="19"/>
    </row>
    <row r="64" spans="1:22" ht="15.75" customHeight="1">
      <c r="A64" s="29"/>
      <c r="B64" s="77" t="s">
        <v>43</v>
      </c>
      <c r="C64" s="66"/>
      <c r="D64" s="67"/>
      <c r="E64" s="68"/>
      <c r="F64" s="69"/>
      <c r="G64" s="69"/>
      <c r="H64" s="70" t="s">
        <v>118</v>
      </c>
      <c r="I64" s="1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9"/>
    </row>
    <row r="65" spans="1:21" ht="15.75" customHeight="1">
      <c r="A65" s="29">
        <v>11</v>
      </c>
      <c r="B65" s="152" t="s">
        <v>44</v>
      </c>
      <c r="C65" s="113" t="s">
        <v>111</v>
      </c>
      <c r="D65" s="100" t="s">
        <v>178</v>
      </c>
      <c r="E65" s="17">
        <v>18</v>
      </c>
      <c r="F65" s="112">
        <f>E65*1</f>
        <v>18</v>
      </c>
      <c r="G65" s="98">
        <v>318.82</v>
      </c>
      <c r="H65" s="72">
        <f t="shared" ref="H65:H72" si="11">SUM(F65*G65/1000)</f>
        <v>5.7387600000000001</v>
      </c>
      <c r="I65" s="13">
        <f>G65*1</f>
        <v>318.82</v>
      </c>
      <c r="J65" s="25"/>
      <c r="K65" s="25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>
      <c r="A66" s="29">
        <v>12</v>
      </c>
      <c r="B66" s="14" t="s">
        <v>45</v>
      </c>
      <c r="C66" s="16" t="s">
        <v>111</v>
      </c>
      <c r="D66" s="14" t="s">
        <v>178</v>
      </c>
      <c r="E66" s="18">
        <v>5</v>
      </c>
      <c r="F66" s="59">
        <v>5</v>
      </c>
      <c r="G66" s="110">
        <v>109.32</v>
      </c>
      <c r="H66" s="72">
        <f t="shared" si="11"/>
        <v>0.54659999999999986</v>
      </c>
      <c r="I66" s="13">
        <f>G66*1</f>
        <v>109.32</v>
      </c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</row>
    <row r="67" spans="1:21" ht="15.75" hidden="1" customHeight="1">
      <c r="A67" s="29">
        <v>24</v>
      </c>
      <c r="B67" s="14" t="s">
        <v>46</v>
      </c>
      <c r="C67" s="16" t="s">
        <v>112</v>
      </c>
      <c r="D67" s="14" t="s">
        <v>51</v>
      </c>
      <c r="E67" s="45">
        <v>18281</v>
      </c>
      <c r="F67" s="13">
        <f>SUM(E67/100)</f>
        <v>182.81</v>
      </c>
      <c r="G67" s="13">
        <v>199.77</v>
      </c>
      <c r="H67" s="72">
        <f t="shared" si="11"/>
        <v>36.519953700000002</v>
      </c>
      <c r="I67" s="13">
        <f>F67*G67</f>
        <v>36519.953700000005</v>
      </c>
      <c r="J67" s="5"/>
      <c r="K67" s="5"/>
      <c r="L67" s="5"/>
      <c r="M67" s="5"/>
      <c r="N67" s="5"/>
      <c r="O67" s="5"/>
      <c r="P67" s="5"/>
      <c r="Q67" s="5"/>
      <c r="R67" s="210"/>
      <c r="S67" s="210"/>
      <c r="T67" s="210"/>
      <c r="U67" s="210"/>
    </row>
    <row r="68" spans="1:21" ht="15.75" hidden="1" customHeight="1">
      <c r="A68" s="29">
        <v>25</v>
      </c>
      <c r="B68" s="14" t="s">
        <v>47</v>
      </c>
      <c r="C68" s="16" t="s">
        <v>113</v>
      </c>
      <c r="D68" s="14"/>
      <c r="E68" s="45">
        <v>18281</v>
      </c>
      <c r="F68" s="13">
        <f>SUM(E68/1000)</f>
        <v>18.280999999999999</v>
      </c>
      <c r="G68" s="13">
        <v>155.57</v>
      </c>
      <c r="H68" s="72">
        <f t="shared" si="11"/>
        <v>2.8439751699999998</v>
      </c>
      <c r="I68" s="13">
        <f t="shared" ref="I68:I71" si="12">F68*G68</f>
        <v>2843.9751699999997</v>
      </c>
    </row>
    <row r="69" spans="1:21" ht="15.75" hidden="1" customHeight="1">
      <c r="A69" s="29">
        <v>26</v>
      </c>
      <c r="B69" s="14" t="s">
        <v>48</v>
      </c>
      <c r="C69" s="16" t="s">
        <v>72</v>
      </c>
      <c r="D69" s="14" t="s">
        <v>51</v>
      </c>
      <c r="E69" s="45">
        <v>2730</v>
      </c>
      <c r="F69" s="13">
        <f>SUM(E69/100)</f>
        <v>27.3</v>
      </c>
      <c r="G69" s="13">
        <v>1953.52</v>
      </c>
      <c r="H69" s="72">
        <f t="shared" si="11"/>
        <v>53.331095999999995</v>
      </c>
      <c r="I69" s="13">
        <f t="shared" si="12"/>
        <v>53331.095999999998</v>
      </c>
    </row>
    <row r="70" spans="1:21" ht="15.75" hidden="1" customHeight="1">
      <c r="A70" s="29">
        <v>27</v>
      </c>
      <c r="B70" s="73" t="s">
        <v>114</v>
      </c>
      <c r="C70" s="16" t="s">
        <v>32</v>
      </c>
      <c r="D70" s="14"/>
      <c r="E70" s="45">
        <v>16.399999999999999</v>
      </c>
      <c r="F70" s="13">
        <f>SUM(E70)</f>
        <v>16.399999999999999</v>
      </c>
      <c r="G70" s="13">
        <v>40.270000000000003</v>
      </c>
      <c r="H70" s="72">
        <f t="shared" si="11"/>
        <v>0.66042800000000002</v>
      </c>
      <c r="I70" s="13">
        <f t="shared" si="12"/>
        <v>660.428</v>
      </c>
    </row>
    <row r="71" spans="1:21" ht="15.75" hidden="1" customHeight="1">
      <c r="A71" s="29">
        <v>28</v>
      </c>
      <c r="B71" s="73" t="s">
        <v>115</v>
      </c>
      <c r="C71" s="16" t="s">
        <v>32</v>
      </c>
      <c r="D71" s="14"/>
      <c r="E71" s="45">
        <v>16.399999999999999</v>
      </c>
      <c r="F71" s="13">
        <f>SUM(E71)</f>
        <v>16.399999999999999</v>
      </c>
      <c r="G71" s="13">
        <v>37.71</v>
      </c>
      <c r="H71" s="72">
        <f t="shared" si="11"/>
        <v>0.61844399999999999</v>
      </c>
      <c r="I71" s="13">
        <f t="shared" si="12"/>
        <v>618.44399999999996</v>
      </c>
    </row>
    <row r="72" spans="1:21" ht="15.75" hidden="1" customHeight="1">
      <c r="A72" s="29">
        <v>19</v>
      </c>
      <c r="B72" s="14" t="s">
        <v>54</v>
      </c>
      <c r="C72" s="16" t="s">
        <v>55</v>
      </c>
      <c r="D72" s="14" t="s">
        <v>51</v>
      </c>
      <c r="E72" s="18">
        <v>7</v>
      </c>
      <c r="F72" s="59">
        <f>SUM(E72)</f>
        <v>7</v>
      </c>
      <c r="G72" s="13">
        <v>46.97</v>
      </c>
      <c r="H72" s="72">
        <f t="shared" si="11"/>
        <v>0.32878999999999997</v>
      </c>
      <c r="I72" s="13">
        <f>G72*7</f>
        <v>328.78999999999996</v>
      </c>
    </row>
    <row r="73" spans="1:21" ht="15.75" customHeight="1">
      <c r="A73" s="29">
        <v>13</v>
      </c>
      <c r="B73" s="100" t="s">
        <v>165</v>
      </c>
      <c r="C73" s="113" t="s">
        <v>137</v>
      </c>
      <c r="D73" s="100" t="s">
        <v>348</v>
      </c>
      <c r="E73" s="17">
        <v>6</v>
      </c>
      <c r="F73" s="134">
        <f>E73*1</f>
        <v>6</v>
      </c>
      <c r="G73" s="98">
        <v>968.66</v>
      </c>
      <c r="H73" s="72"/>
      <c r="I73" s="13">
        <f>G73*1</f>
        <v>968.66</v>
      </c>
    </row>
    <row r="74" spans="1:21" ht="15.75" customHeight="1">
      <c r="A74" s="29"/>
      <c r="B74" s="135" t="s">
        <v>166</v>
      </c>
      <c r="C74" s="113"/>
      <c r="D74" s="100"/>
      <c r="E74" s="17"/>
      <c r="F74" s="98"/>
      <c r="G74" s="98"/>
      <c r="H74" s="75"/>
      <c r="I74" s="62"/>
    </row>
    <row r="75" spans="1:21" ht="31.5" customHeight="1">
      <c r="A75" s="29">
        <v>14</v>
      </c>
      <c r="B75" s="100" t="s">
        <v>167</v>
      </c>
      <c r="C75" s="35" t="s">
        <v>168</v>
      </c>
      <c r="D75" s="100"/>
      <c r="E75" s="17">
        <v>4224.3999999999996</v>
      </c>
      <c r="F75" s="98">
        <f>E75*12</f>
        <v>50692.799999999996</v>
      </c>
      <c r="G75" s="98">
        <v>2.4900000000000002</v>
      </c>
      <c r="H75" s="75"/>
      <c r="I75" s="13">
        <f>G75*F75/12</f>
        <v>10518.755999999999</v>
      </c>
    </row>
    <row r="76" spans="1:21" ht="15.75" customHeight="1">
      <c r="A76" s="29"/>
      <c r="B76" s="90" t="s">
        <v>69</v>
      </c>
      <c r="C76" s="16"/>
      <c r="D76" s="14"/>
      <c r="E76" s="18"/>
      <c r="F76" s="13"/>
      <c r="G76" s="13"/>
      <c r="H76" s="72" t="s">
        <v>118</v>
      </c>
      <c r="I76" s="13"/>
    </row>
    <row r="77" spans="1:21" ht="35.25" customHeight="1">
      <c r="A77" s="29">
        <v>15</v>
      </c>
      <c r="B77" s="100" t="s">
        <v>191</v>
      </c>
      <c r="C77" s="113" t="s">
        <v>83</v>
      </c>
      <c r="D77" s="100" t="s">
        <v>347</v>
      </c>
      <c r="E77" s="17">
        <v>1</v>
      </c>
      <c r="F77" s="134">
        <f>E77*1</f>
        <v>1</v>
      </c>
      <c r="G77" s="98">
        <v>2151.87</v>
      </c>
      <c r="H77" s="72"/>
      <c r="I77" s="13">
        <f>G77*2</f>
        <v>4303.74</v>
      </c>
    </row>
    <row r="78" spans="1:21" ht="15.75" customHeight="1">
      <c r="A78" s="29">
        <v>16</v>
      </c>
      <c r="B78" s="95" t="s">
        <v>169</v>
      </c>
      <c r="C78" s="96" t="s">
        <v>111</v>
      </c>
      <c r="D78" s="100" t="s">
        <v>180</v>
      </c>
      <c r="E78" s="17">
        <v>2</v>
      </c>
      <c r="F78" s="98">
        <f>E78*12</f>
        <v>24</v>
      </c>
      <c r="G78" s="98">
        <v>404</v>
      </c>
      <c r="H78" s="72"/>
      <c r="I78" s="13">
        <f>G78*2</f>
        <v>808</v>
      </c>
    </row>
    <row r="79" spans="1:21" ht="15.75" hidden="1" customHeight="1">
      <c r="A79" s="29"/>
      <c r="B79" s="14" t="s">
        <v>70</v>
      </c>
      <c r="C79" s="16" t="s">
        <v>30</v>
      </c>
      <c r="D79" s="14"/>
      <c r="E79" s="18">
        <v>2</v>
      </c>
      <c r="F79" s="13">
        <v>2</v>
      </c>
      <c r="G79" s="13">
        <v>803.19</v>
      </c>
      <c r="H79" s="72">
        <f>F79*G79/1000</f>
        <v>1.6063800000000001</v>
      </c>
      <c r="I79" s="13">
        <v>0</v>
      </c>
    </row>
    <row r="80" spans="1:21" ht="15.75" hidden="1" customHeight="1">
      <c r="A80" s="29"/>
      <c r="B80" s="74" t="s">
        <v>71</v>
      </c>
      <c r="C80" s="16"/>
      <c r="D80" s="14"/>
      <c r="E80" s="18"/>
      <c r="F80" s="13"/>
      <c r="G80" s="13" t="s">
        <v>118</v>
      </c>
      <c r="H80" s="72" t="s">
        <v>118</v>
      </c>
      <c r="I80" s="13"/>
    </row>
    <row r="81" spans="1:9" ht="15.75" hidden="1" customHeight="1">
      <c r="A81" s="29"/>
      <c r="B81" s="42" t="s">
        <v>119</v>
      </c>
      <c r="C81" s="16" t="s">
        <v>72</v>
      </c>
      <c r="D81" s="14"/>
      <c r="E81" s="18"/>
      <c r="F81" s="13">
        <v>1.35</v>
      </c>
      <c r="G81" s="13">
        <v>2494</v>
      </c>
      <c r="H81" s="72">
        <f t="shared" ref="H81" si="13">SUM(F81*G81/1000)</f>
        <v>3.3669000000000002</v>
      </c>
      <c r="I81" s="13">
        <v>0</v>
      </c>
    </row>
    <row r="82" spans="1:9" ht="15.75" customHeight="1">
      <c r="A82" s="29"/>
      <c r="B82" s="61" t="s">
        <v>116</v>
      </c>
      <c r="C82" s="74"/>
      <c r="D82" s="31"/>
      <c r="E82" s="32"/>
      <c r="F82" s="62"/>
      <c r="G82" s="62"/>
      <c r="H82" s="75">
        <f>SUM(H59:H81)</f>
        <v>3468.4733812700006</v>
      </c>
      <c r="I82" s="62"/>
    </row>
    <row r="83" spans="1:9" ht="15.75" customHeight="1">
      <c r="A83" s="29">
        <v>17</v>
      </c>
      <c r="B83" s="57" t="s">
        <v>117</v>
      </c>
      <c r="C83" s="16"/>
      <c r="D83" s="14"/>
      <c r="E83" s="52"/>
      <c r="F83" s="13">
        <v>1</v>
      </c>
      <c r="G83" s="13">
        <v>9298.6</v>
      </c>
      <c r="H83" s="72">
        <f>G83*F83/1000</f>
        <v>9.2986000000000004</v>
      </c>
      <c r="I83" s="13">
        <f>G83</f>
        <v>9298.6</v>
      </c>
    </row>
    <row r="84" spans="1:9" ht="15.75" customHeight="1">
      <c r="A84" s="223" t="s">
        <v>145</v>
      </c>
      <c r="B84" s="224"/>
      <c r="C84" s="224"/>
      <c r="D84" s="224"/>
      <c r="E84" s="224"/>
      <c r="F84" s="224"/>
      <c r="G84" s="224"/>
      <c r="H84" s="224"/>
      <c r="I84" s="225"/>
    </row>
    <row r="85" spans="1:9" ht="15.75" customHeight="1">
      <c r="A85" s="29">
        <v>18</v>
      </c>
      <c r="B85" s="100" t="s">
        <v>120</v>
      </c>
      <c r="C85" s="113" t="s">
        <v>52</v>
      </c>
      <c r="D85" s="136"/>
      <c r="E85" s="98">
        <v>4224.3999999999996</v>
      </c>
      <c r="F85" s="98">
        <f>SUM(E85*12)</f>
        <v>50692.799999999996</v>
      </c>
      <c r="G85" s="98">
        <v>3.38</v>
      </c>
      <c r="H85" s="13">
        <f>SUM(F85*G85/1000)</f>
        <v>171.34166399999998</v>
      </c>
      <c r="I85" s="13">
        <f>F85/12*G85</f>
        <v>14278.471999999998</v>
      </c>
    </row>
    <row r="86" spans="1:9" ht="31.5" customHeight="1">
      <c r="A86" s="29">
        <v>19</v>
      </c>
      <c r="B86" s="155" t="s">
        <v>170</v>
      </c>
      <c r="C86" s="138" t="s">
        <v>52</v>
      </c>
      <c r="D86" s="139"/>
      <c r="E86" s="140">
        <f>E85</f>
        <v>4224.3999999999996</v>
      </c>
      <c r="F86" s="141">
        <f>E86*12</f>
        <v>50692.799999999996</v>
      </c>
      <c r="G86" s="141">
        <v>3.05</v>
      </c>
      <c r="H86" s="156">
        <f>F86*G86/1000</f>
        <v>154.61303999999998</v>
      </c>
      <c r="I86" s="157">
        <f>F86/12*G86</f>
        <v>12884.419999999998</v>
      </c>
    </row>
    <row r="87" spans="1:9" ht="15.75" customHeight="1">
      <c r="A87" s="92"/>
      <c r="B87" s="34" t="s">
        <v>74</v>
      </c>
      <c r="C87" s="35"/>
      <c r="D87" s="15"/>
      <c r="E87" s="15"/>
      <c r="F87" s="15"/>
      <c r="G87" s="18"/>
      <c r="H87" s="18"/>
      <c r="I87" s="32">
        <f>I86+I85+I83+I78+I77+I75+I73+I66+I65+I63+I46+I42+I41+I38+I21+I20+I18+I16+I37</f>
        <v>75748.982178999984</v>
      </c>
    </row>
    <row r="88" spans="1:9" ht="15.75" customHeight="1">
      <c r="A88" s="220" t="s">
        <v>57</v>
      </c>
      <c r="B88" s="221"/>
      <c r="C88" s="221"/>
      <c r="D88" s="221"/>
      <c r="E88" s="221"/>
      <c r="F88" s="221"/>
      <c r="G88" s="221"/>
      <c r="H88" s="221"/>
      <c r="I88" s="222"/>
    </row>
    <row r="89" spans="1:9" ht="15.75" customHeight="1">
      <c r="A89" s="29">
        <v>20</v>
      </c>
      <c r="B89" s="100" t="s">
        <v>152</v>
      </c>
      <c r="C89" s="113" t="s">
        <v>157</v>
      </c>
      <c r="D89" s="97" t="s">
        <v>346</v>
      </c>
      <c r="E89" s="98"/>
      <c r="F89" s="98">
        <v>74</v>
      </c>
      <c r="G89" s="98">
        <v>295.36</v>
      </c>
      <c r="H89" s="99"/>
      <c r="I89" s="13">
        <v>0</v>
      </c>
    </row>
    <row r="90" spans="1:9" ht="18.75" customHeight="1">
      <c r="A90" s="29">
        <v>21</v>
      </c>
      <c r="B90" s="95" t="s">
        <v>37</v>
      </c>
      <c r="C90" s="96" t="s">
        <v>340</v>
      </c>
      <c r="D90" s="97" t="s">
        <v>178</v>
      </c>
      <c r="E90" s="98"/>
      <c r="F90" s="98">
        <v>0.02</v>
      </c>
      <c r="G90" s="98">
        <v>8763.7900000000009</v>
      </c>
      <c r="H90" s="99"/>
      <c r="I90" s="13">
        <v>0</v>
      </c>
    </row>
    <row r="91" spans="1:9" ht="15.75" customHeight="1">
      <c r="A91" s="29"/>
      <c r="B91" s="40" t="s">
        <v>49</v>
      </c>
      <c r="C91" s="36"/>
      <c r="D91" s="43"/>
      <c r="E91" s="36">
        <v>1</v>
      </c>
      <c r="F91" s="36"/>
      <c r="G91" s="36"/>
      <c r="H91" s="36"/>
      <c r="I91" s="32">
        <f>SUM(I89:I90)</f>
        <v>0</v>
      </c>
    </row>
    <row r="92" spans="1:9" ht="15.75" customHeight="1">
      <c r="A92" s="29"/>
      <c r="B92" s="42" t="s">
        <v>73</v>
      </c>
      <c r="C92" s="15"/>
      <c r="D92" s="15"/>
      <c r="E92" s="37"/>
      <c r="F92" s="37"/>
      <c r="G92" s="38"/>
      <c r="H92" s="38"/>
      <c r="I92" s="17">
        <v>0</v>
      </c>
    </row>
    <row r="93" spans="1:9" ht="15.75" customHeight="1">
      <c r="A93" s="44"/>
      <c r="B93" s="41" t="s">
        <v>129</v>
      </c>
      <c r="C93" s="33"/>
      <c r="D93" s="33"/>
      <c r="E93" s="33"/>
      <c r="F93" s="33"/>
      <c r="G93" s="33"/>
      <c r="H93" s="33"/>
      <c r="I93" s="39">
        <f>I87+I91</f>
        <v>75748.982178999984</v>
      </c>
    </row>
    <row r="94" spans="1:9" ht="15.75" customHeight="1">
      <c r="A94" s="217" t="s">
        <v>366</v>
      </c>
      <c r="B94" s="217"/>
      <c r="C94" s="217"/>
      <c r="D94" s="217"/>
      <c r="E94" s="217"/>
      <c r="F94" s="217"/>
      <c r="G94" s="217"/>
      <c r="H94" s="217"/>
      <c r="I94" s="217"/>
    </row>
    <row r="95" spans="1:9" ht="15.75" customHeight="1">
      <c r="A95" s="51"/>
      <c r="B95" s="218" t="s">
        <v>367</v>
      </c>
      <c r="C95" s="218"/>
      <c r="D95" s="218"/>
      <c r="E95" s="218"/>
      <c r="F95" s="218"/>
      <c r="G95" s="218"/>
      <c r="H95" s="56"/>
      <c r="I95" s="3"/>
    </row>
    <row r="96" spans="1:9" ht="15.75" customHeight="1">
      <c r="A96" s="88"/>
      <c r="B96" s="208" t="s">
        <v>6</v>
      </c>
      <c r="C96" s="208"/>
      <c r="D96" s="208"/>
      <c r="E96" s="208"/>
      <c r="F96" s="208"/>
      <c r="G96" s="208"/>
      <c r="H96" s="24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219" t="s">
        <v>7</v>
      </c>
      <c r="B98" s="219"/>
      <c r="C98" s="219"/>
      <c r="D98" s="219"/>
      <c r="E98" s="219"/>
      <c r="F98" s="219"/>
      <c r="G98" s="219"/>
      <c r="H98" s="219"/>
      <c r="I98" s="219"/>
    </row>
    <row r="99" spans="1:9" ht="15.75" customHeight="1">
      <c r="A99" s="219" t="s">
        <v>8</v>
      </c>
      <c r="B99" s="219"/>
      <c r="C99" s="219"/>
      <c r="D99" s="219"/>
      <c r="E99" s="219"/>
      <c r="F99" s="219"/>
      <c r="G99" s="219"/>
      <c r="H99" s="219"/>
      <c r="I99" s="219"/>
    </row>
    <row r="100" spans="1:9" ht="15.75" customHeight="1">
      <c r="A100" s="212" t="s">
        <v>58</v>
      </c>
      <c r="B100" s="212"/>
      <c r="C100" s="212"/>
      <c r="D100" s="212"/>
      <c r="E100" s="212"/>
      <c r="F100" s="212"/>
      <c r="G100" s="212"/>
      <c r="H100" s="212"/>
      <c r="I100" s="212"/>
    </row>
    <row r="101" spans="1:9" ht="15.75" customHeight="1">
      <c r="A101" s="11"/>
    </row>
    <row r="102" spans="1:9" ht="15.75" customHeight="1">
      <c r="A102" s="206" t="s">
        <v>9</v>
      </c>
      <c r="B102" s="206"/>
      <c r="C102" s="206"/>
      <c r="D102" s="206"/>
      <c r="E102" s="206"/>
      <c r="F102" s="206"/>
      <c r="G102" s="206"/>
      <c r="H102" s="206"/>
      <c r="I102" s="206"/>
    </row>
    <row r="103" spans="1:9" ht="15.75" customHeight="1">
      <c r="A103" s="4"/>
    </row>
    <row r="104" spans="1:9" ht="15.75" customHeight="1">
      <c r="B104" s="91" t="s">
        <v>10</v>
      </c>
      <c r="C104" s="207" t="s">
        <v>217</v>
      </c>
      <c r="D104" s="207"/>
      <c r="E104" s="207"/>
      <c r="F104" s="54"/>
      <c r="I104" s="94"/>
    </row>
    <row r="105" spans="1:9" ht="15.75" customHeight="1">
      <c r="A105" s="88"/>
      <c r="C105" s="208" t="s">
        <v>11</v>
      </c>
      <c r="D105" s="208"/>
      <c r="E105" s="208"/>
      <c r="F105" s="24"/>
      <c r="I105" s="93" t="s">
        <v>12</v>
      </c>
    </row>
    <row r="106" spans="1:9" ht="15.75" customHeight="1">
      <c r="A106" s="25"/>
      <c r="C106" s="12"/>
      <c r="D106" s="12"/>
      <c r="G106" s="12"/>
      <c r="H106" s="12"/>
    </row>
    <row r="107" spans="1:9" ht="15.75" customHeight="1">
      <c r="B107" s="91" t="s">
        <v>13</v>
      </c>
      <c r="C107" s="209"/>
      <c r="D107" s="209"/>
      <c r="E107" s="209"/>
      <c r="F107" s="55"/>
      <c r="I107" s="94"/>
    </row>
    <row r="108" spans="1:9" ht="15.75" customHeight="1">
      <c r="A108" s="88"/>
      <c r="C108" s="210" t="s">
        <v>11</v>
      </c>
      <c r="D108" s="210"/>
      <c r="E108" s="210"/>
      <c r="F108" s="88"/>
      <c r="I108" s="93" t="s">
        <v>12</v>
      </c>
    </row>
    <row r="109" spans="1:9" ht="15.75" customHeight="1">
      <c r="A109" s="4" t="s">
        <v>14</v>
      </c>
    </row>
    <row r="110" spans="1:9" ht="15.75" customHeight="1">
      <c r="A110" s="211" t="s">
        <v>15</v>
      </c>
      <c r="B110" s="211"/>
      <c r="C110" s="211"/>
      <c r="D110" s="211"/>
      <c r="E110" s="211"/>
      <c r="F110" s="211"/>
      <c r="G110" s="211"/>
      <c r="H110" s="211"/>
      <c r="I110" s="211"/>
    </row>
    <row r="111" spans="1:9" ht="45" customHeight="1">
      <c r="A111" s="205" t="s">
        <v>16</v>
      </c>
      <c r="B111" s="205"/>
      <c r="C111" s="205"/>
      <c r="D111" s="205"/>
      <c r="E111" s="205"/>
      <c r="F111" s="205"/>
      <c r="G111" s="205"/>
      <c r="H111" s="205"/>
      <c r="I111" s="205"/>
    </row>
    <row r="112" spans="1:9" ht="30" customHeight="1">
      <c r="A112" s="205" t="s">
        <v>17</v>
      </c>
      <c r="B112" s="205"/>
      <c r="C112" s="205"/>
      <c r="D112" s="205"/>
      <c r="E112" s="205"/>
      <c r="F112" s="205"/>
      <c r="G112" s="205"/>
      <c r="H112" s="205"/>
      <c r="I112" s="205"/>
    </row>
    <row r="113" spans="1:9" ht="30" customHeight="1">
      <c r="A113" s="205" t="s">
        <v>21</v>
      </c>
      <c r="B113" s="205"/>
      <c r="C113" s="205"/>
      <c r="D113" s="205"/>
      <c r="E113" s="205"/>
      <c r="F113" s="205"/>
      <c r="G113" s="205"/>
      <c r="H113" s="205"/>
      <c r="I113" s="205"/>
    </row>
    <row r="114" spans="1:9" ht="15" customHeight="1">
      <c r="A114" s="205" t="s">
        <v>20</v>
      </c>
      <c r="B114" s="205"/>
      <c r="C114" s="205"/>
      <c r="D114" s="205"/>
      <c r="E114" s="205"/>
      <c r="F114" s="205"/>
      <c r="G114" s="205"/>
      <c r="H114" s="205"/>
      <c r="I114" s="205"/>
    </row>
  </sheetData>
  <autoFilter ref="I12:I63"/>
  <mergeCells count="29">
    <mergeCell ref="A110:I110"/>
    <mergeCell ref="A111:I111"/>
    <mergeCell ref="A112:I112"/>
    <mergeCell ref="A113:I113"/>
    <mergeCell ref="A114:I114"/>
    <mergeCell ref="R67:U67"/>
    <mergeCell ref="C108:E108"/>
    <mergeCell ref="A88:I88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4:I84"/>
    <mergeCell ref="A3:I3"/>
    <mergeCell ref="A4:I4"/>
    <mergeCell ref="A5:I5"/>
    <mergeCell ref="A8:I8"/>
    <mergeCell ref="A10:I10"/>
    <mergeCell ref="A14:I14"/>
    <mergeCell ref="A15:I15"/>
    <mergeCell ref="A27:I27"/>
    <mergeCell ref="A47:I47"/>
    <mergeCell ref="A57:I57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08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0"/>
  <sheetViews>
    <sheetView tabSelected="1" view="pageBreakPreview" topLeftCell="A87" zoomScale="60" zoomScaleNormal="100" workbookViewId="0">
      <selection activeCell="A105" sqref="A105:I105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4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151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350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89"/>
      <c r="C6" s="89"/>
      <c r="D6" s="89"/>
      <c r="E6" s="89"/>
      <c r="F6" s="89"/>
      <c r="G6" s="89"/>
      <c r="H6" s="89"/>
      <c r="I6" s="30">
        <v>44561</v>
      </c>
      <c r="J6" s="2"/>
      <c r="K6" s="2"/>
      <c r="L6" s="2"/>
      <c r="M6" s="2"/>
    </row>
    <row r="7" spans="1:13" ht="15.75" customHeight="1">
      <c r="B7" s="91"/>
      <c r="C7" s="91"/>
      <c r="D7" s="9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218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15.75" customHeight="1">
      <c r="A16" s="29">
        <v>1</v>
      </c>
      <c r="B16" s="101" t="s">
        <v>158</v>
      </c>
      <c r="C16" s="102" t="s">
        <v>93</v>
      </c>
      <c r="D16" s="101" t="s">
        <v>179</v>
      </c>
      <c r="E16" s="123">
        <v>591.70000000000005</v>
      </c>
      <c r="F16" s="112">
        <f>SUM(E16*24/100)</f>
        <v>142.00800000000001</v>
      </c>
      <c r="G16" s="112">
        <v>322.51</v>
      </c>
      <c r="H16" s="60">
        <f t="shared" ref="H16:H17" si="0">SUM(F16*G16/1000)</f>
        <v>45.799000080000006</v>
      </c>
      <c r="I16" s="13">
        <f>G16*F16/6</f>
        <v>7633.1666800000012</v>
      </c>
      <c r="J16" s="8"/>
      <c r="K16" s="8"/>
      <c r="L16" s="8"/>
      <c r="M16" s="8"/>
    </row>
    <row r="17" spans="1:13" ht="15.75" hidden="1" customHeight="1">
      <c r="A17" s="29">
        <v>2</v>
      </c>
      <c r="B17" s="57" t="s">
        <v>84</v>
      </c>
      <c r="C17" s="58" t="s">
        <v>93</v>
      </c>
      <c r="D17" s="57" t="s">
        <v>125</v>
      </c>
      <c r="E17" s="45">
        <v>473.36</v>
      </c>
      <c r="F17" s="59">
        <f>SUM(E17*104/100)</f>
        <v>492.2944</v>
      </c>
      <c r="G17" s="59">
        <v>175.38</v>
      </c>
      <c r="H17" s="60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2</v>
      </c>
      <c r="B18" s="101" t="s">
        <v>85</v>
      </c>
      <c r="C18" s="102" t="s">
        <v>93</v>
      </c>
      <c r="D18" s="101" t="s">
        <v>190</v>
      </c>
      <c r="E18" s="123">
        <v>591.70000000000005</v>
      </c>
      <c r="F18" s="112">
        <f>SUM(E18*18/100)</f>
        <v>106.506</v>
      </c>
      <c r="G18" s="112">
        <v>723.23</v>
      </c>
      <c r="H18" s="60">
        <f t="shared" ref="H18:H25" si="1">SUM(F18*G18/1000)</f>
        <v>77.028334380000004</v>
      </c>
      <c r="I18" s="13">
        <f>F18/18*1*G18</f>
        <v>4279.3519100000003</v>
      </c>
      <c r="J18" s="22"/>
      <c r="K18" s="8"/>
      <c r="L18" s="8"/>
      <c r="M18" s="8"/>
    </row>
    <row r="19" spans="1:13" ht="15.75" hidden="1" customHeight="1">
      <c r="A19" s="29">
        <v>4</v>
      </c>
      <c r="B19" s="101" t="s">
        <v>95</v>
      </c>
      <c r="C19" s="102" t="s">
        <v>96</v>
      </c>
      <c r="D19" s="101" t="s">
        <v>97</v>
      </c>
      <c r="E19" s="45">
        <v>38.4</v>
      </c>
      <c r="F19" s="59">
        <f>SUM(E19/10)</f>
        <v>3.84</v>
      </c>
      <c r="G19" s="59">
        <v>170.16</v>
      </c>
      <c r="H19" s="60">
        <f t="shared" si="1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1" t="s">
        <v>88</v>
      </c>
      <c r="C20" s="102" t="s">
        <v>93</v>
      </c>
      <c r="D20" s="101" t="s">
        <v>180</v>
      </c>
      <c r="E20" s="123">
        <v>43.2</v>
      </c>
      <c r="F20" s="112">
        <f>SUM(E20*12/100)</f>
        <v>5.1840000000000011</v>
      </c>
      <c r="G20" s="112">
        <v>312.35000000000002</v>
      </c>
      <c r="H20" s="60">
        <f t="shared" si="1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1" t="s">
        <v>89</v>
      </c>
      <c r="C21" s="102" t="s">
        <v>93</v>
      </c>
      <c r="D21" s="101" t="s">
        <v>178</v>
      </c>
      <c r="E21" s="123">
        <v>10.08</v>
      </c>
      <c r="F21" s="112">
        <f>SUM(E21*12/100)</f>
        <v>1.2096</v>
      </c>
      <c r="G21" s="112">
        <v>309.81</v>
      </c>
      <c r="H21" s="60">
        <f t="shared" si="1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57" t="s">
        <v>98</v>
      </c>
      <c r="C22" s="58" t="s">
        <v>50</v>
      </c>
      <c r="D22" s="57" t="s">
        <v>97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1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57" t="s">
        <v>99</v>
      </c>
      <c r="C23" s="58" t="s">
        <v>50</v>
      </c>
      <c r="D23" s="57" t="s">
        <v>97</v>
      </c>
      <c r="E23" s="53">
        <v>70.56</v>
      </c>
      <c r="F23" s="59">
        <f>SUM(E23/100)</f>
        <v>0.7056</v>
      </c>
      <c r="G23" s="59">
        <v>44.29</v>
      </c>
      <c r="H23" s="60">
        <f t="shared" si="1"/>
        <v>3.1251024000000002E-2</v>
      </c>
      <c r="I23" s="13">
        <f t="shared" ref="I23:I24" si="2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57" t="s">
        <v>92</v>
      </c>
      <c r="C24" s="58" t="s">
        <v>50</v>
      </c>
      <c r="D24" s="57" t="s">
        <v>97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1"/>
        <v>0.14696975999999998</v>
      </c>
      <c r="I24" s="13">
        <f t="shared" si="2"/>
        <v>146.96975999999998</v>
      </c>
      <c r="J24" s="22"/>
      <c r="K24" s="8"/>
      <c r="L24" s="8"/>
      <c r="M24" s="8"/>
    </row>
    <row r="25" spans="1:13" ht="15.75" hidden="1" customHeight="1">
      <c r="A25" s="29">
        <v>5</v>
      </c>
      <c r="B25" s="101" t="s">
        <v>162</v>
      </c>
      <c r="C25" s="102" t="s">
        <v>32</v>
      </c>
      <c r="D25" s="101" t="s">
        <v>181</v>
      </c>
      <c r="E25" s="126">
        <v>0.2</v>
      </c>
      <c r="F25" s="112">
        <f>E25*155</f>
        <v>31</v>
      </c>
      <c r="G25" s="112">
        <v>370.77</v>
      </c>
      <c r="H25" s="60">
        <f t="shared" si="1"/>
        <v>11.493869999999999</v>
      </c>
      <c r="I25" s="13">
        <f>F25/12*G25</f>
        <v>957.82249999999999</v>
      </c>
      <c r="J25" s="23"/>
    </row>
    <row r="26" spans="1:13" ht="15.75" hidden="1" customHeight="1">
      <c r="A26" s="29">
        <v>7</v>
      </c>
      <c r="B26" s="64" t="s">
        <v>23</v>
      </c>
      <c r="C26" s="58" t="s">
        <v>24</v>
      </c>
      <c r="D26" s="57" t="s">
        <v>149</v>
      </c>
      <c r="E26" s="45">
        <v>4224.3999999999996</v>
      </c>
      <c r="F26" s="59">
        <f>SUM(E26*12)</f>
        <v>50692.799999999996</v>
      </c>
      <c r="G26" s="59">
        <v>4.59</v>
      </c>
      <c r="H26" s="60">
        <f t="shared" ref="H26" si="3">SUM(F26*G26/1000)</f>
        <v>232.67995199999996</v>
      </c>
      <c r="I26" s="13">
        <f>F26/12*G26</f>
        <v>19389.995999999999</v>
      </c>
      <c r="J26" s="23"/>
    </row>
    <row r="27" spans="1:13" ht="15.75" customHeight="1">
      <c r="A27" s="213" t="s">
        <v>78</v>
      </c>
      <c r="B27" s="213"/>
      <c r="C27" s="213"/>
      <c r="D27" s="213"/>
      <c r="E27" s="213"/>
      <c r="F27" s="213"/>
      <c r="G27" s="213"/>
      <c r="H27" s="213"/>
      <c r="I27" s="213"/>
      <c r="J27" s="22"/>
      <c r="K27" s="8"/>
      <c r="L27" s="8"/>
      <c r="M27" s="8"/>
    </row>
    <row r="28" spans="1:13" ht="15.75" hidden="1" customHeight="1">
      <c r="A28" s="29"/>
      <c r="B28" s="76" t="s">
        <v>28</v>
      </c>
      <c r="C28" s="58"/>
      <c r="D28" s="57"/>
      <c r="E28" s="45"/>
      <c r="F28" s="59"/>
      <c r="G28" s="59"/>
      <c r="H28" s="60"/>
      <c r="I28" s="13"/>
      <c r="J28" s="22"/>
      <c r="K28" s="8"/>
      <c r="L28" s="8"/>
      <c r="M28" s="8"/>
    </row>
    <row r="29" spans="1:13" ht="15.75" hidden="1" customHeight="1">
      <c r="A29" s="29">
        <v>8</v>
      </c>
      <c r="B29" s="57" t="s">
        <v>100</v>
      </c>
      <c r="C29" s="58" t="s">
        <v>101</v>
      </c>
      <c r="D29" s="57" t="s">
        <v>102</v>
      </c>
      <c r="E29" s="59">
        <v>1414.6</v>
      </c>
      <c r="F29" s="59">
        <f>SUM(E29*52/1000)</f>
        <v>73.559200000000004</v>
      </c>
      <c r="G29" s="59">
        <v>155.88999999999999</v>
      </c>
      <c r="H29" s="60">
        <f t="shared" ref="H29:H35" si="4">SUM(F29*G29/1000)</f>
        <v>11.467143688</v>
      </c>
      <c r="I29" s="13">
        <f>F29/6*G29</f>
        <v>1911.1906146666665</v>
      </c>
      <c r="J29" s="22"/>
      <c r="K29" s="8"/>
      <c r="L29" s="8"/>
      <c r="M29" s="8"/>
    </row>
    <row r="30" spans="1:13" ht="31.5" hidden="1" customHeight="1">
      <c r="A30" s="29">
        <v>9</v>
      </c>
      <c r="B30" s="57" t="s">
        <v>126</v>
      </c>
      <c r="C30" s="58" t="s">
        <v>101</v>
      </c>
      <c r="D30" s="57" t="s">
        <v>103</v>
      </c>
      <c r="E30" s="59">
        <v>632.4</v>
      </c>
      <c r="F30" s="59">
        <f>SUM(E30*78/1000)</f>
        <v>49.327199999999998</v>
      </c>
      <c r="G30" s="59">
        <v>258.63</v>
      </c>
      <c r="H30" s="60">
        <f t="shared" si="4"/>
        <v>12.757493735999999</v>
      </c>
      <c r="I30" s="13">
        <f t="shared" ref="I30:I33" si="5">F30/6*G30</f>
        <v>2126.2489559999999</v>
      </c>
      <c r="J30" s="22"/>
      <c r="K30" s="8"/>
      <c r="L30" s="8"/>
      <c r="M30" s="8"/>
    </row>
    <row r="31" spans="1:13" ht="15.75" hidden="1" customHeight="1">
      <c r="A31" s="29">
        <v>14</v>
      </c>
      <c r="B31" s="57" t="s">
        <v>27</v>
      </c>
      <c r="C31" s="58" t="s">
        <v>101</v>
      </c>
      <c r="D31" s="57" t="s">
        <v>51</v>
      </c>
      <c r="E31" s="59">
        <v>1414.6</v>
      </c>
      <c r="F31" s="59">
        <f>SUM(E31/1000)</f>
        <v>1.4145999999999999</v>
      </c>
      <c r="G31" s="59">
        <v>3020.33</v>
      </c>
      <c r="H31" s="60">
        <f t="shared" si="4"/>
        <v>4.2725588179999994</v>
      </c>
      <c r="I31" s="13">
        <f>F31*G31</f>
        <v>4272.5588179999995</v>
      </c>
      <c r="J31" s="22"/>
      <c r="K31" s="8"/>
      <c r="L31" s="8"/>
      <c r="M31" s="8"/>
    </row>
    <row r="32" spans="1:13" ht="15.75" hidden="1" customHeight="1">
      <c r="A32" s="29">
        <v>10</v>
      </c>
      <c r="B32" s="57" t="s">
        <v>104</v>
      </c>
      <c r="C32" s="58" t="s">
        <v>38</v>
      </c>
      <c r="D32" s="57" t="s">
        <v>60</v>
      </c>
      <c r="E32" s="59">
        <v>6</v>
      </c>
      <c r="F32" s="59">
        <f>SUM(E32*155/100)</f>
        <v>9.3000000000000007</v>
      </c>
      <c r="G32" s="59">
        <v>1302.02</v>
      </c>
      <c r="H32" s="60">
        <f t="shared" si="4"/>
        <v>12.108786</v>
      </c>
      <c r="I32" s="13">
        <f t="shared" si="5"/>
        <v>2018.1310000000001</v>
      </c>
      <c r="J32" s="22"/>
      <c r="K32" s="8"/>
      <c r="L32" s="8"/>
      <c r="M32" s="8"/>
    </row>
    <row r="33" spans="1:14" ht="15.75" hidden="1" customHeight="1">
      <c r="A33" s="29">
        <v>11</v>
      </c>
      <c r="B33" s="57" t="s">
        <v>105</v>
      </c>
      <c r="C33" s="58" t="s">
        <v>30</v>
      </c>
      <c r="D33" s="57" t="s">
        <v>60</v>
      </c>
      <c r="E33" s="63">
        <v>0.33333333333333331</v>
      </c>
      <c r="F33" s="59">
        <f>155/3</f>
        <v>51.666666666666664</v>
      </c>
      <c r="G33" s="59">
        <v>56.69</v>
      </c>
      <c r="H33" s="60">
        <f t="shared" si="4"/>
        <v>2.9289833333333331</v>
      </c>
      <c r="I33" s="13">
        <f t="shared" si="5"/>
        <v>488.16388888888883</v>
      </c>
      <c r="J33" s="22"/>
      <c r="K33" s="8"/>
    </row>
    <row r="34" spans="1:14" ht="15.75" hidden="1" customHeight="1">
      <c r="A34" s="29"/>
      <c r="B34" s="57" t="s">
        <v>61</v>
      </c>
      <c r="C34" s="58" t="s">
        <v>32</v>
      </c>
      <c r="D34" s="57" t="s">
        <v>63</v>
      </c>
      <c r="E34" s="45"/>
      <c r="F34" s="59">
        <v>4</v>
      </c>
      <c r="G34" s="59">
        <v>191.32</v>
      </c>
      <c r="H34" s="60">
        <f t="shared" si="4"/>
        <v>0.76527999999999996</v>
      </c>
      <c r="I34" s="13">
        <v>0</v>
      </c>
      <c r="J34" s="23"/>
    </row>
    <row r="35" spans="1:14" ht="15.75" hidden="1" customHeight="1">
      <c r="A35" s="29"/>
      <c r="B35" s="57" t="s">
        <v>62</v>
      </c>
      <c r="C35" s="58" t="s">
        <v>31</v>
      </c>
      <c r="D35" s="57" t="s">
        <v>63</v>
      </c>
      <c r="E35" s="45"/>
      <c r="F35" s="59">
        <v>3</v>
      </c>
      <c r="G35" s="59">
        <v>1136.33</v>
      </c>
      <c r="H35" s="60">
        <f t="shared" si="4"/>
        <v>3.4089899999999997</v>
      </c>
      <c r="I35" s="13">
        <v>0</v>
      </c>
      <c r="J35" s="23"/>
    </row>
    <row r="36" spans="1:14" ht="15.75" customHeight="1">
      <c r="A36" s="29"/>
      <c r="B36" s="76" t="s">
        <v>5</v>
      </c>
      <c r="C36" s="58"/>
      <c r="D36" s="57"/>
      <c r="E36" s="45"/>
      <c r="F36" s="59"/>
      <c r="G36" s="59"/>
      <c r="H36" s="60" t="s">
        <v>118</v>
      </c>
      <c r="I36" s="13"/>
      <c r="J36" s="23"/>
    </row>
    <row r="37" spans="1:14" ht="15.75" customHeight="1">
      <c r="A37" s="29">
        <v>5</v>
      </c>
      <c r="B37" s="57" t="s">
        <v>26</v>
      </c>
      <c r="C37" s="58" t="s">
        <v>31</v>
      </c>
      <c r="D37" s="57" t="s">
        <v>351</v>
      </c>
      <c r="E37" s="45"/>
      <c r="F37" s="59">
        <v>20</v>
      </c>
      <c r="G37" s="184">
        <v>1855</v>
      </c>
      <c r="H37" s="60">
        <f t="shared" ref="H37:H42" si="6">SUM(F37*G37/1000)</f>
        <v>37.1</v>
      </c>
      <c r="I37" s="13">
        <f>G37*1.5</f>
        <v>2782.5</v>
      </c>
      <c r="J37" s="23"/>
    </row>
    <row r="38" spans="1:14" ht="15.75" customHeight="1">
      <c r="A38" s="29">
        <v>6</v>
      </c>
      <c r="B38" s="127" t="s">
        <v>64</v>
      </c>
      <c r="C38" s="128" t="s">
        <v>29</v>
      </c>
      <c r="D38" s="127" t="s">
        <v>179</v>
      </c>
      <c r="E38" s="129">
        <v>202.36</v>
      </c>
      <c r="F38" s="129">
        <f>SUM(E38*24/1000)</f>
        <v>4.8566400000000005</v>
      </c>
      <c r="G38" s="129">
        <v>4525.34</v>
      </c>
      <c r="H38" s="182">
        <f t="shared" si="6"/>
        <v>21.977947257600004</v>
      </c>
      <c r="I38" s="13">
        <f>F38/6*G38</f>
        <v>3662.9912096000003</v>
      </c>
      <c r="J38" s="23"/>
      <c r="L38" s="19"/>
      <c r="M38" s="20"/>
      <c r="N38" s="21"/>
    </row>
    <row r="39" spans="1:14" ht="15.75" hidden="1" customHeight="1">
      <c r="A39" s="29"/>
      <c r="B39" s="127" t="s">
        <v>64</v>
      </c>
      <c r="C39" s="128" t="s">
        <v>29</v>
      </c>
      <c r="D39" s="127" t="s">
        <v>195</v>
      </c>
      <c r="E39" s="129">
        <v>202.36</v>
      </c>
      <c r="F39" s="129">
        <f>SUM(E39*24/1000)</f>
        <v>4.8566400000000005</v>
      </c>
      <c r="G39" s="129">
        <v>4525.34</v>
      </c>
      <c r="H39" s="182">
        <f t="shared" si="6"/>
        <v>21.977947257600004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9</v>
      </c>
      <c r="B40" s="101" t="s">
        <v>86</v>
      </c>
      <c r="C40" s="102" t="s">
        <v>106</v>
      </c>
      <c r="D40" s="101" t="s">
        <v>163</v>
      </c>
      <c r="E40" s="123"/>
      <c r="F40" s="129">
        <v>26</v>
      </c>
      <c r="G40" s="112">
        <v>330</v>
      </c>
      <c r="H40" s="182">
        <f t="shared" si="6"/>
        <v>8.58</v>
      </c>
      <c r="I40" s="13">
        <f>F40/6*G40</f>
        <v>1430</v>
      </c>
      <c r="J40" s="23"/>
      <c r="L40" s="19"/>
      <c r="M40" s="20"/>
      <c r="N40" s="21"/>
    </row>
    <row r="41" spans="1:14" ht="20.25" customHeight="1">
      <c r="A41" s="29">
        <v>7</v>
      </c>
      <c r="B41" s="101" t="s">
        <v>65</v>
      </c>
      <c r="C41" s="102" t="s">
        <v>29</v>
      </c>
      <c r="D41" s="101" t="s">
        <v>181</v>
      </c>
      <c r="E41" s="112">
        <v>202.36</v>
      </c>
      <c r="F41" s="129">
        <f>SUM(E41*78/1000)</f>
        <v>15.784080000000001</v>
      </c>
      <c r="G41" s="112">
        <v>754.23</v>
      </c>
      <c r="H41" s="182">
        <f t="shared" si="6"/>
        <v>11.904826658400001</v>
      </c>
      <c r="I41" s="13">
        <f>F41/6*G41</f>
        <v>1984.1377764000003</v>
      </c>
      <c r="J41" s="23"/>
      <c r="L41" s="19"/>
      <c r="M41" s="20"/>
      <c r="N41" s="21"/>
    </row>
    <row r="42" spans="1:14" ht="15.75" customHeight="1">
      <c r="A42" s="29">
        <v>8</v>
      </c>
      <c r="B42" s="101" t="s">
        <v>76</v>
      </c>
      <c r="C42" s="102" t="s">
        <v>101</v>
      </c>
      <c r="D42" s="101" t="s">
        <v>190</v>
      </c>
      <c r="E42" s="112">
        <v>105.56</v>
      </c>
      <c r="F42" s="129">
        <f>SUM(E42*15/1000)</f>
        <v>1.5834000000000001</v>
      </c>
      <c r="G42" s="112">
        <v>12067.57</v>
      </c>
      <c r="H42" s="60">
        <f t="shared" si="6"/>
        <v>19.107790338000001</v>
      </c>
      <c r="I42" s="13">
        <f>F42/6*G42</f>
        <v>3184.6317230000004</v>
      </c>
      <c r="J42" s="23"/>
      <c r="L42" s="19"/>
      <c r="M42" s="20"/>
      <c r="N42" s="21"/>
    </row>
    <row r="43" spans="1:14" ht="15.75" hidden="1" customHeight="1">
      <c r="A43" s="120">
        <v>10</v>
      </c>
      <c r="B43" s="103" t="s">
        <v>108</v>
      </c>
      <c r="C43" s="104" t="s">
        <v>101</v>
      </c>
      <c r="D43" s="103" t="s">
        <v>179</v>
      </c>
      <c r="E43" s="106">
        <v>202.36</v>
      </c>
      <c r="F43" s="133">
        <f>SUM(E43*24/1000)</f>
        <v>4.8566400000000005</v>
      </c>
      <c r="G43" s="106">
        <v>614.55999999999995</v>
      </c>
      <c r="H43" s="179"/>
      <c r="I43" s="181">
        <f>G43*F43/7.5</f>
        <v>397.95955712</v>
      </c>
      <c r="J43" s="23"/>
      <c r="L43" s="19"/>
      <c r="M43" s="20"/>
      <c r="N43" s="21"/>
    </row>
    <row r="44" spans="1:14" ht="15.75" hidden="1" customHeight="1">
      <c r="A44" s="120">
        <v>11</v>
      </c>
      <c r="B44" s="127" t="s">
        <v>67</v>
      </c>
      <c r="C44" s="128" t="s">
        <v>32</v>
      </c>
      <c r="D44" s="127"/>
      <c r="E44" s="183"/>
      <c r="F44" s="129">
        <v>0.9</v>
      </c>
      <c r="G44" s="129">
        <v>800</v>
      </c>
      <c r="H44" s="182">
        <f t="shared" ref="H44" si="7">SUM(F44*G44/1000)</f>
        <v>0.72</v>
      </c>
      <c r="I44" s="13">
        <f>G44*F44/7.5</f>
        <v>96</v>
      </c>
      <c r="J44" s="23"/>
      <c r="L44" s="19"/>
      <c r="M44" s="20"/>
      <c r="N44" s="21"/>
    </row>
    <row r="45" spans="1:14" ht="33.75" customHeight="1">
      <c r="A45" s="29">
        <v>9</v>
      </c>
      <c r="B45" s="101" t="s">
        <v>164</v>
      </c>
      <c r="C45" s="102" t="s">
        <v>29</v>
      </c>
      <c r="D45" s="101" t="s">
        <v>190</v>
      </c>
      <c r="E45" s="123">
        <v>3.6</v>
      </c>
      <c r="F45" s="112">
        <f>E45*12/1000</f>
        <v>4.3200000000000002E-2</v>
      </c>
      <c r="G45" s="112">
        <v>19757.060000000001</v>
      </c>
      <c r="H45" s="182">
        <f>G45*F45/1000</f>
        <v>0.85350499200000018</v>
      </c>
      <c r="I45" s="13">
        <f>G45*F45/6</f>
        <v>142.25083200000003</v>
      </c>
      <c r="J45" s="23"/>
      <c r="L45" s="19"/>
      <c r="M45" s="20"/>
      <c r="N45" s="21"/>
    </row>
    <row r="46" spans="1:14" ht="15.75" customHeight="1">
      <c r="A46" s="214" t="s">
        <v>121</v>
      </c>
      <c r="B46" s="215"/>
      <c r="C46" s="215"/>
      <c r="D46" s="215"/>
      <c r="E46" s="215"/>
      <c r="F46" s="215"/>
      <c r="G46" s="215"/>
      <c r="H46" s="215"/>
      <c r="I46" s="216"/>
      <c r="J46" s="23"/>
      <c r="L46" s="19"/>
      <c r="M46" s="20"/>
      <c r="N46" s="21"/>
    </row>
    <row r="47" spans="1:14" ht="15.75" hidden="1" customHeight="1">
      <c r="A47" s="29">
        <v>12</v>
      </c>
      <c r="B47" s="57" t="s">
        <v>133</v>
      </c>
      <c r="C47" s="58" t="s">
        <v>101</v>
      </c>
      <c r="D47" s="57" t="s">
        <v>40</v>
      </c>
      <c r="E47" s="45">
        <v>1150.5999999999999</v>
      </c>
      <c r="F47" s="59">
        <f>SUM(E47*2/1000)</f>
        <v>2.3011999999999997</v>
      </c>
      <c r="G47" s="13">
        <v>849.49</v>
      </c>
      <c r="H47" s="60">
        <f t="shared" ref="H47:H55" si="8">SUM(F47*G47/1000)</f>
        <v>1.9548463879999998</v>
      </c>
      <c r="I47" s="13">
        <f t="shared" ref="I47:I49" si="9">F47/2*G47</f>
        <v>977.42319399999985</v>
      </c>
      <c r="J47" s="23"/>
      <c r="L47" s="19"/>
      <c r="M47" s="20"/>
      <c r="N47" s="21"/>
    </row>
    <row r="48" spans="1:14" ht="15.75" hidden="1" customHeight="1">
      <c r="A48" s="29">
        <v>13</v>
      </c>
      <c r="B48" s="57" t="s">
        <v>33</v>
      </c>
      <c r="C48" s="58" t="s">
        <v>101</v>
      </c>
      <c r="D48" s="57" t="s">
        <v>40</v>
      </c>
      <c r="E48" s="45">
        <v>108.96</v>
      </c>
      <c r="F48" s="59">
        <f>SUM(E48*2/1000)</f>
        <v>0.21791999999999997</v>
      </c>
      <c r="G48" s="13">
        <v>579.48</v>
      </c>
      <c r="H48" s="60">
        <f t="shared" si="8"/>
        <v>0.12628028159999999</v>
      </c>
      <c r="I48" s="13">
        <f t="shared" si="9"/>
        <v>63.140140799999998</v>
      </c>
      <c r="J48" s="23"/>
      <c r="L48" s="19"/>
      <c r="M48" s="20"/>
      <c r="N48" s="21"/>
    </row>
    <row r="49" spans="1:22" ht="15.75" hidden="1" customHeight="1">
      <c r="A49" s="29">
        <v>14</v>
      </c>
      <c r="B49" s="57" t="s">
        <v>34</v>
      </c>
      <c r="C49" s="58" t="s">
        <v>101</v>
      </c>
      <c r="D49" s="57" t="s">
        <v>40</v>
      </c>
      <c r="E49" s="45">
        <v>4224.3999999999996</v>
      </c>
      <c r="F49" s="59">
        <f>SUM(E49*2/1000)</f>
        <v>8.4487999999999985</v>
      </c>
      <c r="G49" s="13">
        <v>579.48</v>
      </c>
      <c r="H49" s="60">
        <f t="shared" si="8"/>
        <v>4.895910623999999</v>
      </c>
      <c r="I49" s="13">
        <f t="shared" si="9"/>
        <v>2447.9553119999996</v>
      </c>
      <c r="J49" s="23"/>
      <c r="L49" s="19"/>
      <c r="M49" s="20"/>
      <c r="N49" s="21"/>
    </row>
    <row r="50" spans="1:22" ht="15.75" hidden="1" customHeight="1">
      <c r="A50" s="29">
        <v>15</v>
      </c>
      <c r="B50" s="57" t="s">
        <v>35</v>
      </c>
      <c r="C50" s="58" t="s">
        <v>101</v>
      </c>
      <c r="D50" s="57" t="s">
        <v>40</v>
      </c>
      <c r="E50" s="45">
        <v>3059.7</v>
      </c>
      <c r="F50" s="59">
        <f>SUM(E50*2/1000)</f>
        <v>6.1193999999999997</v>
      </c>
      <c r="G50" s="13">
        <v>606.77</v>
      </c>
      <c r="H50" s="60">
        <f t="shared" si="8"/>
        <v>3.7130683379999998</v>
      </c>
      <c r="I50" s="13">
        <f>F50/2*G50</f>
        <v>1856.5341689999998</v>
      </c>
      <c r="J50" s="23"/>
      <c r="L50" s="19"/>
      <c r="M50" s="20"/>
      <c r="N50" s="21"/>
    </row>
    <row r="51" spans="1:22" ht="15.75" customHeight="1">
      <c r="A51" s="29">
        <v>10</v>
      </c>
      <c r="B51" s="57" t="s">
        <v>53</v>
      </c>
      <c r="C51" s="58" t="s">
        <v>101</v>
      </c>
      <c r="D51" s="57" t="s">
        <v>178</v>
      </c>
      <c r="E51" s="45">
        <v>1150.5999999999999</v>
      </c>
      <c r="F51" s="59">
        <f>SUM(E51*5/1000)</f>
        <v>5.7530000000000001</v>
      </c>
      <c r="G51" s="110">
        <v>1739.68</v>
      </c>
      <c r="H51" s="60">
        <f t="shared" si="8"/>
        <v>10.008379039999999</v>
      </c>
      <c r="I51" s="13">
        <f>F51/5*G51</f>
        <v>2001.6758080000002</v>
      </c>
      <c r="J51" s="23"/>
      <c r="L51" s="19"/>
      <c r="M51" s="20"/>
      <c r="N51" s="21"/>
    </row>
    <row r="52" spans="1:22" ht="31.5" hidden="1" customHeight="1">
      <c r="A52" s="29">
        <v>12</v>
      </c>
      <c r="B52" s="57" t="s">
        <v>109</v>
      </c>
      <c r="C52" s="58" t="s">
        <v>101</v>
      </c>
      <c r="D52" s="57" t="s">
        <v>40</v>
      </c>
      <c r="E52" s="45">
        <v>1150.5999999999999</v>
      </c>
      <c r="F52" s="59">
        <f>SUM(E52*2/1000)</f>
        <v>2.3011999999999997</v>
      </c>
      <c r="G52" s="13">
        <v>1213.55</v>
      </c>
      <c r="H52" s="60">
        <f t="shared" si="8"/>
        <v>2.7926212599999993</v>
      </c>
      <c r="I52" s="13">
        <f>F52/2*G52</f>
        <v>1396.3106299999997</v>
      </c>
      <c r="J52" s="23"/>
      <c r="L52" s="19"/>
      <c r="M52" s="20"/>
      <c r="N52" s="21"/>
    </row>
    <row r="53" spans="1:22" ht="31.5" hidden="1" customHeight="1">
      <c r="A53" s="29">
        <v>13</v>
      </c>
      <c r="B53" s="57" t="s">
        <v>110</v>
      </c>
      <c r="C53" s="58" t="s">
        <v>36</v>
      </c>
      <c r="D53" s="57" t="s">
        <v>40</v>
      </c>
      <c r="E53" s="45">
        <v>30</v>
      </c>
      <c r="F53" s="59">
        <f>SUM(E53*2/100)</f>
        <v>0.6</v>
      </c>
      <c r="G53" s="13">
        <v>2730.49</v>
      </c>
      <c r="H53" s="60">
        <f t="shared" si="8"/>
        <v>1.6382939999999999</v>
      </c>
      <c r="I53" s="13">
        <f>F53/2*G53</f>
        <v>819.14699999999993</v>
      </c>
      <c r="J53" s="23"/>
      <c r="L53" s="19"/>
      <c r="M53" s="20"/>
      <c r="N53" s="21"/>
    </row>
    <row r="54" spans="1:22" ht="15.75" hidden="1" customHeight="1">
      <c r="A54" s="29">
        <v>14</v>
      </c>
      <c r="B54" s="57" t="s">
        <v>37</v>
      </c>
      <c r="C54" s="58" t="s">
        <v>38</v>
      </c>
      <c r="D54" s="57" t="s">
        <v>40</v>
      </c>
      <c r="E54" s="45">
        <v>1</v>
      </c>
      <c r="F54" s="59">
        <v>0.02</v>
      </c>
      <c r="G54" s="13">
        <v>5652.13</v>
      </c>
      <c r="H54" s="60">
        <f t="shared" si="8"/>
        <v>0.11304260000000001</v>
      </c>
      <c r="I54" s="13">
        <f>F54/2*G54</f>
        <v>56.521300000000004</v>
      </c>
      <c r="J54" s="23"/>
      <c r="L54" s="19"/>
      <c r="M54" s="20"/>
      <c r="N54" s="21"/>
    </row>
    <row r="55" spans="1:22" ht="15.75" hidden="1" customHeight="1">
      <c r="A55" s="29">
        <v>15</v>
      </c>
      <c r="B55" s="57" t="s">
        <v>39</v>
      </c>
      <c r="C55" s="58" t="s">
        <v>111</v>
      </c>
      <c r="D55" s="57" t="s">
        <v>68</v>
      </c>
      <c r="E55" s="45">
        <v>158</v>
      </c>
      <c r="F55" s="59">
        <f>SUM(E55)*3</f>
        <v>474</v>
      </c>
      <c r="G55" s="13">
        <v>65.67</v>
      </c>
      <c r="H55" s="60">
        <f t="shared" si="8"/>
        <v>31.127580000000002</v>
      </c>
      <c r="I55" s="13">
        <f>E55*G55</f>
        <v>10375.86</v>
      </c>
      <c r="J55" s="23"/>
      <c r="L55" s="19"/>
      <c r="M55" s="20"/>
      <c r="N55" s="21"/>
    </row>
    <row r="56" spans="1:22" ht="16.5" customHeight="1">
      <c r="A56" s="214" t="s">
        <v>122</v>
      </c>
      <c r="B56" s="215"/>
      <c r="C56" s="215"/>
      <c r="D56" s="215"/>
      <c r="E56" s="215"/>
      <c r="F56" s="215"/>
      <c r="G56" s="215"/>
      <c r="H56" s="215"/>
      <c r="I56" s="216"/>
      <c r="J56" s="23"/>
      <c r="L56" s="19"/>
      <c r="M56" s="20"/>
      <c r="N56" s="21"/>
    </row>
    <row r="57" spans="1:22" ht="15.75" hidden="1" customHeight="1">
      <c r="A57" s="29"/>
      <c r="B57" s="76" t="s">
        <v>41</v>
      </c>
      <c r="C57" s="58"/>
      <c r="D57" s="57"/>
      <c r="E57" s="45"/>
      <c r="F57" s="59"/>
      <c r="G57" s="59"/>
      <c r="H57" s="60"/>
      <c r="I57" s="13"/>
      <c r="J57" s="23"/>
      <c r="L57" s="19"/>
      <c r="M57" s="20"/>
      <c r="N57" s="21"/>
    </row>
    <row r="58" spans="1:22" ht="31.5" hidden="1" customHeight="1">
      <c r="A58" s="29">
        <v>15</v>
      </c>
      <c r="B58" s="57" t="s">
        <v>135</v>
      </c>
      <c r="C58" s="58" t="s">
        <v>93</v>
      </c>
      <c r="D58" s="57"/>
      <c r="E58" s="85">
        <v>6</v>
      </c>
      <c r="F58" s="13">
        <f>E58*8/100</f>
        <v>0.48</v>
      </c>
      <c r="G58" s="187">
        <v>2218.11</v>
      </c>
      <c r="H58" s="60">
        <f>SUM(F58*G58/1000)</f>
        <v>1.0646928</v>
      </c>
      <c r="I58" s="13">
        <f>G58*0.61</f>
        <v>1353.0471</v>
      </c>
      <c r="J58" s="23"/>
      <c r="L58" s="19"/>
      <c r="M58" s="20"/>
      <c r="N58" s="21"/>
    </row>
    <row r="59" spans="1:22" ht="15.75" hidden="1" customHeight="1">
      <c r="A59" s="86"/>
      <c r="B59" s="57" t="s">
        <v>90</v>
      </c>
      <c r="C59" s="58" t="s">
        <v>91</v>
      </c>
      <c r="D59" s="57" t="s">
        <v>40</v>
      </c>
      <c r="E59" s="45">
        <v>6</v>
      </c>
      <c r="F59" s="59">
        <v>12</v>
      </c>
      <c r="G59" s="65">
        <v>180.78</v>
      </c>
      <c r="H59" s="60">
        <f t="shared" ref="H59" si="10">SUM(F59*G59/1000)</f>
        <v>2.1693600000000002</v>
      </c>
      <c r="I59" s="13">
        <v>0</v>
      </c>
      <c r="J59" s="23"/>
      <c r="L59" s="19"/>
      <c r="M59" s="20"/>
      <c r="N59" s="21"/>
    </row>
    <row r="60" spans="1:22" ht="15.75" customHeight="1">
      <c r="A60" s="29"/>
      <c r="B60" s="77" t="s">
        <v>42</v>
      </c>
      <c r="C60" s="66"/>
      <c r="D60" s="67"/>
      <c r="E60" s="68"/>
      <c r="F60" s="70"/>
      <c r="G60" s="13"/>
      <c r="H60" s="71"/>
      <c r="I60" s="13"/>
      <c r="J60" s="23"/>
      <c r="L60" s="19"/>
      <c r="M60" s="20"/>
      <c r="N60" s="21"/>
    </row>
    <row r="61" spans="1:22" ht="15.75" customHeight="1">
      <c r="A61" s="29">
        <v>11</v>
      </c>
      <c r="B61" s="67" t="s">
        <v>87</v>
      </c>
      <c r="C61" s="66" t="s">
        <v>25</v>
      </c>
      <c r="D61" s="67"/>
      <c r="E61" s="68">
        <v>232.6</v>
      </c>
      <c r="F61" s="69">
        <v>2400</v>
      </c>
      <c r="G61" s="87">
        <v>1.4</v>
      </c>
      <c r="H61" s="70">
        <f>G61*F61</f>
        <v>3360</v>
      </c>
      <c r="I61" s="13">
        <f>F61/12*G61</f>
        <v>280</v>
      </c>
      <c r="J61" s="23"/>
      <c r="L61" s="19"/>
    </row>
    <row r="62" spans="1:22" ht="15.75" hidden="1" customHeight="1">
      <c r="A62" s="29"/>
      <c r="B62" s="77" t="s">
        <v>43</v>
      </c>
      <c r="C62" s="66"/>
      <c r="D62" s="67"/>
      <c r="E62" s="68"/>
      <c r="F62" s="69"/>
      <c r="G62" s="69"/>
      <c r="H62" s="70" t="s">
        <v>118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hidden="1" customHeight="1">
      <c r="A63" s="29">
        <v>16</v>
      </c>
      <c r="B63" s="14" t="s">
        <v>44</v>
      </c>
      <c r="C63" s="16" t="s">
        <v>111</v>
      </c>
      <c r="D63" s="14" t="s">
        <v>63</v>
      </c>
      <c r="E63" s="18">
        <v>15</v>
      </c>
      <c r="F63" s="59">
        <v>15</v>
      </c>
      <c r="G63" s="13">
        <v>209.41</v>
      </c>
      <c r="H63" s="72">
        <f t="shared" ref="H63:H70" si="11">SUM(F63*G63/1000)</f>
        <v>3.1411500000000001</v>
      </c>
      <c r="I63" s="13">
        <f>G63</f>
        <v>209.41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14" t="s">
        <v>45</v>
      </c>
      <c r="C64" s="16" t="s">
        <v>111</v>
      </c>
      <c r="D64" s="14" t="s">
        <v>63</v>
      </c>
      <c r="E64" s="18">
        <v>5</v>
      </c>
      <c r="F64" s="59">
        <v>5</v>
      </c>
      <c r="G64" s="13">
        <v>71.790000000000006</v>
      </c>
      <c r="H64" s="72">
        <f t="shared" si="11"/>
        <v>0.35895000000000005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>
        <v>24</v>
      </c>
      <c r="B65" s="14" t="s">
        <v>46</v>
      </c>
      <c r="C65" s="16" t="s">
        <v>112</v>
      </c>
      <c r="D65" s="14" t="s">
        <v>51</v>
      </c>
      <c r="E65" s="45">
        <v>18281</v>
      </c>
      <c r="F65" s="13">
        <f>SUM(E65/100)</f>
        <v>182.81</v>
      </c>
      <c r="G65" s="13">
        <v>199.77</v>
      </c>
      <c r="H65" s="72">
        <f t="shared" si="11"/>
        <v>36.519953700000002</v>
      </c>
      <c r="I65" s="13">
        <f>F65*G65</f>
        <v>36519.953700000005</v>
      </c>
      <c r="J65" s="5"/>
      <c r="K65" s="5"/>
      <c r="L65" s="5"/>
      <c r="M65" s="5"/>
      <c r="N65" s="5"/>
      <c r="O65" s="5"/>
      <c r="P65" s="5"/>
      <c r="Q65" s="5"/>
      <c r="R65" s="210"/>
      <c r="S65" s="210"/>
      <c r="T65" s="210"/>
      <c r="U65" s="210"/>
    </row>
    <row r="66" spans="1:21" ht="15.75" hidden="1" customHeight="1">
      <c r="A66" s="29">
        <v>25</v>
      </c>
      <c r="B66" s="14" t="s">
        <v>47</v>
      </c>
      <c r="C66" s="16" t="s">
        <v>113</v>
      </c>
      <c r="D66" s="14"/>
      <c r="E66" s="45">
        <v>18281</v>
      </c>
      <c r="F66" s="13">
        <f>SUM(E66/1000)</f>
        <v>18.280999999999999</v>
      </c>
      <c r="G66" s="13">
        <v>155.57</v>
      </c>
      <c r="H66" s="72">
        <f t="shared" si="11"/>
        <v>2.8439751699999998</v>
      </c>
      <c r="I66" s="13">
        <f t="shared" ref="I66:I69" si="12">F66*G66</f>
        <v>2843.9751699999997</v>
      </c>
    </row>
    <row r="67" spans="1:21" ht="15.75" hidden="1" customHeight="1">
      <c r="A67" s="29">
        <v>26</v>
      </c>
      <c r="B67" s="14" t="s">
        <v>48</v>
      </c>
      <c r="C67" s="16" t="s">
        <v>72</v>
      </c>
      <c r="D67" s="14" t="s">
        <v>51</v>
      </c>
      <c r="E67" s="45">
        <v>2730</v>
      </c>
      <c r="F67" s="13">
        <f>SUM(E67/100)</f>
        <v>27.3</v>
      </c>
      <c r="G67" s="13">
        <v>1953.52</v>
      </c>
      <c r="H67" s="72">
        <f t="shared" si="11"/>
        <v>53.331095999999995</v>
      </c>
      <c r="I67" s="13">
        <f t="shared" si="12"/>
        <v>53331.095999999998</v>
      </c>
    </row>
    <row r="68" spans="1:21" ht="15.75" hidden="1" customHeight="1">
      <c r="A68" s="29">
        <v>27</v>
      </c>
      <c r="B68" s="73" t="s">
        <v>114</v>
      </c>
      <c r="C68" s="16" t="s">
        <v>32</v>
      </c>
      <c r="D68" s="14"/>
      <c r="E68" s="45">
        <v>16.399999999999999</v>
      </c>
      <c r="F68" s="13">
        <f>SUM(E68)</f>
        <v>16.399999999999999</v>
      </c>
      <c r="G68" s="13">
        <v>40.270000000000003</v>
      </c>
      <c r="H68" s="72">
        <f t="shared" si="11"/>
        <v>0.66042800000000002</v>
      </c>
      <c r="I68" s="13">
        <f t="shared" si="12"/>
        <v>660.428</v>
      </c>
    </row>
    <row r="69" spans="1:21" ht="15.75" hidden="1" customHeight="1">
      <c r="A69" s="29">
        <v>28</v>
      </c>
      <c r="B69" s="73" t="s">
        <v>115</v>
      </c>
      <c r="C69" s="16" t="s">
        <v>32</v>
      </c>
      <c r="D69" s="14"/>
      <c r="E69" s="45">
        <v>16.399999999999999</v>
      </c>
      <c r="F69" s="13">
        <f>SUM(E69)</f>
        <v>16.399999999999999</v>
      </c>
      <c r="G69" s="13">
        <v>37.71</v>
      </c>
      <c r="H69" s="72">
        <f t="shared" si="11"/>
        <v>0.61844399999999999</v>
      </c>
      <c r="I69" s="13">
        <f t="shared" si="12"/>
        <v>618.44399999999996</v>
      </c>
    </row>
    <row r="70" spans="1:21" ht="15.75" hidden="1" customHeight="1">
      <c r="A70" s="29">
        <v>19</v>
      </c>
      <c r="B70" s="14" t="s">
        <v>54</v>
      </c>
      <c r="C70" s="16" t="s">
        <v>55</v>
      </c>
      <c r="D70" s="14" t="s">
        <v>51</v>
      </c>
      <c r="E70" s="18">
        <v>7</v>
      </c>
      <c r="F70" s="59">
        <f>SUM(E70)</f>
        <v>7</v>
      </c>
      <c r="G70" s="13">
        <v>46.97</v>
      </c>
      <c r="H70" s="72">
        <f t="shared" si="11"/>
        <v>0.32878999999999997</v>
      </c>
      <c r="I70" s="13">
        <f>G70*7</f>
        <v>328.78999999999996</v>
      </c>
    </row>
    <row r="71" spans="1:21" ht="15.75" customHeight="1">
      <c r="A71" s="29"/>
      <c r="B71" s="135" t="s">
        <v>166</v>
      </c>
      <c r="C71" s="113"/>
      <c r="D71" s="100"/>
      <c r="E71" s="17"/>
      <c r="F71" s="98"/>
      <c r="G71" s="98"/>
      <c r="H71" s="75"/>
      <c r="I71" s="62"/>
    </row>
    <row r="72" spans="1:21" ht="33" customHeight="1">
      <c r="A72" s="29">
        <v>12</v>
      </c>
      <c r="B72" s="100" t="s">
        <v>167</v>
      </c>
      <c r="C72" s="35" t="s">
        <v>168</v>
      </c>
      <c r="D72" s="100"/>
      <c r="E72" s="17">
        <v>4224.3999999999996</v>
      </c>
      <c r="F72" s="98">
        <f>E72*12</f>
        <v>50692.799999999996</v>
      </c>
      <c r="G72" s="98">
        <v>2.4900000000000002</v>
      </c>
      <c r="H72" s="75"/>
      <c r="I72" s="13">
        <f>G72*F72/12</f>
        <v>10518.755999999999</v>
      </c>
    </row>
    <row r="73" spans="1:21" ht="15.75" customHeight="1">
      <c r="A73" s="29"/>
      <c r="B73" s="90" t="s">
        <v>69</v>
      </c>
      <c r="C73" s="16"/>
      <c r="D73" s="14"/>
      <c r="E73" s="18"/>
      <c r="F73" s="13"/>
      <c r="G73" s="13"/>
      <c r="H73" s="72" t="s">
        <v>118</v>
      </c>
      <c r="I73" s="13"/>
    </row>
    <row r="74" spans="1:21" ht="15.75" hidden="1" customHeight="1">
      <c r="A74" s="29"/>
      <c r="B74" s="14" t="s">
        <v>80</v>
      </c>
      <c r="C74" s="16" t="s">
        <v>30</v>
      </c>
      <c r="D74" s="14"/>
      <c r="E74" s="18">
        <v>1</v>
      </c>
      <c r="F74" s="59">
        <f>SUM(E74)</f>
        <v>1</v>
      </c>
      <c r="G74" s="13">
        <v>337.58</v>
      </c>
      <c r="H74" s="72">
        <f t="shared" ref="H74" si="13">SUM(F74*G74/1000)</f>
        <v>0.33757999999999999</v>
      </c>
      <c r="I74" s="13">
        <v>0</v>
      </c>
    </row>
    <row r="75" spans="1:21" ht="15.75" hidden="1" customHeight="1">
      <c r="A75" s="29"/>
      <c r="B75" s="14" t="s">
        <v>70</v>
      </c>
      <c r="C75" s="16" t="s">
        <v>30</v>
      </c>
      <c r="D75" s="14"/>
      <c r="E75" s="18">
        <v>2</v>
      </c>
      <c r="F75" s="13">
        <v>2</v>
      </c>
      <c r="G75" s="13">
        <v>803.19</v>
      </c>
      <c r="H75" s="72">
        <f>F75*G75/1000</f>
        <v>1.6063800000000001</v>
      </c>
      <c r="I75" s="13">
        <v>0</v>
      </c>
    </row>
    <row r="76" spans="1:21" ht="15.75" customHeight="1">
      <c r="A76" s="29">
        <v>13</v>
      </c>
      <c r="B76" s="95" t="s">
        <v>169</v>
      </c>
      <c r="C76" s="96" t="s">
        <v>111</v>
      </c>
      <c r="D76" s="100" t="s">
        <v>180</v>
      </c>
      <c r="E76" s="17">
        <v>2</v>
      </c>
      <c r="F76" s="98">
        <f>E76*12</f>
        <v>24</v>
      </c>
      <c r="G76" s="98">
        <v>404</v>
      </c>
      <c r="H76" s="72"/>
      <c r="I76" s="13">
        <f>G76*2</f>
        <v>808</v>
      </c>
    </row>
    <row r="77" spans="1:21" ht="15.75" hidden="1" customHeight="1">
      <c r="A77" s="29"/>
      <c r="B77" s="74" t="s">
        <v>71</v>
      </c>
      <c r="C77" s="16"/>
      <c r="D77" s="14"/>
      <c r="E77" s="18"/>
      <c r="F77" s="13"/>
      <c r="G77" s="13" t="s">
        <v>118</v>
      </c>
      <c r="H77" s="72" t="s">
        <v>118</v>
      </c>
      <c r="I77" s="13"/>
    </row>
    <row r="78" spans="1:21" ht="15.75" hidden="1" customHeight="1">
      <c r="A78" s="29"/>
      <c r="B78" s="42" t="s">
        <v>119</v>
      </c>
      <c r="C78" s="16" t="s">
        <v>72</v>
      </c>
      <c r="D78" s="14"/>
      <c r="E78" s="18"/>
      <c r="F78" s="13">
        <v>1.35</v>
      </c>
      <c r="G78" s="13">
        <v>2494</v>
      </c>
      <c r="H78" s="72">
        <f t="shared" ref="H78" si="14">SUM(F78*G78/1000)</f>
        <v>3.3669000000000002</v>
      </c>
      <c r="I78" s="13">
        <v>0</v>
      </c>
    </row>
    <row r="79" spans="1:21" ht="16.5" hidden="1" customHeight="1">
      <c r="A79" s="29"/>
      <c r="B79" s="61" t="s">
        <v>116</v>
      </c>
      <c r="C79" s="74"/>
      <c r="D79" s="31"/>
      <c r="E79" s="32"/>
      <c r="F79" s="62"/>
      <c r="G79" s="62"/>
      <c r="H79" s="75">
        <f>SUM(H58:H78)</f>
        <v>3466.3476996699997</v>
      </c>
      <c r="I79" s="62"/>
    </row>
    <row r="80" spans="1:21" ht="18" hidden="1" customHeight="1">
      <c r="A80" s="29">
        <v>15</v>
      </c>
      <c r="B80" s="57" t="s">
        <v>117</v>
      </c>
      <c r="C80" s="16"/>
      <c r="D80" s="14"/>
      <c r="E80" s="52"/>
      <c r="F80" s="13">
        <v>1</v>
      </c>
      <c r="G80" s="13">
        <v>6530</v>
      </c>
      <c r="H80" s="72">
        <f>G80*F80/1000</f>
        <v>6.53</v>
      </c>
      <c r="I80" s="13">
        <f>G80</f>
        <v>6530</v>
      </c>
    </row>
    <row r="81" spans="1:9" ht="15.75" customHeight="1">
      <c r="A81" s="223" t="s">
        <v>123</v>
      </c>
      <c r="B81" s="224"/>
      <c r="C81" s="224"/>
      <c r="D81" s="224"/>
      <c r="E81" s="224"/>
      <c r="F81" s="224"/>
      <c r="G81" s="224"/>
      <c r="H81" s="224"/>
      <c r="I81" s="225"/>
    </row>
    <row r="82" spans="1:9" ht="15.75" customHeight="1">
      <c r="A82" s="29">
        <v>14</v>
      </c>
      <c r="B82" s="100" t="s">
        <v>120</v>
      </c>
      <c r="C82" s="113" t="s">
        <v>52</v>
      </c>
      <c r="D82" s="136"/>
      <c r="E82" s="98">
        <v>4224.3999999999996</v>
      </c>
      <c r="F82" s="98">
        <f>SUM(E82*12)</f>
        <v>50692.799999999996</v>
      </c>
      <c r="G82" s="98">
        <v>3.38</v>
      </c>
      <c r="H82" s="13">
        <f>SUM(F82*G82/1000)</f>
        <v>171.34166399999998</v>
      </c>
      <c r="I82" s="13">
        <f>F82/12*G82</f>
        <v>14278.471999999998</v>
      </c>
    </row>
    <row r="83" spans="1:9" ht="31.5" customHeight="1">
      <c r="A83" s="29">
        <v>15</v>
      </c>
      <c r="B83" s="155" t="s">
        <v>170</v>
      </c>
      <c r="C83" s="138" t="s">
        <v>52</v>
      </c>
      <c r="D83" s="139"/>
      <c r="E83" s="140">
        <f>E82</f>
        <v>4224.3999999999996</v>
      </c>
      <c r="F83" s="141">
        <f>E83*12</f>
        <v>50692.799999999996</v>
      </c>
      <c r="G83" s="141">
        <v>3.05</v>
      </c>
      <c r="H83" s="156">
        <f>F83*G83/1000</f>
        <v>154.61303999999998</v>
      </c>
      <c r="I83" s="157">
        <f>F83/12*G83</f>
        <v>12884.419999999998</v>
      </c>
    </row>
    <row r="84" spans="1:9" ht="15.75" customHeight="1">
      <c r="A84" s="92"/>
      <c r="B84" s="34" t="s">
        <v>74</v>
      </c>
      <c r="C84" s="35"/>
      <c r="D84" s="15"/>
      <c r="E84" s="15"/>
      <c r="F84" s="15"/>
      <c r="G84" s="18"/>
      <c r="H84" s="18"/>
      <c r="I84" s="32">
        <f>I83+I82+I76+I72+I61+I51+I45+I42+I41+I38+I37+I21+I20+I18+I16</f>
        <v>64606.517986999985</v>
      </c>
    </row>
    <row r="85" spans="1:9" ht="15.75" customHeight="1">
      <c r="A85" s="220" t="s">
        <v>57</v>
      </c>
      <c r="B85" s="221"/>
      <c r="C85" s="221"/>
      <c r="D85" s="221"/>
      <c r="E85" s="221"/>
      <c r="F85" s="221"/>
      <c r="G85" s="221"/>
      <c r="H85" s="221"/>
      <c r="I85" s="222"/>
    </row>
    <row r="86" spans="1:9" ht="17.25" customHeight="1">
      <c r="A86" s="29">
        <v>16</v>
      </c>
      <c r="B86" s="100" t="s">
        <v>228</v>
      </c>
      <c r="C86" s="113" t="s">
        <v>157</v>
      </c>
      <c r="D86" s="97" t="s">
        <v>362</v>
      </c>
      <c r="E86" s="98"/>
      <c r="F86" s="98">
        <v>31</v>
      </c>
      <c r="G86" s="98">
        <v>295.36</v>
      </c>
      <c r="H86" s="99"/>
      <c r="I86" s="13">
        <f>G86*2</f>
        <v>590.72</v>
      </c>
    </row>
    <row r="87" spans="1:9" ht="15.75" customHeight="1">
      <c r="A87" s="29">
        <v>17</v>
      </c>
      <c r="B87" s="100" t="s">
        <v>152</v>
      </c>
      <c r="C87" s="113" t="s">
        <v>157</v>
      </c>
      <c r="D87" s="97" t="s">
        <v>363</v>
      </c>
      <c r="E87" s="98"/>
      <c r="F87" s="98">
        <v>82</v>
      </c>
      <c r="G87" s="98">
        <v>295.36</v>
      </c>
      <c r="H87" s="99"/>
      <c r="I87" s="13">
        <v>0</v>
      </c>
    </row>
    <row r="88" spans="1:9" ht="15.75" customHeight="1">
      <c r="A88" s="29">
        <v>18</v>
      </c>
      <c r="B88" s="100" t="s">
        <v>188</v>
      </c>
      <c r="C88" s="113" t="s">
        <v>189</v>
      </c>
      <c r="D88" s="97"/>
      <c r="E88" s="98"/>
      <c r="F88" s="98">
        <v>6</v>
      </c>
      <c r="G88" s="98">
        <v>236.08</v>
      </c>
      <c r="H88" s="72"/>
      <c r="I88" s="13">
        <f>G88*1</f>
        <v>236.08</v>
      </c>
    </row>
    <row r="89" spans="1:9" ht="32.25" customHeight="1">
      <c r="A89" s="29">
        <v>19</v>
      </c>
      <c r="B89" s="95" t="s">
        <v>352</v>
      </c>
      <c r="C89" s="96" t="s">
        <v>283</v>
      </c>
      <c r="D89" s="97"/>
      <c r="E89" s="98"/>
      <c r="F89" s="98">
        <v>1</v>
      </c>
      <c r="G89" s="98">
        <v>3054.4</v>
      </c>
      <c r="H89" s="72"/>
      <c r="I89" s="13">
        <f>G89*1</f>
        <v>3054.4</v>
      </c>
    </row>
    <row r="90" spans="1:9" ht="29.25" customHeight="1">
      <c r="A90" s="29">
        <v>20</v>
      </c>
      <c r="B90" s="95" t="s">
        <v>353</v>
      </c>
      <c r="C90" s="116" t="s">
        <v>354</v>
      </c>
      <c r="D90" s="97" t="s">
        <v>322</v>
      </c>
      <c r="E90" s="98"/>
      <c r="F90" s="98">
        <v>0.1</v>
      </c>
      <c r="G90" s="98">
        <v>12171.02</v>
      </c>
      <c r="H90" s="72"/>
      <c r="I90" s="13">
        <f>G90*0.1</f>
        <v>1217.1020000000001</v>
      </c>
    </row>
    <row r="91" spans="1:9" ht="33.75" customHeight="1">
      <c r="A91" s="29">
        <v>21</v>
      </c>
      <c r="B91" s="158" t="s">
        <v>355</v>
      </c>
      <c r="C91" s="35" t="s">
        <v>356</v>
      </c>
      <c r="D91" s="204">
        <v>44540</v>
      </c>
      <c r="E91" s="98"/>
      <c r="F91" s="98">
        <v>0.2</v>
      </c>
      <c r="G91" s="98">
        <v>1948.52</v>
      </c>
      <c r="H91" s="72"/>
      <c r="I91" s="13">
        <f>G91*0.2</f>
        <v>389.70400000000001</v>
      </c>
    </row>
    <row r="92" spans="1:9" ht="15.75" customHeight="1">
      <c r="A92" s="29">
        <v>22</v>
      </c>
      <c r="B92" s="95" t="s">
        <v>357</v>
      </c>
      <c r="C92" s="96" t="s">
        <v>358</v>
      </c>
      <c r="D92" s="97"/>
      <c r="E92" s="98"/>
      <c r="F92" s="98">
        <v>1</v>
      </c>
      <c r="G92" s="98">
        <v>960.81</v>
      </c>
      <c r="H92" s="72"/>
      <c r="I92" s="13">
        <f>G92*1</f>
        <v>960.81</v>
      </c>
    </row>
    <row r="93" spans="1:9" ht="15.75" customHeight="1">
      <c r="A93" s="29">
        <v>23</v>
      </c>
      <c r="B93" s="95" t="s">
        <v>326</v>
      </c>
      <c r="C93" s="96" t="s">
        <v>111</v>
      </c>
      <c r="D93" s="97"/>
      <c r="E93" s="98"/>
      <c r="F93" s="98">
        <v>3</v>
      </c>
      <c r="G93" s="98">
        <v>224.48</v>
      </c>
      <c r="H93" s="72"/>
      <c r="I93" s="13">
        <f>G93*2</f>
        <v>448.96</v>
      </c>
    </row>
    <row r="94" spans="1:9" ht="15.75" customHeight="1">
      <c r="A94" s="29">
        <v>24</v>
      </c>
      <c r="B94" s="95" t="s">
        <v>219</v>
      </c>
      <c r="C94" s="96" t="s">
        <v>77</v>
      </c>
      <c r="D94" s="97" t="s">
        <v>358</v>
      </c>
      <c r="E94" s="98"/>
      <c r="F94" s="98">
        <v>2</v>
      </c>
      <c r="G94" s="98">
        <v>280.70999999999998</v>
      </c>
      <c r="H94" s="72"/>
      <c r="I94" s="13">
        <f>G94*1</f>
        <v>280.70999999999998</v>
      </c>
    </row>
    <row r="95" spans="1:9" ht="15.75" customHeight="1">
      <c r="A95" s="29">
        <v>25</v>
      </c>
      <c r="B95" s="95" t="s">
        <v>200</v>
      </c>
      <c r="C95" s="96" t="s">
        <v>38</v>
      </c>
      <c r="D95" s="97" t="s">
        <v>178</v>
      </c>
      <c r="E95" s="98"/>
      <c r="F95" s="98">
        <v>7.0000000000000007E-2</v>
      </c>
      <c r="G95" s="98">
        <v>28224.75</v>
      </c>
      <c r="H95" s="72"/>
      <c r="I95" s="13">
        <v>0</v>
      </c>
    </row>
    <row r="96" spans="1:9" ht="30.75" customHeight="1">
      <c r="A96" s="29">
        <v>25</v>
      </c>
      <c r="B96" s="95" t="s">
        <v>359</v>
      </c>
      <c r="C96" s="96" t="s">
        <v>360</v>
      </c>
      <c r="D96" s="97" t="s">
        <v>361</v>
      </c>
      <c r="E96" s="98"/>
      <c r="F96" s="98">
        <v>1.5</v>
      </c>
      <c r="G96" s="98">
        <v>2907.99</v>
      </c>
      <c r="H96" s="72"/>
      <c r="I96" s="13">
        <f>G96*1.5</f>
        <v>4361.9849999999997</v>
      </c>
    </row>
    <row r="97" spans="1:9" ht="15.75" customHeight="1">
      <c r="A97" s="29"/>
      <c r="B97" s="40" t="s">
        <v>49</v>
      </c>
      <c r="C97" s="36"/>
      <c r="D97" s="43"/>
      <c r="E97" s="36">
        <v>1</v>
      </c>
      <c r="F97" s="36"/>
      <c r="G97" s="36"/>
      <c r="H97" s="36"/>
      <c r="I97" s="32">
        <f>SUM(I86:I96)</f>
        <v>11540.471000000001</v>
      </c>
    </row>
    <row r="98" spans="1:9" ht="15.75" customHeight="1">
      <c r="A98" s="29"/>
      <c r="B98" s="42" t="s">
        <v>73</v>
      </c>
      <c r="C98" s="15"/>
      <c r="D98" s="15"/>
      <c r="E98" s="37"/>
      <c r="F98" s="37"/>
      <c r="G98" s="38"/>
      <c r="H98" s="38"/>
      <c r="I98" s="17">
        <v>0</v>
      </c>
    </row>
    <row r="99" spans="1:9" ht="15.75" customHeight="1">
      <c r="A99" s="44"/>
      <c r="B99" s="41" t="s">
        <v>129</v>
      </c>
      <c r="C99" s="33"/>
      <c r="D99" s="33"/>
      <c r="E99" s="33"/>
      <c r="F99" s="33"/>
      <c r="G99" s="33"/>
      <c r="H99" s="33"/>
      <c r="I99" s="39">
        <f>I84+I97</f>
        <v>76146.98898699999</v>
      </c>
    </row>
    <row r="100" spans="1:9" ht="15.75" customHeight="1">
      <c r="A100" s="217" t="s">
        <v>364</v>
      </c>
      <c r="B100" s="217"/>
      <c r="C100" s="217"/>
      <c r="D100" s="217"/>
      <c r="E100" s="217"/>
      <c r="F100" s="217"/>
      <c r="G100" s="217"/>
      <c r="H100" s="217"/>
      <c r="I100" s="217"/>
    </row>
    <row r="101" spans="1:9" ht="15.75" customHeight="1">
      <c r="A101" s="51"/>
      <c r="B101" s="218" t="s">
        <v>365</v>
      </c>
      <c r="C101" s="218"/>
      <c r="D101" s="218"/>
      <c r="E101" s="218"/>
      <c r="F101" s="218"/>
      <c r="G101" s="218"/>
      <c r="H101" s="56"/>
      <c r="I101" s="3"/>
    </row>
    <row r="102" spans="1:9" ht="15.75" customHeight="1">
      <c r="A102" s="88"/>
      <c r="B102" s="208" t="s">
        <v>6</v>
      </c>
      <c r="C102" s="208"/>
      <c r="D102" s="208"/>
      <c r="E102" s="208"/>
      <c r="F102" s="208"/>
      <c r="G102" s="208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219" t="s">
        <v>7</v>
      </c>
      <c r="B104" s="219"/>
      <c r="C104" s="219"/>
      <c r="D104" s="219"/>
      <c r="E104" s="219"/>
      <c r="F104" s="219"/>
      <c r="G104" s="219"/>
      <c r="H104" s="219"/>
      <c r="I104" s="219"/>
    </row>
    <row r="105" spans="1:9" ht="15.75" customHeight="1">
      <c r="A105" s="219" t="s">
        <v>8</v>
      </c>
      <c r="B105" s="219"/>
      <c r="C105" s="219"/>
      <c r="D105" s="219"/>
      <c r="E105" s="219"/>
      <c r="F105" s="219"/>
      <c r="G105" s="219"/>
      <c r="H105" s="219"/>
      <c r="I105" s="219"/>
    </row>
    <row r="106" spans="1:9" ht="15.75" customHeight="1">
      <c r="A106" s="212" t="s">
        <v>58</v>
      </c>
      <c r="B106" s="212"/>
      <c r="C106" s="212"/>
      <c r="D106" s="212"/>
      <c r="E106" s="212"/>
      <c r="F106" s="212"/>
      <c r="G106" s="212"/>
      <c r="H106" s="212"/>
      <c r="I106" s="212"/>
    </row>
    <row r="107" spans="1:9" ht="15.75" customHeight="1">
      <c r="A107" s="11"/>
    </row>
    <row r="108" spans="1:9" ht="15.75" customHeight="1">
      <c r="A108" s="206" t="s">
        <v>9</v>
      </c>
      <c r="B108" s="206"/>
      <c r="C108" s="206"/>
      <c r="D108" s="206"/>
      <c r="E108" s="206"/>
      <c r="F108" s="206"/>
      <c r="G108" s="206"/>
      <c r="H108" s="206"/>
      <c r="I108" s="206"/>
    </row>
    <row r="109" spans="1:9" ht="15.75" customHeight="1">
      <c r="A109" s="4"/>
    </row>
    <row r="110" spans="1:9" ht="15.75" customHeight="1">
      <c r="B110" s="91" t="s">
        <v>10</v>
      </c>
      <c r="C110" s="207" t="s">
        <v>217</v>
      </c>
      <c r="D110" s="207"/>
      <c r="E110" s="207"/>
      <c r="F110" s="54"/>
      <c r="I110" s="94"/>
    </row>
    <row r="111" spans="1:9" ht="15.75" customHeight="1">
      <c r="A111" s="88"/>
      <c r="C111" s="208" t="s">
        <v>11</v>
      </c>
      <c r="D111" s="208"/>
      <c r="E111" s="208"/>
      <c r="F111" s="24"/>
      <c r="I111" s="93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91" t="s">
        <v>13</v>
      </c>
      <c r="C113" s="209"/>
      <c r="D113" s="209"/>
      <c r="E113" s="209"/>
      <c r="F113" s="55"/>
      <c r="I113" s="94"/>
    </row>
    <row r="114" spans="1:9" ht="15.75" customHeight="1">
      <c r="A114" s="88"/>
      <c r="C114" s="210" t="s">
        <v>11</v>
      </c>
      <c r="D114" s="210"/>
      <c r="E114" s="210"/>
      <c r="F114" s="88"/>
      <c r="I114" s="93" t="s">
        <v>12</v>
      </c>
    </row>
    <row r="115" spans="1:9" ht="15.75" customHeight="1">
      <c r="A115" s="4" t="s">
        <v>14</v>
      </c>
    </row>
    <row r="116" spans="1:9" ht="15.75" customHeight="1">
      <c r="A116" s="211" t="s">
        <v>15</v>
      </c>
      <c r="B116" s="211"/>
      <c r="C116" s="211"/>
      <c r="D116" s="211"/>
      <c r="E116" s="211"/>
      <c r="F116" s="211"/>
      <c r="G116" s="211"/>
      <c r="H116" s="211"/>
      <c r="I116" s="211"/>
    </row>
    <row r="117" spans="1:9" ht="45" customHeight="1">
      <c r="A117" s="205" t="s">
        <v>16</v>
      </c>
      <c r="B117" s="205"/>
      <c r="C117" s="205"/>
      <c r="D117" s="205"/>
      <c r="E117" s="205"/>
      <c r="F117" s="205"/>
      <c r="G117" s="205"/>
      <c r="H117" s="205"/>
      <c r="I117" s="205"/>
    </row>
    <row r="118" spans="1:9" ht="30" customHeight="1">
      <c r="A118" s="205" t="s">
        <v>17</v>
      </c>
      <c r="B118" s="205"/>
      <c r="C118" s="205"/>
      <c r="D118" s="205"/>
      <c r="E118" s="205"/>
      <c r="F118" s="205"/>
      <c r="G118" s="205"/>
      <c r="H118" s="205"/>
      <c r="I118" s="205"/>
    </row>
    <row r="119" spans="1:9" ht="30" customHeight="1">
      <c r="A119" s="205" t="s">
        <v>21</v>
      </c>
      <c r="B119" s="205"/>
      <c r="C119" s="205"/>
      <c r="D119" s="205"/>
      <c r="E119" s="205"/>
      <c r="F119" s="205"/>
      <c r="G119" s="205"/>
      <c r="H119" s="205"/>
      <c r="I119" s="205"/>
    </row>
    <row r="120" spans="1:9" ht="15" customHeight="1">
      <c r="A120" s="205" t="s">
        <v>20</v>
      </c>
      <c r="B120" s="205"/>
      <c r="C120" s="205"/>
      <c r="D120" s="205"/>
      <c r="E120" s="205"/>
      <c r="F120" s="205"/>
      <c r="G120" s="205"/>
      <c r="H120" s="205"/>
      <c r="I120" s="205"/>
    </row>
  </sheetData>
  <autoFilter ref="I12:I61"/>
  <mergeCells count="29">
    <mergeCell ref="A116:I116"/>
    <mergeCell ref="A117:I117"/>
    <mergeCell ref="A118:I118"/>
    <mergeCell ref="A119:I119"/>
    <mergeCell ref="A120:I120"/>
    <mergeCell ref="R65:U65"/>
    <mergeCell ref="C114:E114"/>
    <mergeCell ref="A85:I85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1:I81"/>
    <mergeCell ref="A3:I3"/>
    <mergeCell ref="A4:I4"/>
    <mergeCell ref="A5:I5"/>
    <mergeCell ref="A8:I8"/>
    <mergeCell ref="A10:I10"/>
    <mergeCell ref="A14:I14"/>
    <mergeCell ref="A15:I15"/>
    <mergeCell ref="A27:I27"/>
    <mergeCell ref="A46:I46"/>
    <mergeCell ref="A56:I56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7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22"/>
  <sheetViews>
    <sheetView topLeftCell="A90" workbookViewId="0">
      <selection activeCell="A107" sqref="A107:I107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1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138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231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44255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218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15.75" customHeight="1">
      <c r="A16" s="29">
        <v>1</v>
      </c>
      <c r="B16" s="101" t="s">
        <v>158</v>
      </c>
      <c r="C16" s="102" t="s">
        <v>93</v>
      </c>
      <c r="D16" s="101" t="s">
        <v>223</v>
      </c>
      <c r="E16" s="123">
        <v>591.70000000000005</v>
      </c>
      <c r="F16" s="112">
        <f>SUM(E16*24/100)</f>
        <v>142.00800000000001</v>
      </c>
      <c r="G16" s="112">
        <v>322.51</v>
      </c>
      <c r="H16" s="60">
        <f t="shared" ref="H16:H25" si="0">SUM(F16*G16/1000)</f>
        <v>45.799000080000006</v>
      </c>
      <c r="I16" s="13">
        <f>G16*F16/24*3</f>
        <v>5724.8750100000007</v>
      </c>
      <c r="J16" s="8"/>
      <c r="K16" s="8"/>
      <c r="L16" s="8"/>
      <c r="M16" s="8"/>
    </row>
    <row r="17" spans="1:13" ht="15.75" hidden="1" customHeight="1">
      <c r="A17" s="29">
        <v>2</v>
      </c>
      <c r="B17" s="57" t="s">
        <v>84</v>
      </c>
      <c r="C17" s="58" t="s">
        <v>93</v>
      </c>
      <c r="D17" s="57" t="s">
        <v>125</v>
      </c>
      <c r="E17" s="45">
        <v>473.36</v>
      </c>
      <c r="F17" s="59">
        <f>SUM(E17*104/100)</f>
        <v>492.2944</v>
      </c>
      <c r="G17" s="59">
        <v>175.38</v>
      </c>
      <c r="H17" s="60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2</v>
      </c>
      <c r="B18" s="101" t="s">
        <v>85</v>
      </c>
      <c r="C18" s="102" t="s">
        <v>93</v>
      </c>
      <c r="D18" s="101" t="s">
        <v>178</v>
      </c>
      <c r="E18" s="123">
        <v>591.70000000000005</v>
      </c>
      <c r="F18" s="112">
        <f>SUM(E18*18/100)</f>
        <v>106.506</v>
      </c>
      <c r="G18" s="112">
        <v>723.23</v>
      </c>
      <c r="H18" s="60">
        <f t="shared" si="0"/>
        <v>77.028334380000004</v>
      </c>
      <c r="I18" s="13">
        <f>F18/18*1*G18</f>
        <v>4279.3519100000003</v>
      </c>
      <c r="J18" s="22"/>
      <c r="K18" s="8"/>
      <c r="L18" s="8"/>
      <c r="M18" s="8"/>
    </row>
    <row r="19" spans="1:13" ht="15.75" hidden="1" customHeight="1">
      <c r="A19" s="29"/>
      <c r="B19" s="101" t="s">
        <v>95</v>
      </c>
      <c r="C19" s="102" t="s">
        <v>96</v>
      </c>
      <c r="D19" s="101" t="s">
        <v>97</v>
      </c>
      <c r="E19" s="45">
        <v>38.4</v>
      </c>
      <c r="F19" s="59">
        <f>SUM(E19/10)</f>
        <v>3.84</v>
      </c>
      <c r="G19" s="59">
        <v>170.16</v>
      </c>
      <c r="H19" s="60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1" t="s">
        <v>88</v>
      </c>
      <c r="C20" s="102" t="s">
        <v>93</v>
      </c>
      <c r="D20" s="101" t="s">
        <v>180</v>
      </c>
      <c r="E20" s="123">
        <v>43.2</v>
      </c>
      <c r="F20" s="112">
        <f>SUM(E20*12/100)</f>
        <v>5.1840000000000011</v>
      </c>
      <c r="G20" s="112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1" t="s">
        <v>89</v>
      </c>
      <c r="C21" s="102" t="s">
        <v>93</v>
      </c>
      <c r="D21" s="101" t="s">
        <v>178</v>
      </c>
      <c r="E21" s="123">
        <v>10.08</v>
      </c>
      <c r="F21" s="112">
        <f>SUM(E21*12/100)</f>
        <v>1.2096</v>
      </c>
      <c r="G21" s="112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/>
      <c r="B22" s="57" t="s">
        <v>98</v>
      </c>
      <c r="C22" s="58" t="s">
        <v>50</v>
      </c>
      <c r="D22" s="57" t="s">
        <v>97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/>
      <c r="B23" s="57" t="s">
        <v>99</v>
      </c>
      <c r="C23" s="58" t="s">
        <v>50</v>
      </c>
      <c r="D23" s="57" t="s">
        <v>97</v>
      </c>
      <c r="E23" s="53">
        <v>70.56</v>
      </c>
      <c r="F23" s="59">
        <f>SUM(E23/100)</f>
        <v>0.7056</v>
      </c>
      <c r="G23" s="59">
        <v>44.29</v>
      </c>
      <c r="H23" s="60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/>
      <c r="B24" s="57" t="s">
        <v>92</v>
      </c>
      <c r="C24" s="58" t="s">
        <v>50</v>
      </c>
      <c r="D24" s="57" t="s">
        <v>97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6.5" customHeight="1">
      <c r="A25" s="29">
        <v>5</v>
      </c>
      <c r="B25" s="101" t="s">
        <v>162</v>
      </c>
      <c r="C25" s="102" t="s">
        <v>32</v>
      </c>
      <c r="D25" s="101" t="s">
        <v>181</v>
      </c>
      <c r="E25" s="126">
        <v>0.2</v>
      </c>
      <c r="F25" s="112">
        <f>E25*155</f>
        <v>31</v>
      </c>
      <c r="G25" s="112">
        <v>370.77</v>
      </c>
      <c r="H25" s="60">
        <f t="shared" si="0"/>
        <v>11.493869999999999</v>
      </c>
      <c r="I25" s="13">
        <f>G25*F25/155*11</f>
        <v>815.69399999999996</v>
      </c>
      <c r="J25" s="22"/>
      <c r="K25" s="8"/>
      <c r="L25" s="8"/>
      <c r="M25" s="8"/>
    </row>
    <row r="26" spans="1:13" ht="15.75" customHeight="1">
      <c r="A26" s="213" t="s">
        <v>78</v>
      </c>
      <c r="B26" s="213"/>
      <c r="C26" s="213"/>
      <c r="D26" s="213"/>
      <c r="E26" s="213"/>
      <c r="F26" s="213"/>
      <c r="G26" s="213"/>
      <c r="H26" s="213"/>
      <c r="I26" s="213"/>
      <c r="J26" s="22"/>
      <c r="K26" s="8"/>
      <c r="L26" s="8"/>
      <c r="M26" s="8"/>
    </row>
    <row r="27" spans="1:13" ht="15.75" hidden="1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hidden="1" customHeight="1">
      <c r="A28" s="29">
        <v>7</v>
      </c>
      <c r="B28" s="57" t="s">
        <v>100</v>
      </c>
      <c r="C28" s="58" t="s">
        <v>101</v>
      </c>
      <c r="D28" s="57" t="s">
        <v>102</v>
      </c>
      <c r="E28" s="59">
        <v>1414.6</v>
      </c>
      <c r="F28" s="59">
        <f>SUM(E28*52/1000)</f>
        <v>73.559200000000004</v>
      </c>
      <c r="G28" s="59">
        <v>155.88999999999999</v>
      </c>
      <c r="H28" s="60">
        <f t="shared" ref="H28:H34" si="2">SUM(F28*G28/1000)</f>
        <v>11.467143688</v>
      </c>
      <c r="I28" s="13">
        <v>0</v>
      </c>
      <c r="J28" s="22"/>
      <c r="K28" s="8"/>
      <c r="L28" s="8"/>
      <c r="M28" s="8"/>
    </row>
    <row r="29" spans="1:13" ht="31.5" hidden="1" customHeight="1">
      <c r="A29" s="29">
        <v>8</v>
      </c>
      <c r="B29" s="57" t="s">
        <v>126</v>
      </c>
      <c r="C29" s="58" t="s">
        <v>101</v>
      </c>
      <c r="D29" s="57" t="s">
        <v>103</v>
      </c>
      <c r="E29" s="59">
        <v>632.4</v>
      </c>
      <c r="F29" s="59">
        <f>SUM(E29*78/1000)</f>
        <v>49.327199999999998</v>
      </c>
      <c r="G29" s="59">
        <v>258.63</v>
      </c>
      <c r="H29" s="60">
        <f t="shared" si="2"/>
        <v>12.757493735999999</v>
      </c>
      <c r="I29" s="13">
        <v>0</v>
      </c>
      <c r="J29" s="22"/>
      <c r="K29" s="8"/>
      <c r="L29" s="8"/>
      <c r="M29" s="8"/>
    </row>
    <row r="30" spans="1:13" ht="15.75" hidden="1" customHeight="1">
      <c r="A30" s="29"/>
      <c r="B30" s="57" t="s">
        <v>130</v>
      </c>
      <c r="C30" s="58" t="s">
        <v>101</v>
      </c>
      <c r="D30" s="57" t="s">
        <v>82</v>
      </c>
      <c r="E30" s="45">
        <v>143.20000000000002</v>
      </c>
      <c r="F30" s="59">
        <v>0</v>
      </c>
      <c r="G30" s="59">
        <v>293.27999999999997</v>
      </c>
      <c r="H30" s="60">
        <f t="shared" si="2"/>
        <v>0</v>
      </c>
      <c r="I30" s="13"/>
      <c r="J30" s="22"/>
      <c r="K30" s="8"/>
      <c r="L30" s="8"/>
      <c r="M30" s="8"/>
    </row>
    <row r="31" spans="1:13" ht="15.75" hidden="1" customHeight="1">
      <c r="A31" s="29">
        <v>9</v>
      </c>
      <c r="B31" s="57" t="s">
        <v>27</v>
      </c>
      <c r="C31" s="58" t="s">
        <v>101</v>
      </c>
      <c r="D31" s="57" t="s">
        <v>51</v>
      </c>
      <c r="E31" s="59">
        <v>1414.6</v>
      </c>
      <c r="F31" s="59">
        <f>SUM(E31/1000)</f>
        <v>1.4145999999999999</v>
      </c>
      <c r="G31" s="59">
        <v>3020.33</v>
      </c>
      <c r="H31" s="60">
        <f t="shared" si="2"/>
        <v>4.2725588179999994</v>
      </c>
      <c r="I31" s="13">
        <v>0</v>
      </c>
      <c r="J31" s="22"/>
      <c r="K31" s="8"/>
      <c r="L31" s="8"/>
      <c r="M31" s="8"/>
    </row>
    <row r="32" spans="1:13" ht="15.75" hidden="1" customHeight="1">
      <c r="A32" s="29">
        <v>10</v>
      </c>
      <c r="B32" s="57" t="s">
        <v>104</v>
      </c>
      <c r="C32" s="58" t="s">
        <v>38</v>
      </c>
      <c r="D32" s="57" t="s">
        <v>60</v>
      </c>
      <c r="E32" s="59">
        <v>6</v>
      </c>
      <c r="F32" s="59">
        <f>SUM(E32*155/100)</f>
        <v>9.3000000000000007</v>
      </c>
      <c r="G32" s="59">
        <v>1302.02</v>
      </c>
      <c r="H32" s="60">
        <f t="shared" si="2"/>
        <v>12.108786</v>
      </c>
      <c r="I32" s="13">
        <v>0</v>
      </c>
      <c r="J32" s="22"/>
      <c r="K32" s="8"/>
    </row>
    <row r="33" spans="1:14" ht="15.75" hidden="1" customHeight="1">
      <c r="A33" s="29"/>
      <c r="B33" s="57" t="s">
        <v>61</v>
      </c>
      <c r="C33" s="58" t="s">
        <v>32</v>
      </c>
      <c r="D33" s="57" t="s">
        <v>63</v>
      </c>
      <c r="E33" s="45"/>
      <c r="F33" s="59">
        <v>4</v>
      </c>
      <c r="G33" s="59">
        <v>191.32</v>
      </c>
      <c r="H33" s="60">
        <f t="shared" si="2"/>
        <v>0.76527999999999996</v>
      </c>
      <c r="I33" s="13">
        <v>0</v>
      </c>
      <c r="J33" s="23"/>
    </row>
    <row r="34" spans="1:14" ht="15.75" hidden="1" customHeight="1">
      <c r="A34" s="29"/>
      <c r="B34" s="57" t="s">
        <v>62</v>
      </c>
      <c r="C34" s="58" t="s">
        <v>31</v>
      </c>
      <c r="D34" s="57" t="s">
        <v>63</v>
      </c>
      <c r="E34" s="45"/>
      <c r="F34" s="59">
        <v>3</v>
      </c>
      <c r="G34" s="59">
        <v>1136.33</v>
      </c>
      <c r="H34" s="60">
        <f t="shared" si="2"/>
        <v>3.4089899999999997</v>
      </c>
      <c r="I34" s="13">
        <v>0</v>
      </c>
      <c r="J34" s="23"/>
    </row>
    <row r="35" spans="1:14" ht="15.75" customHeight="1">
      <c r="A35" s="29"/>
      <c r="B35" s="76" t="s">
        <v>5</v>
      </c>
      <c r="C35" s="58"/>
      <c r="D35" s="57"/>
      <c r="E35" s="45"/>
      <c r="F35" s="59"/>
      <c r="G35" s="59"/>
      <c r="H35" s="60" t="s">
        <v>118</v>
      </c>
      <c r="I35" s="13"/>
      <c r="J35" s="23"/>
    </row>
    <row r="36" spans="1:14" ht="15" customHeight="1">
      <c r="A36" s="29">
        <v>6</v>
      </c>
      <c r="B36" s="57" t="s">
        <v>26</v>
      </c>
      <c r="C36" s="58" t="s">
        <v>31</v>
      </c>
      <c r="D36" s="57" t="s">
        <v>232</v>
      </c>
      <c r="E36" s="45"/>
      <c r="F36" s="59">
        <v>20</v>
      </c>
      <c r="G36" s="112">
        <v>1855</v>
      </c>
      <c r="H36" s="60">
        <f t="shared" ref="H36:H41" si="3">SUM(F36*G36/1000)</f>
        <v>37.1</v>
      </c>
      <c r="I36" s="13">
        <f>G36*1.5</f>
        <v>2782.5</v>
      </c>
      <c r="J36" s="23"/>
    </row>
    <row r="37" spans="1:14" ht="15.75" customHeight="1">
      <c r="A37" s="29">
        <v>7</v>
      </c>
      <c r="B37" s="127" t="s">
        <v>64</v>
      </c>
      <c r="C37" s="128" t="s">
        <v>29</v>
      </c>
      <c r="D37" s="127" t="s">
        <v>223</v>
      </c>
      <c r="E37" s="129">
        <v>202.36</v>
      </c>
      <c r="F37" s="129">
        <f>SUM(E37*24/1000)</f>
        <v>4.8566400000000005</v>
      </c>
      <c r="G37" s="129">
        <v>4525.34</v>
      </c>
      <c r="H37" s="182">
        <f t="shared" si="3"/>
        <v>21.977947257600004</v>
      </c>
      <c r="I37" s="13">
        <f>G37*F37/24*3</f>
        <v>2747.2434072000005</v>
      </c>
      <c r="J37" s="23"/>
      <c r="L37" s="19"/>
      <c r="M37" s="20"/>
      <c r="N37" s="21"/>
    </row>
    <row r="38" spans="1:14" ht="15" hidden="1" customHeight="1">
      <c r="A38" s="29"/>
      <c r="B38" s="127" t="s">
        <v>64</v>
      </c>
      <c r="C38" s="128" t="s">
        <v>29</v>
      </c>
      <c r="D38" s="127" t="s">
        <v>195</v>
      </c>
      <c r="E38" s="129">
        <v>202.36</v>
      </c>
      <c r="F38" s="129">
        <f>SUM(E38*24/1000)</f>
        <v>4.8566400000000005</v>
      </c>
      <c r="G38" s="129">
        <v>4525.34</v>
      </c>
      <c r="H38" s="182">
        <f t="shared" si="3"/>
        <v>21.977947257600004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8</v>
      </c>
      <c r="B39" s="101" t="s">
        <v>86</v>
      </c>
      <c r="C39" s="102" t="s">
        <v>106</v>
      </c>
      <c r="D39" s="101" t="s">
        <v>163</v>
      </c>
      <c r="E39" s="123"/>
      <c r="F39" s="129">
        <v>26</v>
      </c>
      <c r="G39" s="112">
        <v>330</v>
      </c>
      <c r="H39" s="182">
        <f t="shared" si="3"/>
        <v>8.58</v>
      </c>
      <c r="I39" s="13">
        <f>F39/6*G39</f>
        <v>1430</v>
      </c>
      <c r="J39" s="23"/>
      <c r="L39" s="19"/>
      <c r="M39" s="20"/>
      <c r="N39" s="21"/>
    </row>
    <row r="40" spans="1:14" ht="15" customHeight="1">
      <c r="A40" s="29">
        <v>8</v>
      </c>
      <c r="B40" s="101" t="s">
        <v>65</v>
      </c>
      <c r="C40" s="102" t="s">
        <v>29</v>
      </c>
      <c r="D40" s="101" t="s">
        <v>233</v>
      </c>
      <c r="E40" s="112">
        <v>202.36</v>
      </c>
      <c r="F40" s="129">
        <f>SUM(E40*78/1000)</f>
        <v>15.784080000000001</v>
      </c>
      <c r="G40" s="112">
        <v>754.23</v>
      </c>
      <c r="H40" s="182">
        <f t="shared" si="3"/>
        <v>11.904826658400001</v>
      </c>
      <c r="I40" s="13">
        <f>G40*F40/78*11</f>
        <v>1678.8858107999999</v>
      </c>
      <c r="J40" s="23"/>
      <c r="L40" s="19"/>
      <c r="M40" s="20"/>
      <c r="N40" s="21"/>
    </row>
    <row r="41" spans="1:14" ht="33" customHeight="1">
      <c r="A41" s="29">
        <v>9</v>
      </c>
      <c r="B41" s="101" t="s">
        <v>76</v>
      </c>
      <c r="C41" s="102" t="s">
        <v>101</v>
      </c>
      <c r="D41" s="101" t="s">
        <v>190</v>
      </c>
      <c r="E41" s="112">
        <v>105.56</v>
      </c>
      <c r="F41" s="129">
        <f>SUM(E41*15/1000)</f>
        <v>1.5834000000000001</v>
      </c>
      <c r="G41" s="112">
        <v>12067.57</v>
      </c>
      <c r="H41" s="60">
        <f t="shared" si="3"/>
        <v>19.107790338000001</v>
      </c>
      <c r="I41" s="13">
        <f>G41*F41/15*2</f>
        <v>2547.7053784000004</v>
      </c>
      <c r="J41" s="23"/>
      <c r="L41" s="19"/>
      <c r="M41" s="20"/>
      <c r="N41" s="21"/>
    </row>
    <row r="42" spans="1:14" ht="16.5" customHeight="1">
      <c r="A42" s="29">
        <v>10</v>
      </c>
      <c r="B42" s="101" t="s">
        <v>108</v>
      </c>
      <c r="C42" s="102" t="s">
        <v>101</v>
      </c>
      <c r="D42" s="101" t="s">
        <v>190</v>
      </c>
      <c r="E42" s="112">
        <v>202.36</v>
      </c>
      <c r="F42" s="129">
        <f>SUM(E42*24/1000)</f>
        <v>4.8566400000000005</v>
      </c>
      <c r="G42" s="112">
        <v>614.55999999999995</v>
      </c>
      <c r="H42" s="60"/>
      <c r="I42" s="13">
        <f>G42*F42/24*2</f>
        <v>248.7247232</v>
      </c>
      <c r="J42" s="23"/>
      <c r="L42" s="19"/>
      <c r="M42" s="20"/>
      <c r="N42" s="21"/>
    </row>
    <row r="43" spans="1:14" ht="15.75" customHeight="1">
      <c r="A43" s="29">
        <v>11</v>
      </c>
      <c r="B43" s="57" t="s">
        <v>67</v>
      </c>
      <c r="C43" s="58" t="s">
        <v>32</v>
      </c>
      <c r="D43" s="57"/>
      <c r="E43" s="45"/>
      <c r="F43" s="59">
        <v>0.9</v>
      </c>
      <c r="G43" s="187">
        <v>800</v>
      </c>
      <c r="H43" s="60">
        <f t="shared" ref="H43" si="4">SUM(F43*G43/1000)</f>
        <v>0.72</v>
      </c>
      <c r="I43" s="13">
        <f>G43*F43/24*2</f>
        <v>60</v>
      </c>
      <c r="J43" s="23"/>
      <c r="L43" s="19"/>
      <c r="M43" s="20"/>
      <c r="N43" s="21"/>
    </row>
    <row r="44" spans="1:14" ht="30" customHeight="1">
      <c r="A44" s="178">
        <v>12</v>
      </c>
      <c r="B44" s="101" t="s">
        <v>164</v>
      </c>
      <c r="C44" s="102" t="s">
        <v>29</v>
      </c>
      <c r="D44" s="101" t="s">
        <v>190</v>
      </c>
      <c r="E44" s="123">
        <v>3.6</v>
      </c>
      <c r="F44" s="112">
        <f>E44*12/1000</f>
        <v>4.3200000000000002E-2</v>
      </c>
      <c r="G44" s="112">
        <v>19757.060000000001</v>
      </c>
      <c r="H44" s="182">
        <f>G44*F44/1000</f>
        <v>0.85350499200000018</v>
      </c>
      <c r="I44" s="13">
        <f>G44*F44/6</f>
        <v>142.25083200000003</v>
      </c>
      <c r="J44" s="23"/>
      <c r="L44" s="19"/>
      <c r="M44" s="20"/>
      <c r="N44" s="21"/>
    </row>
    <row r="45" spans="1:14" ht="15.75" customHeight="1">
      <c r="A45" s="214" t="s">
        <v>121</v>
      </c>
      <c r="B45" s="215"/>
      <c r="C45" s="215"/>
      <c r="D45" s="215"/>
      <c r="E45" s="215"/>
      <c r="F45" s="215"/>
      <c r="G45" s="215"/>
      <c r="H45" s="215"/>
      <c r="I45" s="216"/>
      <c r="J45" s="23"/>
      <c r="L45" s="19"/>
      <c r="M45" s="20"/>
      <c r="N45" s="21"/>
    </row>
    <row r="46" spans="1:14" ht="15.75" hidden="1" customHeight="1">
      <c r="A46" s="29"/>
      <c r="B46" s="57" t="s">
        <v>133</v>
      </c>
      <c r="C46" s="58" t="s">
        <v>101</v>
      </c>
      <c r="D46" s="57" t="s">
        <v>40</v>
      </c>
      <c r="E46" s="45">
        <v>1150.5999999999999</v>
      </c>
      <c r="F46" s="59">
        <f>SUM(E46*2/1000)</f>
        <v>2.3011999999999997</v>
      </c>
      <c r="G46" s="13">
        <v>849.49</v>
      </c>
      <c r="H46" s="60">
        <f t="shared" ref="H46:H53" si="5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57" t="s">
        <v>33</v>
      </c>
      <c r="C47" s="58" t="s">
        <v>101</v>
      </c>
      <c r="D47" s="57" t="s">
        <v>40</v>
      </c>
      <c r="E47" s="45">
        <v>108.96</v>
      </c>
      <c r="F47" s="59">
        <f>SUM(E47*2/1000)</f>
        <v>0.21791999999999997</v>
      </c>
      <c r="G47" s="13">
        <v>579.48</v>
      </c>
      <c r="H47" s="60">
        <f t="shared" si="5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57" t="s">
        <v>34</v>
      </c>
      <c r="C48" s="58" t="s">
        <v>101</v>
      </c>
      <c r="D48" s="57" t="s">
        <v>40</v>
      </c>
      <c r="E48" s="45">
        <v>4224.3999999999996</v>
      </c>
      <c r="F48" s="59">
        <f>SUM(E48*2/1000)</f>
        <v>8.4487999999999985</v>
      </c>
      <c r="G48" s="13">
        <v>579.48</v>
      </c>
      <c r="H48" s="60">
        <f t="shared" si="5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57" t="s">
        <v>35</v>
      </c>
      <c r="C49" s="58" t="s">
        <v>101</v>
      </c>
      <c r="D49" s="57" t="s">
        <v>40</v>
      </c>
      <c r="E49" s="45">
        <v>3059.7</v>
      </c>
      <c r="F49" s="59">
        <f>SUM(E49*2/1000)</f>
        <v>6.1193999999999997</v>
      </c>
      <c r="G49" s="13">
        <v>606.77</v>
      </c>
      <c r="H49" s="60">
        <f t="shared" si="5"/>
        <v>3.7130683379999998</v>
      </c>
      <c r="I49" s="13">
        <v>0</v>
      </c>
      <c r="J49" s="23"/>
      <c r="L49" s="19"/>
      <c r="M49" s="20"/>
      <c r="N49" s="21"/>
    </row>
    <row r="50" spans="1:22" ht="15.75" customHeight="1">
      <c r="A50" s="29">
        <v>13</v>
      </c>
      <c r="B50" s="57" t="s">
        <v>53</v>
      </c>
      <c r="C50" s="58" t="s">
        <v>101</v>
      </c>
      <c r="D50" s="57" t="s">
        <v>178</v>
      </c>
      <c r="E50" s="45">
        <v>1150.5999999999999</v>
      </c>
      <c r="F50" s="59">
        <f>SUM(E50*5/1000)</f>
        <v>5.7530000000000001</v>
      </c>
      <c r="G50" s="110">
        <v>1739.68</v>
      </c>
      <c r="H50" s="60">
        <f t="shared" ref="H50" si="6">SUM(F50*G50/1000)</f>
        <v>10.008379039999999</v>
      </c>
      <c r="I50" s="13">
        <f>F50/5*G50</f>
        <v>2001.6758080000002</v>
      </c>
      <c r="J50" s="23"/>
      <c r="L50" s="19"/>
      <c r="M50" s="20"/>
      <c r="N50" s="21"/>
    </row>
    <row r="51" spans="1:22" ht="31.5" hidden="1" customHeight="1">
      <c r="A51" s="29">
        <v>14</v>
      </c>
      <c r="B51" s="57" t="s">
        <v>109</v>
      </c>
      <c r="C51" s="58" t="s">
        <v>101</v>
      </c>
      <c r="D51" s="57" t="s">
        <v>40</v>
      </c>
      <c r="E51" s="45">
        <v>1150.5999999999999</v>
      </c>
      <c r="F51" s="59">
        <f>SUM(E51*2/1000)</f>
        <v>2.3011999999999997</v>
      </c>
      <c r="G51" s="13">
        <v>1213.55</v>
      </c>
      <c r="H51" s="60">
        <f t="shared" si="5"/>
        <v>2.7926212599999993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57" t="s">
        <v>110</v>
      </c>
      <c r="C52" s="58" t="s">
        <v>36</v>
      </c>
      <c r="D52" s="57" t="s">
        <v>40</v>
      </c>
      <c r="E52" s="45">
        <v>30</v>
      </c>
      <c r="F52" s="59">
        <f>SUM(E52*2/100)</f>
        <v>0.6</v>
      </c>
      <c r="G52" s="13">
        <v>2730.49</v>
      </c>
      <c r="H52" s="60">
        <f t="shared" si="5"/>
        <v>1.6382939999999999</v>
      </c>
      <c r="I52" s="13">
        <v>0</v>
      </c>
      <c r="J52" s="23"/>
      <c r="L52" s="19"/>
      <c r="M52" s="20"/>
      <c r="N52" s="21"/>
    </row>
    <row r="53" spans="1:22" ht="31.5" hidden="1" customHeight="1">
      <c r="A53" s="29"/>
      <c r="B53" s="57" t="s">
        <v>37</v>
      </c>
      <c r="C53" s="58" t="s">
        <v>38</v>
      </c>
      <c r="D53" s="57" t="s">
        <v>40</v>
      </c>
      <c r="E53" s="45">
        <v>1</v>
      </c>
      <c r="F53" s="59">
        <v>0.02</v>
      </c>
      <c r="G53" s="13">
        <v>5652.13</v>
      </c>
      <c r="H53" s="60">
        <f t="shared" si="5"/>
        <v>0.11304260000000001</v>
      </c>
      <c r="I53" s="13">
        <v>0</v>
      </c>
      <c r="J53" s="23"/>
      <c r="L53" s="19"/>
      <c r="M53" s="20"/>
      <c r="N53" s="21"/>
    </row>
    <row r="54" spans="1:22" ht="15" customHeight="1">
      <c r="A54" s="178">
        <v>14</v>
      </c>
      <c r="B54" s="101" t="s">
        <v>39</v>
      </c>
      <c r="C54" s="102" t="s">
        <v>111</v>
      </c>
      <c r="D54" s="164">
        <v>44235</v>
      </c>
      <c r="E54" s="123">
        <v>158</v>
      </c>
      <c r="F54" s="112">
        <f>SUM(E54)*3</f>
        <v>474</v>
      </c>
      <c r="G54" s="151">
        <v>94.16</v>
      </c>
      <c r="H54" s="179"/>
      <c r="I54" s="180">
        <f>G54*F54/3</f>
        <v>14877.279999999999</v>
      </c>
      <c r="J54" s="23"/>
      <c r="L54" s="19"/>
      <c r="M54" s="20"/>
      <c r="N54" s="21"/>
    </row>
    <row r="55" spans="1:22" ht="15.75" customHeight="1">
      <c r="A55" s="214" t="s">
        <v>122</v>
      </c>
      <c r="B55" s="215"/>
      <c r="C55" s="215"/>
      <c r="D55" s="215"/>
      <c r="E55" s="215"/>
      <c r="F55" s="215"/>
      <c r="G55" s="215"/>
      <c r="H55" s="215"/>
      <c r="I55" s="216"/>
      <c r="J55" s="23"/>
      <c r="L55" s="19"/>
      <c r="M55" s="20"/>
      <c r="N55" s="21"/>
    </row>
    <row r="56" spans="1:22" ht="15.75" hidden="1" customHeight="1">
      <c r="A56" s="29"/>
      <c r="B56" s="76" t="s">
        <v>41</v>
      </c>
      <c r="C56" s="58"/>
      <c r="D56" s="57"/>
      <c r="E56" s="45"/>
      <c r="F56" s="59"/>
      <c r="G56" s="59"/>
      <c r="H56" s="60"/>
      <c r="I56" s="13"/>
      <c r="J56" s="23"/>
      <c r="L56" s="19"/>
      <c r="M56" s="20"/>
      <c r="N56" s="21"/>
    </row>
    <row r="57" spans="1:22" ht="31.5" hidden="1" customHeight="1">
      <c r="A57" s="29">
        <v>15</v>
      </c>
      <c r="B57" s="57" t="s">
        <v>135</v>
      </c>
      <c r="C57" s="58" t="s">
        <v>93</v>
      </c>
      <c r="D57" s="57" t="s">
        <v>136</v>
      </c>
      <c r="E57" s="85">
        <v>6</v>
      </c>
      <c r="F57" s="13">
        <f>E57*8/100</f>
        <v>0.48</v>
      </c>
      <c r="G57" s="59">
        <v>1547.28</v>
      </c>
      <c r="H57" s="60">
        <f>SUM(F57*G57/1000)</f>
        <v>0.74269439999999998</v>
      </c>
      <c r="I57" s="13">
        <f>G57*0.06</f>
        <v>92.836799999999997</v>
      </c>
      <c r="J57" s="23"/>
      <c r="L57" s="19"/>
      <c r="M57" s="20"/>
      <c r="N57" s="21"/>
    </row>
    <row r="58" spans="1:22" ht="15.75" hidden="1" customHeight="1">
      <c r="A58" s="86"/>
      <c r="B58" s="57" t="s">
        <v>90</v>
      </c>
      <c r="C58" s="58" t="s">
        <v>91</v>
      </c>
      <c r="D58" s="57" t="s">
        <v>40</v>
      </c>
      <c r="E58" s="45">
        <v>6</v>
      </c>
      <c r="F58" s="59">
        <v>12</v>
      </c>
      <c r="G58" s="65">
        <v>180.78</v>
      </c>
      <c r="H58" s="60">
        <f t="shared" ref="H58" si="7">SUM(F58*G58/1000)</f>
        <v>2.1693600000000002</v>
      </c>
      <c r="I58" s="13">
        <v>0</v>
      </c>
      <c r="J58" s="23"/>
      <c r="L58" s="19"/>
      <c r="M58" s="20"/>
      <c r="N58" s="21"/>
    </row>
    <row r="59" spans="1:22" ht="15.75" hidden="1" customHeight="1">
      <c r="A59" s="175">
        <v>15</v>
      </c>
      <c r="B59" s="103" t="s">
        <v>203</v>
      </c>
      <c r="C59" s="104" t="s">
        <v>50</v>
      </c>
      <c r="D59" s="103" t="s">
        <v>178</v>
      </c>
      <c r="E59" s="105">
        <v>6</v>
      </c>
      <c r="F59" s="108">
        <f>E59*4/100</f>
        <v>0.24</v>
      </c>
      <c r="G59" s="98">
        <v>2218.11</v>
      </c>
      <c r="H59" s="71"/>
      <c r="I59" s="13">
        <f>G59*F59/4</f>
        <v>133.0866</v>
      </c>
      <c r="J59" s="23"/>
      <c r="L59" s="19"/>
      <c r="M59" s="20"/>
      <c r="N59" s="21"/>
    </row>
    <row r="60" spans="1:22" ht="15.75" customHeight="1">
      <c r="A60" s="29"/>
      <c r="B60" s="77" t="s">
        <v>42</v>
      </c>
      <c r="C60" s="66"/>
      <c r="D60" s="67"/>
      <c r="E60" s="68"/>
      <c r="F60" s="70"/>
      <c r="G60" s="13"/>
      <c r="H60" s="71"/>
      <c r="I60" s="13"/>
      <c r="J60" s="23"/>
      <c r="L60" s="19"/>
      <c r="M60" s="20"/>
      <c r="N60" s="21"/>
    </row>
    <row r="61" spans="1:22" ht="15.75" customHeight="1">
      <c r="A61" s="29">
        <v>15</v>
      </c>
      <c r="B61" s="103" t="s">
        <v>87</v>
      </c>
      <c r="C61" s="104" t="s">
        <v>25</v>
      </c>
      <c r="D61" s="103"/>
      <c r="E61" s="105">
        <v>200</v>
      </c>
      <c r="F61" s="106">
        <f>E61*12</f>
        <v>2400</v>
      </c>
      <c r="G61" s="107">
        <v>1.4</v>
      </c>
      <c r="H61" s="70">
        <f>G61*F61</f>
        <v>3360</v>
      </c>
      <c r="I61" s="13">
        <f>F61/12*G61</f>
        <v>280</v>
      </c>
      <c r="J61" s="23"/>
      <c r="L61" s="19"/>
    </row>
    <row r="62" spans="1:22" ht="15.75" customHeight="1">
      <c r="A62" s="29"/>
      <c r="B62" s="77" t="s">
        <v>43</v>
      </c>
      <c r="C62" s="66"/>
      <c r="D62" s="67"/>
      <c r="E62" s="68"/>
      <c r="F62" s="69"/>
      <c r="G62" s="69"/>
      <c r="H62" s="70" t="s">
        <v>118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5.75" customHeight="1">
      <c r="A63" s="29">
        <v>16</v>
      </c>
      <c r="B63" s="14" t="s">
        <v>44</v>
      </c>
      <c r="C63" s="16" t="s">
        <v>111</v>
      </c>
      <c r="D63" s="14" t="s">
        <v>178</v>
      </c>
      <c r="E63" s="18">
        <v>15</v>
      </c>
      <c r="F63" s="59">
        <v>15</v>
      </c>
      <c r="G63" s="110">
        <v>318.82</v>
      </c>
      <c r="H63" s="72">
        <f t="shared" ref="H63:H70" si="8">SUM(F63*G63/1000)</f>
        <v>4.7823000000000002</v>
      </c>
      <c r="I63" s="13">
        <f>G63*1</f>
        <v>318.82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15.75" hidden="1" customHeight="1">
      <c r="A64" s="29"/>
      <c r="B64" s="14" t="s">
        <v>45</v>
      </c>
      <c r="C64" s="16" t="s">
        <v>111</v>
      </c>
      <c r="D64" s="14" t="s">
        <v>63</v>
      </c>
      <c r="E64" s="18">
        <v>5</v>
      </c>
      <c r="F64" s="59">
        <v>5</v>
      </c>
      <c r="G64" s="13">
        <v>71.790000000000006</v>
      </c>
      <c r="H64" s="72">
        <f t="shared" si="8"/>
        <v>0.35895000000000005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5.75" hidden="1" customHeight="1">
      <c r="A65" s="29"/>
      <c r="B65" s="14" t="s">
        <v>46</v>
      </c>
      <c r="C65" s="16" t="s">
        <v>112</v>
      </c>
      <c r="D65" s="14" t="s">
        <v>51</v>
      </c>
      <c r="E65" s="45">
        <v>18281</v>
      </c>
      <c r="F65" s="13">
        <f>SUM(E65/100)</f>
        <v>182.81</v>
      </c>
      <c r="G65" s="13">
        <v>199.77</v>
      </c>
      <c r="H65" s="72">
        <f t="shared" si="8"/>
        <v>36.519953700000002</v>
      </c>
      <c r="I65" s="13">
        <v>0</v>
      </c>
      <c r="J65" s="5"/>
      <c r="K65" s="5"/>
      <c r="L65" s="5"/>
      <c r="M65" s="5"/>
      <c r="N65" s="5"/>
      <c r="O65" s="5"/>
      <c r="P65" s="5"/>
      <c r="Q65" s="5"/>
      <c r="R65" s="210"/>
      <c r="S65" s="210"/>
      <c r="T65" s="210"/>
      <c r="U65" s="210"/>
    </row>
    <row r="66" spans="1:21" ht="15.75" hidden="1" customHeight="1">
      <c r="A66" s="29"/>
      <c r="B66" s="14" t="s">
        <v>47</v>
      </c>
      <c r="C66" s="16" t="s">
        <v>113</v>
      </c>
      <c r="D66" s="14"/>
      <c r="E66" s="45">
        <v>18281</v>
      </c>
      <c r="F66" s="13">
        <f>SUM(E66/1000)</f>
        <v>18.280999999999999</v>
      </c>
      <c r="G66" s="13">
        <v>155.57</v>
      </c>
      <c r="H66" s="72">
        <f t="shared" si="8"/>
        <v>2.8439751699999998</v>
      </c>
      <c r="I66" s="13">
        <v>0</v>
      </c>
    </row>
    <row r="67" spans="1:21" ht="15.75" hidden="1" customHeight="1">
      <c r="A67" s="29"/>
      <c r="B67" s="14" t="s">
        <v>48</v>
      </c>
      <c r="C67" s="16" t="s">
        <v>72</v>
      </c>
      <c r="D67" s="14" t="s">
        <v>51</v>
      </c>
      <c r="E67" s="45">
        <v>2730</v>
      </c>
      <c r="F67" s="13">
        <f>SUM(E67/100)</f>
        <v>27.3</v>
      </c>
      <c r="G67" s="13">
        <v>1953.52</v>
      </c>
      <c r="H67" s="72">
        <f t="shared" si="8"/>
        <v>53.331095999999995</v>
      </c>
      <c r="I67" s="13">
        <v>0</v>
      </c>
    </row>
    <row r="68" spans="1:21" ht="15.75" hidden="1" customHeight="1">
      <c r="A68" s="29"/>
      <c r="B68" s="73" t="s">
        <v>114</v>
      </c>
      <c r="C68" s="16" t="s">
        <v>32</v>
      </c>
      <c r="D68" s="14"/>
      <c r="E68" s="45">
        <v>16.399999999999999</v>
      </c>
      <c r="F68" s="13">
        <f>SUM(E68)</f>
        <v>16.399999999999999</v>
      </c>
      <c r="G68" s="13">
        <v>40.270000000000003</v>
      </c>
      <c r="H68" s="72">
        <f t="shared" si="8"/>
        <v>0.66042800000000002</v>
      </c>
      <c r="I68" s="13">
        <v>0</v>
      </c>
    </row>
    <row r="69" spans="1:21" ht="15.75" hidden="1" customHeight="1">
      <c r="A69" s="29"/>
      <c r="B69" s="73" t="s">
        <v>115</v>
      </c>
      <c r="C69" s="16" t="s">
        <v>32</v>
      </c>
      <c r="D69" s="14"/>
      <c r="E69" s="45">
        <v>16.399999999999999</v>
      </c>
      <c r="F69" s="13">
        <f>SUM(E69)</f>
        <v>16.399999999999999</v>
      </c>
      <c r="G69" s="13">
        <v>37.71</v>
      </c>
      <c r="H69" s="72">
        <f t="shared" si="8"/>
        <v>0.61844399999999999</v>
      </c>
      <c r="I69" s="13">
        <v>0</v>
      </c>
    </row>
    <row r="70" spans="1:21" ht="15.75" hidden="1" customHeight="1">
      <c r="A70" s="29"/>
      <c r="B70" s="14" t="s">
        <v>54</v>
      </c>
      <c r="C70" s="16" t="s">
        <v>55</v>
      </c>
      <c r="D70" s="14" t="s">
        <v>51</v>
      </c>
      <c r="E70" s="18">
        <v>7</v>
      </c>
      <c r="F70" s="59">
        <f>SUM(E70)</f>
        <v>7</v>
      </c>
      <c r="G70" s="13">
        <v>46.97</v>
      </c>
      <c r="H70" s="72">
        <f t="shared" si="8"/>
        <v>0.32878999999999997</v>
      </c>
      <c r="I70" s="13">
        <v>0</v>
      </c>
    </row>
    <row r="71" spans="1:21" ht="15.75" customHeight="1">
      <c r="A71" s="29"/>
      <c r="B71" s="135" t="s">
        <v>166</v>
      </c>
      <c r="C71" s="113"/>
      <c r="D71" s="100"/>
      <c r="E71" s="17"/>
      <c r="F71" s="98"/>
      <c r="G71" s="98"/>
      <c r="H71" s="75"/>
      <c r="I71" s="62"/>
    </row>
    <row r="72" spans="1:21" ht="30" customHeight="1">
      <c r="A72" s="29">
        <v>17</v>
      </c>
      <c r="B72" s="100" t="s">
        <v>167</v>
      </c>
      <c r="C72" s="35" t="s">
        <v>168</v>
      </c>
      <c r="D72" s="100"/>
      <c r="E72" s="17">
        <v>4224.3999999999996</v>
      </c>
      <c r="F72" s="98">
        <f>E72*12</f>
        <v>50692.799999999996</v>
      </c>
      <c r="G72" s="98">
        <v>2.4900000000000002</v>
      </c>
      <c r="H72" s="75"/>
      <c r="I72" s="13">
        <f>G72*F72/12</f>
        <v>10518.755999999999</v>
      </c>
    </row>
    <row r="73" spans="1:21" ht="15.75" customHeight="1">
      <c r="A73" s="29"/>
      <c r="B73" s="84" t="s">
        <v>69</v>
      </c>
      <c r="C73" s="16"/>
      <c r="D73" s="14"/>
      <c r="E73" s="18"/>
      <c r="F73" s="13"/>
      <c r="G73" s="13"/>
      <c r="H73" s="72" t="s">
        <v>118</v>
      </c>
      <c r="I73" s="13"/>
    </row>
    <row r="74" spans="1:21" ht="15.75" hidden="1" customHeight="1">
      <c r="A74" s="29"/>
      <c r="B74" s="14" t="s">
        <v>80</v>
      </c>
      <c r="C74" s="16" t="s">
        <v>30</v>
      </c>
      <c r="D74" s="14"/>
      <c r="E74" s="18">
        <v>1</v>
      </c>
      <c r="F74" s="59">
        <f>SUM(E74)</f>
        <v>1</v>
      </c>
      <c r="G74" s="13">
        <v>337.58</v>
      </c>
      <c r="H74" s="72">
        <f t="shared" ref="H74" si="9">SUM(F74*G74/1000)</f>
        <v>0.33757999999999999</v>
      </c>
      <c r="I74" s="13">
        <v>0</v>
      </c>
    </row>
    <row r="75" spans="1:21" ht="15.75" hidden="1" customHeight="1">
      <c r="A75" s="29"/>
      <c r="B75" s="14" t="s">
        <v>70</v>
      </c>
      <c r="C75" s="16" t="s">
        <v>30</v>
      </c>
      <c r="D75" s="14"/>
      <c r="E75" s="18">
        <v>2</v>
      </c>
      <c r="F75" s="13">
        <v>2</v>
      </c>
      <c r="G75" s="13">
        <v>803.19</v>
      </c>
      <c r="H75" s="72">
        <f>F75*G75/1000</f>
        <v>1.6063800000000001</v>
      </c>
      <c r="I75" s="13">
        <v>0</v>
      </c>
    </row>
    <row r="76" spans="1:21" ht="15.75" customHeight="1">
      <c r="A76" s="29">
        <v>18</v>
      </c>
      <c r="B76" s="95" t="s">
        <v>169</v>
      </c>
      <c r="C76" s="96" t="s">
        <v>111</v>
      </c>
      <c r="D76" s="100" t="s">
        <v>180</v>
      </c>
      <c r="E76" s="17">
        <v>2</v>
      </c>
      <c r="F76" s="98">
        <f>E76*12</f>
        <v>24</v>
      </c>
      <c r="G76" s="98">
        <v>404</v>
      </c>
      <c r="H76" s="72"/>
      <c r="I76" s="13">
        <f>G76*2</f>
        <v>808</v>
      </c>
    </row>
    <row r="77" spans="1:21" ht="15.75" hidden="1" customHeight="1">
      <c r="A77" s="29"/>
      <c r="B77" s="74" t="s">
        <v>71</v>
      </c>
      <c r="C77" s="16"/>
      <c r="D77" s="14"/>
      <c r="E77" s="18"/>
      <c r="F77" s="13"/>
      <c r="G77" s="13" t="s">
        <v>118</v>
      </c>
      <c r="H77" s="72" t="s">
        <v>118</v>
      </c>
      <c r="I77" s="13"/>
    </row>
    <row r="78" spans="1:21" ht="15.75" hidden="1" customHeight="1">
      <c r="A78" s="29"/>
      <c r="B78" s="42" t="s">
        <v>119</v>
      </c>
      <c r="C78" s="16" t="s">
        <v>72</v>
      </c>
      <c r="D78" s="14"/>
      <c r="E78" s="18"/>
      <c r="F78" s="13">
        <v>1.35</v>
      </c>
      <c r="G78" s="13">
        <v>2494</v>
      </c>
      <c r="H78" s="72">
        <f t="shared" ref="H78" si="10">SUM(F78*G78/1000)</f>
        <v>3.3669000000000002</v>
      </c>
      <c r="I78" s="13">
        <v>0</v>
      </c>
    </row>
    <row r="79" spans="1:21" ht="15.75" hidden="1" customHeight="1">
      <c r="A79" s="29"/>
      <c r="B79" s="61" t="s">
        <v>116</v>
      </c>
      <c r="C79" s="74"/>
      <c r="D79" s="31"/>
      <c r="E79" s="32"/>
      <c r="F79" s="62"/>
      <c r="G79" s="62"/>
      <c r="H79" s="75">
        <f>SUM(H57:H78)</f>
        <v>3467.6668512699998</v>
      </c>
      <c r="I79" s="62"/>
    </row>
    <row r="80" spans="1:21" ht="15.75" hidden="1" customHeight="1">
      <c r="A80" s="29"/>
      <c r="B80" s="57" t="s">
        <v>117</v>
      </c>
      <c r="C80" s="16"/>
      <c r="D80" s="14"/>
      <c r="E80" s="52"/>
      <c r="F80" s="13">
        <v>1</v>
      </c>
      <c r="G80" s="13">
        <v>17359.8</v>
      </c>
      <c r="H80" s="72">
        <f>G80*F80/1000</f>
        <v>17.3598</v>
      </c>
      <c r="I80" s="13">
        <v>0</v>
      </c>
    </row>
    <row r="81" spans="1:9" ht="15.75" customHeight="1">
      <c r="A81" s="223" t="s">
        <v>123</v>
      </c>
      <c r="B81" s="224"/>
      <c r="C81" s="224"/>
      <c r="D81" s="224"/>
      <c r="E81" s="224"/>
      <c r="F81" s="224"/>
      <c r="G81" s="224"/>
      <c r="H81" s="224"/>
      <c r="I81" s="225"/>
    </row>
    <row r="82" spans="1:9" ht="15.75" customHeight="1">
      <c r="A82" s="29">
        <v>19</v>
      </c>
      <c r="B82" s="100" t="s">
        <v>120</v>
      </c>
      <c r="C82" s="113" t="s">
        <v>52</v>
      </c>
      <c r="D82" s="136"/>
      <c r="E82" s="98">
        <v>4224.3999999999996</v>
      </c>
      <c r="F82" s="98">
        <f>SUM(E82*12)</f>
        <v>50692.799999999996</v>
      </c>
      <c r="G82" s="98">
        <v>3.38</v>
      </c>
      <c r="H82" s="13">
        <f>SUM(F82*G82/1000)</f>
        <v>171.34166399999998</v>
      </c>
      <c r="I82" s="13">
        <f>F82/12*G82</f>
        <v>14278.471999999998</v>
      </c>
    </row>
    <row r="83" spans="1:9" ht="31.5" customHeight="1">
      <c r="A83" s="29">
        <v>20</v>
      </c>
      <c r="B83" s="155" t="s">
        <v>170</v>
      </c>
      <c r="C83" s="138" t="s">
        <v>52</v>
      </c>
      <c r="D83" s="139"/>
      <c r="E83" s="140">
        <f>E82</f>
        <v>4224.3999999999996</v>
      </c>
      <c r="F83" s="141">
        <f>E83*12</f>
        <v>50692.799999999996</v>
      </c>
      <c r="G83" s="141">
        <v>3.05</v>
      </c>
      <c r="H83" s="156">
        <f>F83*G83/1000</f>
        <v>154.61303999999998</v>
      </c>
      <c r="I83" s="157">
        <f>F83/12*G83</f>
        <v>12884.419999999998</v>
      </c>
    </row>
    <row r="84" spans="1:9" ht="15.75" customHeight="1">
      <c r="A84" s="82"/>
      <c r="B84" s="34" t="s">
        <v>74</v>
      </c>
      <c r="C84" s="35"/>
      <c r="D84" s="15"/>
      <c r="E84" s="15"/>
      <c r="F84" s="15"/>
      <c r="G84" s="18"/>
      <c r="H84" s="18"/>
      <c r="I84" s="32">
        <f>I83+I82+I76+I72+I61+I54+I50+I44+I43+I42+I41+I40+I37+I36+I25+I21+I20+I18+I16+I63</f>
        <v>77160.818927600019</v>
      </c>
    </row>
    <row r="85" spans="1:9" ht="15.75" customHeight="1">
      <c r="A85" s="220" t="s">
        <v>57</v>
      </c>
      <c r="B85" s="221"/>
      <c r="C85" s="221"/>
      <c r="D85" s="221"/>
      <c r="E85" s="221"/>
      <c r="F85" s="221"/>
      <c r="G85" s="221"/>
      <c r="H85" s="221"/>
      <c r="I85" s="222"/>
    </row>
    <row r="86" spans="1:9" ht="14.25" customHeight="1">
      <c r="A86" s="29">
        <v>21</v>
      </c>
      <c r="B86" s="100" t="s">
        <v>228</v>
      </c>
      <c r="C86" s="113" t="s">
        <v>157</v>
      </c>
      <c r="D86" s="97"/>
      <c r="E86" s="98"/>
      <c r="F86" s="98">
        <v>23</v>
      </c>
      <c r="G86" s="98">
        <v>295.36</v>
      </c>
      <c r="H86" s="72"/>
      <c r="I86" s="109">
        <f>G86*15</f>
        <v>4430.4000000000005</v>
      </c>
    </row>
    <row r="87" spans="1:9" ht="15.75" customHeight="1">
      <c r="A87" s="29">
        <v>22</v>
      </c>
      <c r="B87" s="100" t="s">
        <v>152</v>
      </c>
      <c r="C87" s="113" t="s">
        <v>157</v>
      </c>
      <c r="D87" s="97"/>
      <c r="E87" s="98"/>
      <c r="F87" s="98">
        <v>12</v>
      </c>
      <c r="G87" s="98">
        <v>295.36</v>
      </c>
      <c r="H87" s="99"/>
      <c r="I87" s="109">
        <v>0</v>
      </c>
    </row>
    <row r="88" spans="1:9" ht="15.75" customHeight="1">
      <c r="A88" s="29">
        <v>23</v>
      </c>
      <c r="B88" s="100" t="s">
        <v>188</v>
      </c>
      <c r="C88" s="113" t="s">
        <v>189</v>
      </c>
      <c r="D88" s="97" t="s">
        <v>235</v>
      </c>
      <c r="E88" s="98"/>
      <c r="F88" s="98">
        <v>2</v>
      </c>
      <c r="G88" s="98">
        <v>236.08</v>
      </c>
      <c r="H88" s="99"/>
      <c r="I88" s="109">
        <f>G88*2</f>
        <v>472.16</v>
      </c>
    </row>
    <row r="89" spans="1:9" ht="15.75" customHeight="1">
      <c r="A89" s="29">
        <v>24</v>
      </c>
      <c r="B89" s="100" t="s">
        <v>214</v>
      </c>
      <c r="C89" s="113" t="s">
        <v>189</v>
      </c>
      <c r="D89" s="97" t="s">
        <v>234</v>
      </c>
      <c r="E89" s="98"/>
      <c r="F89" s="98">
        <v>0.5</v>
      </c>
      <c r="G89" s="98">
        <v>672.88</v>
      </c>
      <c r="H89" s="99"/>
      <c r="I89" s="109">
        <f>G89*0.5</f>
        <v>336.44</v>
      </c>
    </row>
    <row r="90" spans="1:9" ht="15.75" customHeight="1">
      <c r="A90" s="29">
        <v>25</v>
      </c>
      <c r="B90" s="95" t="s">
        <v>75</v>
      </c>
      <c r="C90" s="96" t="s">
        <v>111</v>
      </c>
      <c r="D90" s="97"/>
      <c r="E90" s="98"/>
      <c r="F90" s="98">
        <v>4</v>
      </c>
      <c r="G90" s="98">
        <v>224.48</v>
      </c>
      <c r="H90" s="99"/>
      <c r="I90" s="109">
        <f>G90*3</f>
        <v>673.43999999999994</v>
      </c>
    </row>
    <row r="91" spans="1:9" ht="29.25" customHeight="1">
      <c r="A91" s="29">
        <v>26</v>
      </c>
      <c r="B91" s="95" t="s">
        <v>199</v>
      </c>
      <c r="C91" s="96" t="s">
        <v>36</v>
      </c>
      <c r="D91" s="97" t="s">
        <v>178</v>
      </c>
      <c r="E91" s="98"/>
      <c r="F91" s="98">
        <v>0.02</v>
      </c>
      <c r="G91" s="98">
        <v>4233.72</v>
      </c>
      <c r="H91" s="99"/>
      <c r="I91" s="109">
        <v>0</v>
      </c>
    </row>
    <row r="92" spans="1:9" ht="29.25" customHeight="1">
      <c r="A92" s="29">
        <v>27</v>
      </c>
      <c r="B92" s="95" t="s">
        <v>236</v>
      </c>
      <c r="C92" s="96" t="s">
        <v>111</v>
      </c>
      <c r="D92" s="97" t="s">
        <v>243</v>
      </c>
      <c r="E92" s="98"/>
      <c r="F92" s="98">
        <v>1</v>
      </c>
      <c r="G92" s="98">
        <v>1226.45</v>
      </c>
      <c r="H92" s="99"/>
      <c r="I92" s="109">
        <f>G92*1</f>
        <v>1226.45</v>
      </c>
    </row>
    <row r="93" spans="1:9" ht="29.25" customHeight="1">
      <c r="A93" s="29">
        <v>28</v>
      </c>
      <c r="B93" s="95" t="s">
        <v>237</v>
      </c>
      <c r="C93" s="96" t="s">
        <v>111</v>
      </c>
      <c r="D93" s="97" t="s">
        <v>243</v>
      </c>
      <c r="E93" s="98"/>
      <c r="F93" s="98">
        <v>2</v>
      </c>
      <c r="G93" s="98">
        <v>983.17</v>
      </c>
      <c r="H93" s="99"/>
      <c r="I93" s="109">
        <f>G93*2</f>
        <v>1966.34</v>
      </c>
    </row>
    <row r="94" spans="1:9" ht="15" customHeight="1">
      <c r="A94" s="29">
        <v>29</v>
      </c>
      <c r="B94" s="95" t="s">
        <v>238</v>
      </c>
      <c r="C94" s="96" t="s">
        <v>30</v>
      </c>
      <c r="D94" s="97"/>
      <c r="E94" s="98"/>
      <c r="F94" s="98">
        <v>2</v>
      </c>
      <c r="G94" s="98">
        <v>235</v>
      </c>
      <c r="H94" s="99"/>
      <c r="I94" s="109">
        <f>G94*2</f>
        <v>470</v>
      </c>
    </row>
    <row r="95" spans="1:9" ht="15.75" customHeight="1">
      <c r="A95" s="29">
        <v>30</v>
      </c>
      <c r="B95" s="95" t="s">
        <v>239</v>
      </c>
      <c r="C95" s="96" t="s">
        <v>30</v>
      </c>
      <c r="D95" s="97"/>
      <c r="E95" s="98"/>
      <c r="F95" s="98">
        <v>1</v>
      </c>
      <c r="G95" s="98">
        <v>98</v>
      </c>
      <c r="H95" s="99"/>
      <c r="I95" s="109">
        <f>G95*1</f>
        <v>98</v>
      </c>
    </row>
    <row r="96" spans="1:9" ht="18.75" customHeight="1">
      <c r="A96" s="29">
        <v>31</v>
      </c>
      <c r="B96" s="95" t="s">
        <v>240</v>
      </c>
      <c r="C96" s="96" t="s">
        <v>30</v>
      </c>
      <c r="D96" s="97"/>
      <c r="E96" s="98"/>
      <c r="F96" s="98">
        <v>1</v>
      </c>
      <c r="G96" s="98">
        <v>74</v>
      </c>
      <c r="H96" s="99"/>
      <c r="I96" s="109">
        <f>G96*1</f>
        <v>74</v>
      </c>
    </row>
    <row r="97" spans="1:9" ht="15.75" customHeight="1">
      <c r="A97" s="29">
        <v>32</v>
      </c>
      <c r="B97" s="95" t="s">
        <v>241</v>
      </c>
      <c r="C97" s="96" t="s">
        <v>111</v>
      </c>
      <c r="D97" s="97"/>
      <c r="E97" s="98"/>
      <c r="F97" s="98">
        <v>1</v>
      </c>
      <c r="G97" s="98">
        <v>49</v>
      </c>
      <c r="H97" s="99"/>
      <c r="I97" s="109">
        <f>G97*1</f>
        <v>49</v>
      </c>
    </row>
    <row r="98" spans="1:9">
      <c r="A98" s="29">
        <v>33</v>
      </c>
      <c r="B98" s="95" t="s">
        <v>242</v>
      </c>
      <c r="C98" s="96" t="s">
        <v>111</v>
      </c>
      <c r="D98" s="97"/>
      <c r="E98" s="98"/>
      <c r="F98" s="98">
        <v>1</v>
      </c>
      <c r="G98" s="98">
        <v>91.58</v>
      </c>
      <c r="H98" s="99"/>
      <c r="I98" s="109">
        <f>G98*1</f>
        <v>91.58</v>
      </c>
    </row>
    <row r="99" spans="1:9" ht="15.75" customHeight="1">
      <c r="A99" s="29"/>
      <c r="B99" s="40" t="s">
        <v>49</v>
      </c>
      <c r="C99" s="36"/>
      <c r="D99" s="43"/>
      <c r="E99" s="36">
        <v>1</v>
      </c>
      <c r="F99" s="36"/>
      <c r="G99" s="36"/>
      <c r="H99" s="36"/>
      <c r="I99" s="32">
        <f>SUM(I86:I98)</f>
        <v>9887.81</v>
      </c>
    </row>
    <row r="100" spans="1:9" ht="15.75" customHeight="1">
      <c r="A100" s="29"/>
      <c r="B100" s="42" t="s">
        <v>73</v>
      </c>
      <c r="C100" s="15"/>
      <c r="D100" s="15"/>
      <c r="E100" s="37"/>
      <c r="F100" s="37"/>
      <c r="G100" s="38"/>
      <c r="H100" s="38"/>
      <c r="I100" s="17">
        <v>0</v>
      </c>
    </row>
    <row r="101" spans="1:9" ht="15.75" customHeight="1">
      <c r="A101" s="44"/>
      <c r="B101" s="41" t="s">
        <v>155</v>
      </c>
      <c r="C101" s="33"/>
      <c r="D101" s="33"/>
      <c r="E101" s="33"/>
      <c r="F101" s="33"/>
      <c r="G101" s="33"/>
      <c r="H101" s="33"/>
      <c r="I101" s="39">
        <f>I84+I99</f>
        <v>87048.628927600017</v>
      </c>
    </row>
    <row r="102" spans="1:9" ht="15.75" customHeight="1">
      <c r="A102" s="217" t="s">
        <v>244</v>
      </c>
      <c r="B102" s="217"/>
      <c r="C102" s="217"/>
      <c r="D102" s="217"/>
      <c r="E102" s="217"/>
      <c r="F102" s="217"/>
      <c r="G102" s="217"/>
      <c r="H102" s="217"/>
      <c r="I102" s="217"/>
    </row>
    <row r="103" spans="1:9" ht="15.75" customHeight="1">
      <c r="A103" s="51"/>
      <c r="B103" s="218" t="s">
        <v>245</v>
      </c>
      <c r="C103" s="218"/>
      <c r="D103" s="218"/>
      <c r="E103" s="218"/>
      <c r="F103" s="218"/>
      <c r="G103" s="218"/>
      <c r="H103" s="56"/>
      <c r="I103" s="3"/>
    </row>
    <row r="104" spans="1:9" ht="15.75" customHeight="1">
      <c r="A104" s="80"/>
      <c r="B104" s="208" t="s">
        <v>6</v>
      </c>
      <c r="C104" s="208"/>
      <c r="D104" s="208"/>
      <c r="E104" s="208"/>
      <c r="F104" s="208"/>
      <c r="G104" s="208"/>
      <c r="H104" s="24"/>
      <c r="I104" s="5"/>
    </row>
    <row r="105" spans="1:9" ht="15.75" customHeight="1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 customHeight="1">
      <c r="A106" s="219" t="s">
        <v>7</v>
      </c>
      <c r="B106" s="219"/>
      <c r="C106" s="219"/>
      <c r="D106" s="219"/>
      <c r="E106" s="219"/>
      <c r="F106" s="219"/>
      <c r="G106" s="219"/>
      <c r="H106" s="219"/>
      <c r="I106" s="219"/>
    </row>
    <row r="107" spans="1:9" ht="15.75" customHeight="1">
      <c r="A107" s="219" t="s">
        <v>8</v>
      </c>
      <c r="B107" s="219"/>
      <c r="C107" s="219"/>
      <c r="D107" s="219"/>
      <c r="E107" s="219"/>
      <c r="F107" s="219"/>
      <c r="G107" s="219"/>
      <c r="H107" s="219"/>
      <c r="I107" s="219"/>
    </row>
    <row r="108" spans="1:9" ht="15.75" customHeight="1">
      <c r="A108" s="212" t="s">
        <v>58</v>
      </c>
      <c r="B108" s="212"/>
      <c r="C108" s="212"/>
      <c r="D108" s="212"/>
      <c r="E108" s="212"/>
      <c r="F108" s="212"/>
      <c r="G108" s="212"/>
      <c r="H108" s="212"/>
      <c r="I108" s="212"/>
    </row>
    <row r="109" spans="1:9" ht="15.75" customHeight="1">
      <c r="A109" s="11"/>
    </row>
    <row r="110" spans="1:9" ht="15.75" customHeight="1">
      <c r="A110" s="206" t="s">
        <v>9</v>
      </c>
      <c r="B110" s="206"/>
      <c r="C110" s="206"/>
      <c r="D110" s="206"/>
      <c r="E110" s="206"/>
      <c r="F110" s="206"/>
      <c r="G110" s="206"/>
      <c r="H110" s="206"/>
      <c r="I110" s="206"/>
    </row>
    <row r="111" spans="1:9" ht="15.75" customHeight="1">
      <c r="A111" s="4"/>
    </row>
    <row r="112" spans="1:9" ht="15.75" customHeight="1">
      <c r="B112" s="81" t="s">
        <v>10</v>
      </c>
      <c r="C112" s="207" t="s">
        <v>217</v>
      </c>
      <c r="D112" s="207"/>
      <c r="E112" s="207"/>
      <c r="F112" s="54"/>
      <c r="I112" s="79"/>
    </row>
    <row r="113" spans="1:9" ht="15.75" customHeight="1">
      <c r="A113" s="80"/>
      <c r="C113" s="208" t="s">
        <v>11</v>
      </c>
      <c r="D113" s="208"/>
      <c r="E113" s="208"/>
      <c r="F113" s="24"/>
      <c r="I113" s="78" t="s">
        <v>12</v>
      </c>
    </row>
    <row r="114" spans="1:9" ht="15.75" customHeight="1">
      <c r="A114" s="25"/>
      <c r="C114" s="12"/>
      <c r="D114" s="12"/>
      <c r="G114" s="12"/>
      <c r="H114" s="12"/>
    </row>
    <row r="115" spans="1:9" ht="15.75" customHeight="1">
      <c r="B115" s="81" t="s">
        <v>13</v>
      </c>
      <c r="C115" s="209"/>
      <c r="D115" s="209"/>
      <c r="E115" s="209"/>
      <c r="F115" s="55"/>
      <c r="I115" s="79"/>
    </row>
    <row r="116" spans="1:9" ht="15.75" customHeight="1">
      <c r="A116" s="80"/>
      <c r="C116" s="210" t="s">
        <v>11</v>
      </c>
      <c r="D116" s="210"/>
      <c r="E116" s="210"/>
      <c r="F116" s="80"/>
      <c r="I116" s="78" t="s">
        <v>12</v>
      </c>
    </row>
    <row r="117" spans="1:9" ht="15.75" customHeight="1">
      <c r="A117" s="4" t="s">
        <v>14</v>
      </c>
    </row>
    <row r="118" spans="1:9" ht="15.75" customHeight="1">
      <c r="A118" s="211" t="s">
        <v>15</v>
      </c>
      <c r="B118" s="211"/>
      <c r="C118" s="211"/>
      <c r="D118" s="211"/>
      <c r="E118" s="211"/>
      <c r="F118" s="211"/>
      <c r="G118" s="211"/>
      <c r="H118" s="211"/>
      <c r="I118" s="211"/>
    </row>
    <row r="119" spans="1:9" ht="45" customHeight="1">
      <c r="A119" s="205" t="s">
        <v>16</v>
      </c>
      <c r="B119" s="205"/>
      <c r="C119" s="205"/>
      <c r="D119" s="205"/>
      <c r="E119" s="205"/>
      <c r="F119" s="205"/>
      <c r="G119" s="205"/>
      <c r="H119" s="205"/>
      <c r="I119" s="205"/>
    </row>
    <row r="120" spans="1:9" ht="30" customHeight="1">
      <c r="A120" s="205" t="s">
        <v>17</v>
      </c>
      <c r="B120" s="205"/>
      <c r="C120" s="205"/>
      <c r="D120" s="205"/>
      <c r="E120" s="205"/>
      <c r="F120" s="205"/>
      <c r="G120" s="205"/>
      <c r="H120" s="205"/>
      <c r="I120" s="205"/>
    </row>
    <row r="121" spans="1:9" ht="30" customHeight="1">
      <c r="A121" s="205" t="s">
        <v>21</v>
      </c>
      <c r="B121" s="205"/>
      <c r="C121" s="205"/>
      <c r="D121" s="205"/>
      <c r="E121" s="205"/>
      <c r="F121" s="205"/>
      <c r="G121" s="205"/>
      <c r="H121" s="205"/>
      <c r="I121" s="205"/>
    </row>
    <row r="122" spans="1:9" ht="15" customHeight="1">
      <c r="A122" s="205" t="s">
        <v>20</v>
      </c>
      <c r="B122" s="205"/>
      <c r="C122" s="205"/>
      <c r="D122" s="205"/>
      <c r="E122" s="205"/>
      <c r="F122" s="205"/>
      <c r="G122" s="205"/>
      <c r="H122" s="205"/>
      <c r="I122" s="205"/>
    </row>
  </sheetData>
  <autoFilter ref="I12:I61"/>
  <mergeCells count="29">
    <mergeCell ref="A14:I14"/>
    <mergeCell ref="A15:I15"/>
    <mergeCell ref="A26:I26"/>
    <mergeCell ref="A45:I45"/>
    <mergeCell ref="A55:I55"/>
    <mergeCell ref="A3:I3"/>
    <mergeCell ref="A4:I4"/>
    <mergeCell ref="A5:I5"/>
    <mergeCell ref="A8:I8"/>
    <mergeCell ref="A10:I10"/>
    <mergeCell ref="R65:U65"/>
    <mergeCell ref="C116:E116"/>
    <mergeCell ref="A85:I85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1:I81"/>
    <mergeCell ref="A118:I118"/>
    <mergeCell ref="A119:I119"/>
    <mergeCell ref="A120:I120"/>
    <mergeCell ref="A121:I121"/>
    <mergeCell ref="A122:I12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20"/>
  <sheetViews>
    <sheetView topLeftCell="A85" workbookViewId="0">
      <selection activeCell="G111" sqref="G111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7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139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246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44286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218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15.75" customHeight="1">
      <c r="A16" s="29">
        <v>1</v>
      </c>
      <c r="B16" s="101" t="s">
        <v>158</v>
      </c>
      <c r="C16" s="102" t="s">
        <v>93</v>
      </c>
      <c r="D16" s="101" t="s">
        <v>179</v>
      </c>
      <c r="E16" s="123">
        <v>591.70000000000005</v>
      </c>
      <c r="F16" s="112">
        <f>SUM(E16*24/100)</f>
        <v>142.00800000000001</v>
      </c>
      <c r="G16" s="112">
        <v>322.51</v>
      </c>
      <c r="H16" s="60">
        <f t="shared" ref="H16:H25" si="0">SUM(F16*G16/1000)</f>
        <v>45.799000080000006</v>
      </c>
      <c r="I16" s="13">
        <f>G16*F16/6</f>
        <v>7633.1666800000012</v>
      </c>
      <c r="J16" s="8"/>
      <c r="K16" s="8"/>
      <c r="L16" s="8"/>
      <c r="M16" s="8"/>
    </row>
    <row r="17" spans="1:13" ht="15.75" hidden="1" customHeight="1">
      <c r="A17" s="29">
        <v>2</v>
      </c>
      <c r="B17" s="57" t="s">
        <v>84</v>
      </c>
      <c r="C17" s="58" t="s">
        <v>93</v>
      </c>
      <c r="D17" s="57" t="s">
        <v>125</v>
      </c>
      <c r="E17" s="45">
        <v>473.36</v>
      </c>
      <c r="F17" s="59">
        <f>SUM(E17*104/100)</f>
        <v>492.2944</v>
      </c>
      <c r="G17" s="59">
        <v>175.38</v>
      </c>
      <c r="H17" s="60">
        <f t="shared" si="0"/>
        <v>86.338591871999995</v>
      </c>
      <c r="I17" s="13">
        <f>F17/12*G17</f>
        <v>7194.8826559999998</v>
      </c>
      <c r="J17" s="22"/>
      <c r="K17" s="8"/>
      <c r="L17" s="8"/>
      <c r="M17" s="8"/>
    </row>
    <row r="18" spans="1:13" ht="15.75" customHeight="1">
      <c r="A18" s="29">
        <v>2</v>
      </c>
      <c r="B18" s="101" t="s">
        <v>85</v>
      </c>
      <c r="C18" s="102" t="s">
        <v>93</v>
      </c>
      <c r="D18" s="101" t="s">
        <v>178</v>
      </c>
      <c r="E18" s="123">
        <v>591.70000000000005</v>
      </c>
      <c r="F18" s="112">
        <f>SUM(E18*18/100)</f>
        <v>106.506</v>
      </c>
      <c r="G18" s="112">
        <v>723.23</v>
      </c>
      <c r="H18" s="60">
        <f t="shared" si="0"/>
        <v>77.028334380000004</v>
      </c>
      <c r="I18" s="13">
        <f>F18/18*1*G18</f>
        <v>4279.3519100000003</v>
      </c>
      <c r="J18" s="22"/>
      <c r="K18" s="8"/>
      <c r="L18" s="8"/>
      <c r="M18" s="8"/>
    </row>
    <row r="19" spans="1:13" ht="15.75" hidden="1" customHeight="1">
      <c r="A19" s="29"/>
      <c r="B19" s="101" t="s">
        <v>95</v>
      </c>
      <c r="C19" s="102" t="s">
        <v>96</v>
      </c>
      <c r="D19" s="101" t="s">
        <v>97</v>
      </c>
      <c r="E19" s="45">
        <v>38.4</v>
      </c>
      <c r="F19" s="59">
        <f>SUM(E19/10)</f>
        <v>3.84</v>
      </c>
      <c r="G19" s="59">
        <v>170.16</v>
      </c>
      <c r="H19" s="60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1" t="s">
        <v>88</v>
      </c>
      <c r="C20" s="102" t="s">
        <v>93</v>
      </c>
      <c r="D20" s="101" t="s">
        <v>180</v>
      </c>
      <c r="E20" s="123">
        <v>43.2</v>
      </c>
      <c r="F20" s="112">
        <f>SUM(E20*12/100)</f>
        <v>5.1840000000000011</v>
      </c>
      <c r="G20" s="112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1" t="s">
        <v>89</v>
      </c>
      <c r="C21" s="102" t="s">
        <v>93</v>
      </c>
      <c r="D21" s="101" t="s">
        <v>178</v>
      </c>
      <c r="E21" s="123">
        <v>10.08</v>
      </c>
      <c r="F21" s="112">
        <f>SUM(E21*12/100)</f>
        <v>1.2096</v>
      </c>
      <c r="G21" s="112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/>
      <c r="B22" s="57" t="s">
        <v>98</v>
      </c>
      <c r="C22" s="58" t="s">
        <v>50</v>
      </c>
      <c r="D22" s="57" t="s">
        <v>97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/>
      <c r="B23" s="57" t="s">
        <v>99</v>
      </c>
      <c r="C23" s="58" t="s">
        <v>50</v>
      </c>
      <c r="D23" s="57" t="s">
        <v>97</v>
      </c>
      <c r="E23" s="53">
        <v>70.56</v>
      </c>
      <c r="F23" s="59">
        <f>SUM(E23/100)</f>
        <v>0.7056</v>
      </c>
      <c r="G23" s="59">
        <v>44.29</v>
      </c>
      <c r="H23" s="60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/>
      <c r="B24" s="57" t="s">
        <v>92</v>
      </c>
      <c r="C24" s="58" t="s">
        <v>50</v>
      </c>
      <c r="D24" s="57" t="s">
        <v>97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hidden="1" customHeight="1">
      <c r="A25" s="29">
        <v>5</v>
      </c>
      <c r="B25" s="101" t="s">
        <v>162</v>
      </c>
      <c r="C25" s="102" t="s">
        <v>32</v>
      </c>
      <c r="D25" s="101" t="s">
        <v>181</v>
      </c>
      <c r="E25" s="126">
        <v>0.2</v>
      </c>
      <c r="F25" s="112">
        <f>E25*155</f>
        <v>31</v>
      </c>
      <c r="G25" s="112">
        <v>370.77</v>
      </c>
      <c r="H25" s="60">
        <f t="shared" si="0"/>
        <v>11.493869999999999</v>
      </c>
      <c r="I25" s="13">
        <f>F25/12*G25</f>
        <v>957.82249999999999</v>
      </c>
      <c r="J25" s="22"/>
      <c r="K25" s="8"/>
      <c r="L25" s="8"/>
      <c r="M25" s="8"/>
    </row>
    <row r="26" spans="1:13" ht="15.75" customHeight="1">
      <c r="A26" s="213" t="s">
        <v>78</v>
      </c>
      <c r="B26" s="213"/>
      <c r="C26" s="213"/>
      <c r="D26" s="213"/>
      <c r="E26" s="213"/>
      <c r="F26" s="213"/>
      <c r="G26" s="213"/>
      <c r="H26" s="213"/>
      <c r="I26" s="213"/>
      <c r="J26" s="22"/>
      <c r="K26" s="8"/>
      <c r="L26" s="8"/>
      <c r="M26" s="8"/>
    </row>
    <row r="27" spans="1:13" ht="15.75" hidden="1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hidden="1" customHeight="1">
      <c r="A28" s="29">
        <v>7</v>
      </c>
      <c r="B28" s="57" t="s">
        <v>100</v>
      </c>
      <c r="C28" s="58" t="s">
        <v>101</v>
      </c>
      <c r="D28" s="57" t="s">
        <v>102</v>
      </c>
      <c r="E28" s="59">
        <v>1414.6</v>
      </c>
      <c r="F28" s="59">
        <f>SUM(E28*52/1000)</f>
        <v>73.559200000000004</v>
      </c>
      <c r="G28" s="59">
        <v>155.88999999999999</v>
      </c>
      <c r="H28" s="60">
        <f t="shared" ref="H28:H34" si="2">SUM(F28*G28/1000)</f>
        <v>11.467143688</v>
      </c>
      <c r="I28" s="13">
        <v>0</v>
      </c>
      <c r="J28" s="22"/>
      <c r="K28" s="8"/>
      <c r="L28" s="8"/>
      <c r="M28" s="8"/>
    </row>
    <row r="29" spans="1:13" ht="31.5" hidden="1" customHeight="1">
      <c r="A29" s="29">
        <v>8</v>
      </c>
      <c r="B29" s="57" t="s">
        <v>126</v>
      </c>
      <c r="C29" s="58" t="s">
        <v>101</v>
      </c>
      <c r="D29" s="57" t="s">
        <v>103</v>
      </c>
      <c r="E29" s="59">
        <v>632.4</v>
      </c>
      <c r="F29" s="59">
        <f>SUM(E29*78/1000)</f>
        <v>49.327199999999998</v>
      </c>
      <c r="G29" s="59">
        <v>258.63</v>
      </c>
      <c r="H29" s="60">
        <f t="shared" si="2"/>
        <v>12.757493735999999</v>
      </c>
      <c r="I29" s="13">
        <v>0</v>
      </c>
      <c r="J29" s="22"/>
      <c r="K29" s="8"/>
      <c r="L29" s="8"/>
      <c r="M29" s="8"/>
    </row>
    <row r="30" spans="1:13" ht="15.75" hidden="1" customHeight="1">
      <c r="A30" s="29"/>
      <c r="B30" s="57" t="s">
        <v>130</v>
      </c>
      <c r="C30" s="58" t="s">
        <v>101</v>
      </c>
      <c r="D30" s="57" t="s">
        <v>82</v>
      </c>
      <c r="E30" s="45">
        <v>143.20000000000002</v>
      </c>
      <c r="F30" s="59">
        <v>0</v>
      </c>
      <c r="G30" s="59">
        <v>293.27999999999997</v>
      </c>
      <c r="H30" s="60">
        <f t="shared" si="2"/>
        <v>0</v>
      </c>
      <c r="I30" s="13"/>
      <c r="J30" s="22"/>
      <c r="K30" s="8"/>
      <c r="L30" s="8"/>
      <c r="M30" s="8"/>
    </row>
    <row r="31" spans="1:13" ht="15.75" hidden="1" customHeight="1">
      <c r="A31" s="29">
        <v>9</v>
      </c>
      <c r="B31" s="57" t="s">
        <v>27</v>
      </c>
      <c r="C31" s="58" t="s">
        <v>101</v>
      </c>
      <c r="D31" s="57" t="s">
        <v>51</v>
      </c>
      <c r="E31" s="59">
        <v>1414.6</v>
      </c>
      <c r="F31" s="59">
        <f>SUM(E31/1000)</f>
        <v>1.4145999999999999</v>
      </c>
      <c r="G31" s="59">
        <v>3020.33</v>
      </c>
      <c r="H31" s="60">
        <f t="shared" si="2"/>
        <v>4.2725588179999994</v>
      </c>
      <c r="I31" s="13">
        <v>0</v>
      </c>
      <c r="J31" s="22"/>
      <c r="K31" s="8"/>
      <c r="L31" s="8"/>
      <c r="M31" s="8"/>
    </row>
    <row r="32" spans="1:13" ht="15.75" hidden="1" customHeight="1">
      <c r="A32" s="29">
        <v>10</v>
      </c>
      <c r="B32" s="57" t="s">
        <v>104</v>
      </c>
      <c r="C32" s="58" t="s">
        <v>38</v>
      </c>
      <c r="D32" s="57" t="s">
        <v>60</v>
      </c>
      <c r="E32" s="59">
        <v>6</v>
      </c>
      <c r="F32" s="59">
        <f>SUM(E32*155/100)</f>
        <v>9.3000000000000007</v>
      </c>
      <c r="G32" s="59">
        <v>1302.02</v>
      </c>
      <c r="H32" s="60">
        <f t="shared" si="2"/>
        <v>12.108786</v>
      </c>
      <c r="I32" s="13">
        <v>0</v>
      </c>
      <c r="J32" s="22"/>
      <c r="K32" s="8"/>
    </row>
    <row r="33" spans="1:14" ht="15.75" hidden="1" customHeight="1">
      <c r="A33" s="29"/>
      <c r="B33" s="57" t="s">
        <v>61</v>
      </c>
      <c r="C33" s="58" t="s">
        <v>32</v>
      </c>
      <c r="D33" s="57" t="s">
        <v>63</v>
      </c>
      <c r="E33" s="45"/>
      <c r="F33" s="59">
        <v>4</v>
      </c>
      <c r="G33" s="59">
        <v>191.32</v>
      </c>
      <c r="H33" s="60">
        <f t="shared" si="2"/>
        <v>0.76527999999999996</v>
      </c>
      <c r="I33" s="13">
        <v>0</v>
      </c>
      <c r="J33" s="23"/>
    </row>
    <row r="34" spans="1:14" ht="15.75" hidden="1" customHeight="1">
      <c r="A34" s="29"/>
      <c r="B34" s="57" t="s">
        <v>62</v>
      </c>
      <c r="C34" s="58" t="s">
        <v>31</v>
      </c>
      <c r="D34" s="57" t="s">
        <v>63</v>
      </c>
      <c r="E34" s="45"/>
      <c r="F34" s="59">
        <v>3</v>
      </c>
      <c r="G34" s="59">
        <v>1136.33</v>
      </c>
      <c r="H34" s="60">
        <f t="shared" si="2"/>
        <v>3.4089899999999997</v>
      </c>
      <c r="I34" s="13">
        <v>0</v>
      </c>
      <c r="J34" s="23"/>
    </row>
    <row r="35" spans="1:14" ht="15.75" customHeight="1">
      <c r="A35" s="29"/>
      <c r="B35" s="76" t="s">
        <v>5</v>
      </c>
      <c r="C35" s="58"/>
      <c r="D35" s="57"/>
      <c r="E35" s="45"/>
      <c r="F35" s="59"/>
      <c r="G35" s="59"/>
      <c r="H35" s="60" t="s">
        <v>118</v>
      </c>
      <c r="I35" s="13"/>
      <c r="J35" s="23"/>
    </row>
    <row r="36" spans="1:14" ht="15.75" customHeight="1">
      <c r="A36" s="29">
        <v>5</v>
      </c>
      <c r="B36" s="57" t="s">
        <v>26</v>
      </c>
      <c r="C36" s="58" t="s">
        <v>31</v>
      </c>
      <c r="D36" s="57" t="s">
        <v>247</v>
      </c>
      <c r="E36" s="45"/>
      <c r="F36" s="59">
        <v>20</v>
      </c>
      <c r="G36" s="112">
        <v>1855</v>
      </c>
      <c r="H36" s="60">
        <f t="shared" ref="H36:H41" si="3">SUM(F36*G36/1000)</f>
        <v>37.1</v>
      </c>
      <c r="I36" s="13">
        <f>G36*4</f>
        <v>7420</v>
      </c>
      <c r="J36" s="23"/>
    </row>
    <row r="37" spans="1:14" ht="15.75" customHeight="1">
      <c r="A37" s="29">
        <v>6</v>
      </c>
      <c r="B37" s="127" t="s">
        <v>64</v>
      </c>
      <c r="C37" s="128" t="s">
        <v>29</v>
      </c>
      <c r="D37" s="127" t="s">
        <v>179</v>
      </c>
      <c r="E37" s="129">
        <v>202.36</v>
      </c>
      <c r="F37" s="129">
        <f>SUM(E37*24/1000)</f>
        <v>4.8566400000000005</v>
      </c>
      <c r="G37" s="129">
        <v>4525.34</v>
      </c>
      <c r="H37" s="182">
        <f t="shared" si="3"/>
        <v>21.977947257600004</v>
      </c>
      <c r="I37" s="13">
        <f>F37/6*G37</f>
        <v>3662.9912096000003</v>
      </c>
      <c r="J37" s="23"/>
      <c r="L37" s="19"/>
      <c r="M37" s="20"/>
      <c r="N37" s="21"/>
    </row>
    <row r="38" spans="1:14" ht="15.75" hidden="1" customHeight="1">
      <c r="A38" s="29"/>
      <c r="B38" s="127" t="s">
        <v>64</v>
      </c>
      <c r="C38" s="128" t="s">
        <v>29</v>
      </c>
      <c r="D38" s="127" t="s">
        <v>195</v>
      </c>
      <c r="E38" s="129">
        <v>202.36</v>
      </c>
      <c r="F38" s="129">
        <f>SUM(E38*24/1000)</f>
        <v>4.8566400000000005</v>
      </c>
      <c r="G38" s="129">
        <v>4525.34</v>
      </c>
      <c r="H38" s="182">
        <f t="shared" si="3"/>
        <v>21.977947257600004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9</v>
      </c>
      <c r="B39" s="101" t="s">
        <v>86</v>
      </c>
      <c r="C39" s="102" t="s">
        <v>106</v>
      </c>
      <c r="D39" s="101" t="s">
        <v>163</v>
      </c>
      <c r="E39" s="123"/>
      <c r="F39" s="129">
        <v>26</v>
      </c>
      <c r="G39" s="112">
        <v>330</v>
      </c>
      <c r="H39" s="182">
        <f t="shared" si="3"/>
        <v>8.58</v>
      </c>
      <c r="I39" s="13">
        <f>F39/6*G39</f>
        <v>1430</v>
      </c>
      <c r="J39" s="23"/>
      <c r="L39" s="19"/>
      <c r="M39" s="20"/>
      <c r="N39" s="21"/>
    </row>
    <row r="40" spans="1:14" ht="15.75" customHeight="1">
      <c r="A40" s="29">
        <v>7</v>
      </c>
      <c r="B40" s="101" t="s">
        <v>65</v>
      </c>
      <c r="C40" s="102" t="s">
        <v>29</v>
      </c>
      <c r="D40" s="101" t="s">
        <v>181</v>
      </c>
      <c r="E40" s="112">
        <v>202.36</v>
      </c>
      <c r="F40" s="129">
        <f>SUM(E40*78/1000)</f>
        <v>15.784080000000001</v>
      </c>
      <c r="G40" s="112">
        <v>754.23</v>
      </c>
      <c r="H40" s="182">
        <f t="shared" si="3"/>
        <v>11.904826658400001</v>
      </c>
      <c r="I40" s="13">
        <f>F40/6*G40</f>
        <v>1984.1377764000003</v>
      </c>
      <c r="J40" s="23"/>
      <c r="L40" s="19"/>
      <c r="M40" s="20"/>
      <c r="N40" s="21"/>
    </row>
    <row r="41" spans="1:14" ht="31.5" customHeight="1">
      <c r="A41" s="29">
        <v>8</v>
      </c>
      <c r="B41" s="101" t="s">
        <v>76</v>
      </c>
      <c r="C41" s="102" t="s">
        <v>101</v>
      </c>
      <c r="D41" s="101" t="s">
        <v>190</v>
      </c>
      <c r="E41" s="112">
        <v>105.56</v>
      </c>
      <c r="F41" s="129">
        <f>SUM(E41*15/1000)</f>
        <v>1.5834000000000001</v>
      </c>
      <c r="G41" s="112">
        <v>12067.57</v>
      </c>
      <c r="H41" s="60">
        <f t="shared" si="3"/>
        <v>19.107790338000001</v>
      </c>
      <c r="I41" s="13">
        <f>F41/6*G41</f>
        <v>3184.6317230000004</v>
      </c>
      <c r="J41" s="23"/>
      <c r="L41" s="19"/>
      <c r="M41" s="20"/>
      <c r="N41" s="21"/>
    </row>
    <row r="42" spans="1:14" ht="15.75" customHeight="1">
      <c r="A42" s="29">
        <v>9</v>
      </c>
      <c r="B42" s="101" t="s">
        <v>108</v>
      </c>
      <c r="C42" s="102" t="s">
        <v>101</v>
      </c>
      <c r="D42" s="101"/>
      <c r="E42" s="112">
        <v>202.36</v>
      </c>
      <c r="F42" s="129">
        <f>SUM(E42*24/1000)</f>
        <v>4.8566400000000005</v>
      </c>
      <c r="G42" s="112">
        <v>614.55999999999995</v>
      </c>
      <c r="H42" s="60"/>
      <c r="I42" s="13">
        <f>G42*F42/24*1</f>
        <v>124.3623616</v>
      </c>
      <c r="J42" s="23"/>
      <c r="L42" s="19"/>
      <c r="M42" s="20"/>
      <c r="N42" s="21"/>
    </row>
    <row r="43" spans="1:14" ht="15.75" customHeight="1">
      <c r="A43" s="178">
        <v>10</v>
      </c>
      <c r="B43" s="57" t="s">
        <v>67</v>
      </c>
      <c r="C43" s="58" t="s">
        <v>32</v>
      </c>
      <c r="D43" s="57"/>
      <c r="E43" s="45"/>
      <c r="F43" s="59">
        <v>0.9</v>
      </c>
      <c r="G43" s="187">
        <v>800</v>
      </c>
      <c r="H43" s="60">
        <f t="shared" ref="H43" si="4">SUM(F43*G43/1000)</f>
        <v>0.72</v>
      </c>
      <c r="I43" s="13">
        <f>G43*F43/24*1</f>
        <v>30</v>
      </c>
      <c r="J43" s="23"/>
      <c r="L43" s="19"/>
      <c r="M43" s="20"/>
      <c r="N43" s="21"/>
    </row>
    <row r="44" spans="1:14" ht="27.75" customHeight="1">
      <c r="A44" s="178">
        <v>11</v>
      </c>
      <c r="B44" s="101" t="s">
        <v>164</v>
      </c>
      <c r="C44" s="102" t="s">
        <v>29</v>
      </c>
      <c r="D44" s="101" t="s">
        <v>190</v>
      </c>
      <c r="E44" s="123">
        <v>3.6</v>
      </c>
      <c r="F44" s="112">
        <f>E44*12/1000</f>
        <v>4.3200000000000002E-2</v>
      </c>
      <c r="G44" s="112">
        <v>19757.060000000001</v>
      </c>
      <c r="H44" s="182">
        <f>G44*F44/1000</f>
        <v>0.85350499200000018</v>
      </c>
      <c r="I44" s="13">
        <f>G44*F44/6</f>
        <v>142.25083200000003</v>
      </c>
      <c r="J44" s="23"/>
      <c r="L44" s="19"/>
      <c r="M44" s="20"/>
      <c r="N44" s="21"/>
    </row>
    <row r="45" spans="1:14" ht="15.75" customHeight="1">
      <c r="A45" s="214" t="s">
        <v>121</v>
      </c>
      <c r="B45" s="215"/>
      <c r="C45" s="215"/>
      <c r="D45" s="215"/>
      <c r="E45" s="215"/>
      <c r="F45" s="215"/>
      <c r="G45" s="215"/>
      <c r="H45" s="215"/>
      <c r="I45" s="216"/>
      <c r="J45" s="23"/>
      <c r="L45" s="19"/>
      <c r="M45" s="20"/>
      <c r="N45" s="21"/>
    </row>
    <row r="46" spans="1:14" ht="15.75" hidden="1" customHeight="1">
      <c r="A46" s="29"/>
      <c r="B46" s="57" t="s">
        <v>133</v>
      </c>
      <c r="C46" s="58" t="s">
        <v>101</v>
      </c>
      <c r="D46" s="57" t="s">
        <v>40</v>
      </c>
      <c r="E46" s="45">
        <v>1150.5999999999999</v>
      </c>
      <c r="F46" s="59">
        <f>SUM(E46*2/1000)</f>
        <v>2.3011999999999997</v>
      </c>
      <c r="G46" s="13">
        <v>849.49</v>
      </c>
      <c r="H46" s="60">
        <f t="shared" ref="H46:H54" si="5">SUM(F46*G46/1000)</f>
        <v>1.9548463879999998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57" t="s">
        <v>33</v>
      </c>
      <c r="C47" s="58" t="s">
        <v>101</v>
      </c>
      <c r="D47" s="57" t="s">
        <v>40</v>
      </c>
      <c r="E47" s="45">
        <v>108.96</v>
      </c>
      <c r="F47" s="59">
        <f>SUM(E47*2/1000)</f>
        <v>0.21791999999999997</v>
      </c>
      <c r="G47" s="13">
        <v>579.48</v>
      </c>
      <c r="H47" s="60">
        <f t="shared" si="5"/>
        <v>0.12628028159999999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57" t="s">
        <v>34</v>
      </c>
      <c r="C48" s="58" t="s">
        <v>101</v>
      </c>
      <c r="D48" s="57" t="s">
        <v>40</v>
      </c>
      <c r="E48" s="45">
        <v>4224.3999999999996</v>
      </c>
      <c r="F48" s="59">
        <f>SUM(E48*2/1000)</f>
        <v>8.4487999999999985</v>
      </c>
      <c r="G48" s="13">
        <v>579.48</v>
      </c>
      <c r="H48" s="60">
        <f t="shared" si="5"/>
        <v>4.895910623999999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57" t="s">
        <v>35</v>
      </c>
      <c r="C49" s="58" t="s">
        <v>101</v>
      </c>
      <c r="D49" s="57" t="s">
        <v>40</v>
      </c>
      <c r="E49" s="45">
        <v>3059.7</v>
      </c>
      <c r="F49" s="59">
        <f>SUM(E49*2/1000)</f>
        <v>6.1193999999999997</v>
      </c>
      <c r="G49" s="13">
        <v>606.77</v>
      </c>
      <c r="H49" s="60">
        <f t="shared" si="5"/>
        <v>3.7130683379999998</v>
      </c>
      <c r="I49" s="13">
        <v>0</v>
      </c>
      <c r="J49" s="23"/>
      <c r="L49" s="19"/>
      <c r="M49" s="20"/>
      <c r="N49" s="21"/>
    </row>
    <row r="50" spans="1:22" ht="15.75" hidden="1" customHeight="1">
      <c r="A50" s="29">
        <v>14</v>
      </c>
      <c r="B50" s="57" t="s">
        <v>53</v>
      </c>
      <c r="C50" s="58" t="s">
        <v>101</v>
      </c>
      <c r="D50" s="57" t="s">
        <v>134</v>
      </c>
      <c r="E50" s="45">
        <v>1150.5999999999999</v>
      </c>
      <c r="F50" s="59">
        <f>SUM(E50*5/1000)</f>
        <v>5.7530000000000001</v>
      </c>
      <c r="G50" s="13">
        <v>1213.55</v>
      </c>
      <c r="H50" s="60">
        <f t="shared" si="5"/>
        <v>6.9815531499999999</v>
      </c>
      <c r="I50" s="13">
        <f>F50/5*G50</f>
        <v>1396.3106299999999</v>
      </c>
      <c r="J50" s="23"/>
      <c r="L50" s="19"/>
      <c r="M50" s="20"/>
      <c r="N50" s="21"/>
    </row>
    <row r="51" spans="1:22" ht="31.5" hidden="1" customHeight="1">
      <c r="A51" s="29">
        <v>14</v>
      </c>
      <c r="B51" s="57" t="s">
        <v>109</v>
      </c>
      <c r="C51" s="58" t="s">
        <v>101</v>
      </c>
      <c r="D51" s="57" t="s">
        <v>40</v>
      </c>
      <c r="E51" s="45">
        <v>1150.5999999999999</v>
      </c>
      <c r="F51" s="59">
        <f>SUM(E51*2/1000)</f>
        <v>2.3011999999999997</v>
      </c>
      <c r="G51" s="13">
        <v>1213.55</v>
      </c>
      <c r="H51" s="60">
        <f t="shared" si="5"/>
        <v>2.7926212599999993</v>
      </c>
      <c r="I51" s="13">
        <v>0</v>
      </c>
      <c r="J51" s="23"/>
      <c r="L51" s="19"/>
      <c r="M51" s="20"/>
      <c r="N51" s="21"/>
    </row>
    <row r="52" spans="1:22" ht="31.5" hidden="1" customHeight="1">
      <c r="A52" s="29"/>
      <c r="B52" s="57" t="s">
        <v>110</v>
      </c>
      <c r="C52" s="58" t="s">
        <v>36</v>
      </c>
      <c r="D52" s="57" t="s">
        <v>40</v>
      </c>
      <c r="E52" s="45">
        <v>30</v>
      </c>
      <c r="F52" s="59">
        <f>SUM(E52*2/100)</f>
        <v>0.6</v>
      </c>
      <c r="G52" s="13">
        <v>2730.49</v>
      </c>
      <c r="H52" s="60">
        <f t="shared" si="5"/>
        <v>1.6382939999999999</v>
      </c>
      <c r="I52" s="13">
        <v>0</v>
      </c>
      <c r="J52" s="23"/>
      <c r="L52" s="19"/>
      <c r="M52" s="20"/>
      <c r="N52" s="21"/>
    </row>
    <row r="53" spans="1:22" ht="15.75" hidden="1" customHeight="1">
      <c r="A53" s="29">
        <v>14</v>
      </c>
      <c r="B53" s="57" t="s">
        <v>37</v>
      </c>
      <c r="C53" s="58" t="s">
        <v>38</v>
      </c>
      <c r="D53" s="57" t="s">
        <v>40</v>
      </c>
      <c r="E53" s="45">
        <v>1</v>
      </c>
      <c r="F53" s="59">
        <v>0.02</v>
      </c>
      <c r="G53" s="13">
        <v>5652.13</v>
      </c>
      <c r="H53" s="60">
        <f t="shared" si="5"/>
        <v>0.11304260000000001</v>
      </c>
      <c r="I53" s="13">
        <f>F53/2*G53</f>
        <v>56.521300000000004</v>
      </c>
      <c r="J53" s="23"/>
      <c r="L53" s="19"/>
      <c r="M53" s="20"/>
      <c r="N53" s="21"/>
    </row>
    <row r="54" spans="1:22" ht="15.75" hidden="1" customHeight="1">
      <c r="A54" s="120">
        <v>15</v>
      </c>
      <c r="B54" s="67" t="s">
        <v>39</v>
      </c>
      <c r="C54" s="66" t="s">
        <v>111</v>
      </c>
      <c r="D54" s="67" t="s">
        <v>68</v>
      </c>
      <c r="E54" s="68">
        <v>158</v>
      </c>
      <c r="F54" s="69">
        <f>SUM(E54)*3</f>
        <v>474</v>
      </c>
      <c r="G54" s="109">
        <v>65.67</v>
      </c>
      <c r="H54" s="70">
        <f t="shared" si="5"/>
        <v>31.127580000000002</v>
      </c>
      <c r="I54" s="109">
        <f>E54*G54</f>
        <v>10375.86</v>
      </c>
      <c r="J54" s="23"/>
      <c r="L54" s="19"/>
      <c r="M54" s="20"/>
      <c r="N54" s="21"/>
    </row>
    <row r="55" spans="1:22" ht="15.75" customHeight="1">
      <c r="A55" s="214" t="s">
        <v>144</v>
      </c>
      <c r="B55" s="215"/>
      <c r="C55" s="215"/>
      <c r="D55" s="215"/>
      <c r="E55" s="215"/>
      <c r="F55" s="215"/>
      <c r="G55" s="215"/>
      <c r="H55" s="215"/>
      <c r="I55" s="216"/>
      <c r="J55" s="23"/>
      <c r="L55" s="19"/>
      <c r="M55" s="20"/>
      <c r="N55" s="21"/>
    </row>
    <row r="56" spans="1:22" ht="15.75" customHeight="1">
      <c r="A56" s="29"/>
      <c r="B56" s="76" t="s">
        <v>41</v>
      </c>
      <c r="C56" s="58"/>
      <c r="D56" s="57"/>
      <c r="E56" s="45"/>
      <c r="F56" s="59"/>
      <c r="G56" s="59"/>
      <c r="H56" s="60"/>
      <c r="I56" s="13"/>
      <c r="J56" s="23"/>
      <c r="L56" s="19"/>
      <c r="M56" s="20"/>
      <c r="N56" s="21"/>
    </row>
    <row r="57" spans="1:22" ht="31.5" customHeight="1">
      <c r="A57" s="29">
        <v>12</v>
      </c>
      <c r="B57" s="101" t="s">
        <v>198</v>
      </c>
      <c r="C57" s="102" t="s">
        <v>93</v>
      </c>
      <c r="D57" s="101"/>
      <c r="E57" s="188">
        <v>18</v>
      </c>
      <c r="F57" s="98">
        <f>E57*6/100</f>
        <v>1.08</v>
      </c>
      <c r="G57" s="129">
        <v>2218.11</v>
      </c>
      <c r="H57" s="60">
        <f>SUM(F57*G57/1000)</f>
        <v>2.3955588000000003</v>
      </c>
      <c r="I57" s="13">
        <f>G57*0.2</f>
        <v>443.62200000000007</v>
      </c>
      <c r="J57" s="23"/>
      <c r="L57" s="19"/>
      <c r="M57" s="20"/>
      <c r="N57" s="21"/>
    </row>
    <row r="58" spans="1:22" ht="15.75" hidden="1" customHeight="1">
      <c r="A58" s="86">
        <v>15</v>
      </c>
      <c r="B58" s="57" t="s">
        <v>90</v>
      </c>
      <c r="C58" s="58" t="s">
        <v>91</v>
      </c>
      <c r="D58" s="57" t="s">
        <v>40</v>
      </c>
      <c r="E58" s="45">
        <v>6</v>
      </c>
      <c r="F58" s="59">
        <v>12</v>
      </c>
      <c r="G58" s="65">
        <v>180.78</v>
      </c>
      <c r="H58" s="60">
        <f t="shared" ref="H58" si="6">SUM(F58*G58/1000)</f>
        <v>2.1693600000000002</v>
      </c>
      <c r="I58" s="13">
        <f>F58/2*G58</f>
        <v>1084.68</v>
      </c>
      <c r="J58" s="23"/>
      <c r="L58" s="19"/>
      <c r="M58" s="20"/>
      <c r="N58" s="21"/>
    </row>
    <row r="59" spans="1:22" ht="15.75" customHeight="1">
      <c r="A59" s="175">
        <v>13</v>
      </c>
      <c r="B59" s="103" t="s">
        <v>193</v>
      </c>
      <c r="C59" s="104" t="s">
        <v>194</v>
      </c>
      <c r="D59" s="103" t="s">
        <v>248</v>
      </c>
      <c r="E59" s="105"/>
      <c r="F59" s="108">
        <v>6</v>
      </c>
      <c r="G59" s="98">
        <v>1730</v>
      </c>
      <c r="H59" s="71"/>
      <c r="I59" s="13">
        <f>G59*1</f>
        <v>1730</v>
      </c>
      <c r="J59" s="23"/>
      <c r="L59" s="19"/>
      <c r="M59" s="20"/>
      <c r="N59" s="21"/>
    </row>
    <row r="60" spans="1:22" ht="15" customHeight="1">
      <c r="A60" s="29"/>
      <c r="B60" s="77" t="s">
        <v>42</v>
      </c>
      <c r="C60" s="66"/>
      <c r="D60" s="67"/>
      <c r="E60" s="68"/>
      <c r="F60" s="70"/>
      <c r="G60" s="13"/>
      <c r="H60" s="71"/>
      <c r="I60" s="13"/>
      <c r="J60" s="23"/>
      <c r="L60" s="19"/>
      <c r="M60" s="20"/>
      <c r="N60" s="21"/>
    </row>
    <row r="61" spans="1:22" ht="15.75" customHeight="1">
      <c r="A61" s="29">
        <v>14</v>
      </c>
      <c r="B61" s="67" t="s">
        <v>87</v>
      </c>
      <c r="C61" s="66" t="s">
        <v>25</v>
      </c>
      <c r="D61" s="103"/>
      <c r="E61" s="105">
        <v>200</v>
      </c>
      <c r="F61" s="106">
        <f>E61*12</f>
        <v>2400</v>
      </c>
      <c r="G61" s="107">
        <v>1.4</v>
      </c>
      <c r="H61" s="70">
        <f>G61*F61</f>
        <v>3360</v>
      </c>
      <c r="I61" s="13">
        <f>F61/12*G61</f>
        <v>280</v>
      </c>
      <c r="J61" s="23"/>
      <c r="L61" s="19"/>
    </row>
    <row r="62" spans="1:22" ht="15.75" customHeight="1">
      <c r="A62" s="29">
        <v>15</v>
      </c>
      <c r="B62" s="103" t="s">
        <v>177</v>
      </c>
      <c r="C62" s="104" t="s">
        <v>50</v>
      </c>
      <c r="D62" s="103" t="s">
        <v>249</v>
      </c>
      <c r="E62" s="105">
        <v>200</v>
      </c>
      <c r="F62" s="108">
        <f>E62*1/100</f>
        <v>2</v>
      </c>
      <c r="G62" s="98">
        <v>1137.68</v>
      </c>
      <c r="H62" s="70"/>
      <c r="I62" s="13">
        <f>G62*F62</f>
        <v>2275.36</v>
      </c>
      <c r="J62" s="23"/>
      <c r="L62" s="19"/>
    </row>
    <row r="63" spans="1:22" ht="15.75" customHeight="1">
      <c r="A63" s="29"/>
      <c r="B63" s="77" t="s">
        <v>43</v>
      </c>
      <c r="C63" s="66"/>
      <c r="D63" s="67"/>
      <c r="E63" s="68"/>
      <c r="F63" s="69"/>
      <c r="G63" s="69"/>
      <c r="H63" s="70" t="s">
        <v>118</v>
      </c>
      <c r="I63" s="1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9"/>
    </row>
    <row r="64" spans="1:22" ht="15.75" customHeight="1">
      <c r="A64" s="29">
        <v>16</v>
      </c>
      <c r="B64" s="14" t="s">
        <v>44</v>
      </c>
      <c r="C64" s="16" t="s">
        <v>111</v>
      </c>
      <c r="D64" s="14" t="s">
        <v>223</v>
      </c>
      <c r="E64" s="18">
        <v>15</v>
      </c>
      <c r="F64" s="59">
        <v>15</v>
      </c>
      <c r="G64" s="110">
        <v>318.82</v>
      </c>
      <c r="H64" s="72">
        <f t="shared" ref="H64:H71" si="7">SUM(F64*G64/1000)</f>
        <v>4.7823000000000002</v>
      </c>
      <c r="I64" s="13">
        <f>G64*3</f>
        <v>956.46</v>
      </c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hidden="1" customHeight="1">
      <c r="A65" s="29"/>
      <c r="B65" s="14" t="s">
        <v>45</v>
      </c>
      <c r="C65" s="16" t="s">
        <v>111</v>
      </c>
      <c r="D65" s="14" t="s">
        <v>63</v>
      </c>
      <c r="E65" s="18">
        <v>5</v>
      </c>
      <c r="F65" s="59">
        <v>5</v>
      </c>
      <c r="G65" s="13">
        <v>71.790000000000006</v>
      </c>
      <c r="H65" s="72">
        <f t="shared" si="7"/>
        <v>0.35895000000000005</v>
      </c>
      <c r="I65" s="13">
        <v>0</v>
      </c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</row>
    <row r="66" spans="1:21" ht="15.75" hidden="1" customHeight="1">
      <c r="A66" s="29"/>
      <c r="B66" s="14" t="s">
        <v>46</v>
      </c>
      <c r="C66" s="16" t="s">
        <v>112</v>
      </c>
      <c r="D66" s="14" t="s">
        <v>51</v>
      </c>
      <c r="E66" s="45">
        <v>18281</v>
      </c>
      <c r="F66" s="13">
        <f>SUM(E66/100)</f>
        <v>182.81</v>
      </c>
      <c r="G66" s="13">
        <v>199.77</v>
      </c>
      <c r="H66" s="72">
        <f t="shared" si="7"/>
        <v>36.519953700000002</v>
      </c>
      <c r="I66" s="13">
        <v>0</v>
      </c>
      <c r="J66" s="5"/>
      <c r="K66" s="5"/>
      <c r="L66" s="5"/>
      <c r="M66" s="5"/>
      <c r="N66" s="5"/>
      <c r="O66" s="5"/>
      <c r="P66" s="5"/>
      <c r="Q66" s="5"/>
      <c r="R66" s="210"/>
      <c r="S66" s="210"/>
      <c r="T66" s="210"/>
      <c r="U66" s="210"/>
    </row>
    <row r="67" spans="1:21" ht="15.75" hidden="1" customHeight="1">
      <c r="A67" s="29"/>
      <c r="B67" s="14" t="s">
        <v>47</v>
      </c>
      <c r="C67" s="16" t="s">
        <v>113</v>
      </c>
      <c r="D67" s="14"/>
      <c r="E67" s="45">
        <v>18281</v>
      </c>
      <c r="F67" s="13">
        <f>SUM(E67/1000)</f>
        <v>18.280999999999999</v>
      </c>
      <c r="G67" s="13">
        <v>155.57</v>
      </c>
      <c r="H67" s="72">
        <f t="shared" si="7"/>
        <v>2.8439751699999998</v>
      </c>
      <c r="I67" s="13">
        <v>0</v>
      </c>
    </row>
    <row r="68" spans="1:21" ht="15.75" hidden="1" customHeight="1">
      <c r="A68" s="29"/>
      <c r="B68" s="14" t="s">
        <v>48</v>
      </c>
      <c r="C68" s="16" t="s">
        <v>72</v>
      </c>
      <c r="D68" s="14" t="s">
        <v>51</v>
      </c>
      <c r="E68" s="45">
        <v>2730</v>
      </c>
      <c r="F68" s="13">
        <f>SUM(E68/100)</f>
        <v>27.3</v>
      </c>
      <c r="G68" s="13">
        <v>1953.52</v>
      </c>
      <c r="H68" s="72">
        <f t="shared" si="7"/>
        <v>53.331095999999995</v>
      </c>
      <c r="I68" s="13">
        <v>0</v>
      </c>
    </row>
    <row r="69" spans="1:21" ht="15.75" hidden="1" customHeight="1">
      <c r="A69" s="29"/>
      <c r="B69" s="73" t="s">
        <v>114</v>
      </c>
      <c r="C69" s="16" t="s">
        <v>32</v>
      </c>
      <c r="D69" s="14"/>
      <c r="E69" s="45">
        <v>16.399999999999999</v>
      </c>
      <c r="F69" s="13">
        <f>SUM(E69)</f>
        <v>16.399999999999999</v>
      </c>
      <c r="G69" s="13">
        <v>40.270000000000003</v>
      </c>
      <c r="H69" s="72">
        <f t="shared" si="7"/>
        <v>0.66042800000000002</v>
      </c>
      <c r="I69" s="13">
        <v>0</v>
      </c>
    </row>
    <row r="70" spans="1:21" ht="15.75" hidden="1" customHeight="1">
      <c r="A70" s="29"/>
      <c r="B70" s="73" t="s">
        <v>115</v>
      </c>
      <c r="C70" s="16" t="s">
        <v>32</v>
      </c>
      <c r="D70" s="14"/>
      <c r="E70" s="45">
        <v>16.399999999999999</v>
      </c>
      <c r="F70" s="13">
        <f>SUM(E70)</f>
        <v>16.399999999999999</v>
      </c>
      <c r="G70" s="13">
        <v>37.71</v>
      </c>
      <c r="H70" s="72">
        <f t="shared" si="7"/>
        <v>0.61844399999999999</v>
      </c>
      <c r="I70" s="13">
        <v>0</v>
      </c>
    </row>
    <row r="71" spans="1:21" ht="15.75" hidden="1" customHeight="1">
      <c r="A71" s="29"/>
      <c r="B71" s="14" t="s">
        <v>54</v>
      </c>
      <c r="C71" s="16" t="s">
        <v>55</v>
      </c>
      <c r="D71" s="14" t="s">
        <v>51</v>
      </c>
      <c r="E71" s="18">
        <v>7</v>
      </c>
      <c r="F71" s="59">
        <f>SUM(E71)</f>
        <v>7</v>
      </c>
      <c r="G71" s="13">
        <v>46.97</v>
      </c>
      <c r="H71" s="72">
        <f t="shared" si="7"/>
        <v>0.32878999999999997</v>
      </c>
      <c r="I71" s="13">
        <v>0</v>
      </c>
    </row>
    <row r="72" spans="1:21" ht="15.75" customHeight="1">
      <c r="A72" s="29"/>
      <c r="B72" s="135" t="s">
        <v>166</v>
      </c>
      <c r="C72" s="113"/>
      <c r="D72" s="100"/>
      <c r="E72" s="17"/>
      <c r="F72" s="98"/>
      <c r="G72" s="98"/>
      <c r="H72" s="75"/>
      <c r="I72" s="62"/>
    </row>
    <row r="73" spans="1:21" ht="30.75" customHeight="1">
      <c r="A73" s="29">
        <v>17</v>
      </c>
      <c r="B73" s="100" t="s">
        <v>167</v>
      </c>
      <c r="C73" s="35" t="s">
        <v>168</v>
      </c>
      <c r="D73" s="100"/>
      <c r="E73" s="17">
        <v>4224.3999999999996</v>
      </c>
      <c r="F73" s="98">
        <f>E73*12</f>
        <v>50692.799999999996</v>
      </c>
      <c r="G73" s="98">
        <v>2.4900000000000002</v>
      </c>
      <c r="H73" s="75"/>
      <c r="I73" s="13">
        <f>G73*F73/12</f>
        <v>10518.755999999999</v>
      </c>
    </row>
    <row r="74" spans="1:21" ht="15.75" customHeight="1">
      <c r="A74" s="29"/>
      <c r="B74" s="84" t="s">
        <v>69</v>
      </c>
      <c r="C74" s="16"/>
      <c r="D74" s="14"/>
      <c r="E74" s="18"/>
      <c r="F74" s="13"/>
      <c r="G74" s="13"/>
      <c r="H74" s="72" t="s">
        <v>118</v>
      </c>
      <c r="I74" s="13"/>
    </row>
    <row r="75" spans="1:21" ht="15.75" hidden="1" customHeight="1">
      <c r="A75" s="29"/>
      <c r="B75" s="14" t="s">
        <v>80</v>
      </c>
      <c r="C75" s="16" t="s">
        <v>30</v>
      </c>
      <c r="D75" s="14"/>
      <c r="E75" s="18">
        <v>1</v>
      </c>
      <c r="F75" s="59">
        <f>SUM(E75)</f>
        <v>1</v>
      </c>
      <c r="G75" s="13">
        <v>337.58</v>
      </c>
      <c r="H75" s="72">
        <f t="shared" ref="H75" si="8">SUM(F75*G75/1000)</f>
        <v>0.33757999999999999</v>
      </c>
      <c r="I75" s="13">
        <v>0</v>
      </c>
    </row>
    <row r="76" spans="1:21" ht="15.75" hidden="1" customHeight="1">
      <c r="A76" s="29"/>
      <c r="B76" s="14" t="s">
        <v>70</v>
      </c>
      <c r="C76" s="16" t="s">
        <v>30</v>
      </c>
      <c r="D76" s="14"/>
      <c r="E76" s="18">
        <v>2</v>
      </c>
      <c r="F76" s="13">
        <v>2</v>
      </c>
      <c r="G76" s="13">
        <v>803.19</v>
      </c>
      <c r="H76" s="72">
        <f>F76*G76/1000</f>
        <v>1.6063800000000001</v>
      </c>
      <c r="I76" s="13">
        <v>0</v>
      </c>
    </row>
    <row r="77" spans="1:21" ht="15.75" customHeight="1">
      <c r="A77" s="29">
        <v>18</v>
      </c>
      <c r="B77" s="95" t="s">
        <v>169</v>
      </c>
      <c r="C77" s="96" t="s">
        <v>111</v>
      </c>
      <c r="D77" s="100" t="s">
        <v>180</v>
      </c>
      <c r="E77" s="17">
        <v>2</v>
      </c>
      <c r="F77" s="98">
        <f>E77*12</f>
        <v>24</v>
      </c>
      <c r="G77" s="98">
        <v>404</v>
      </c>
      <c r="H77" s="72"/>
      <c r="I77" s="13">
        <f>G77*2</f>
        <v>808</v>
      </c>
    </row>
    <row r="78" spans="1:21" ht="15.75" hidden="1" customHeight="1">
      <c r="A78" s="29"/>
      <c r="B78" s="74" t="s">
        <v>71</v>
      </c>
      <c r="C78" s="16"/>
      <c r="D78" s="14"/>
      <c r="E78" s="18"/>
      <c r="F78" s="13"/>
      <c r="G78" s="13" t="s">
        <v>118</v>
      </c>
      <c r="H78" s="72" t="s">
        <v>118</v>
      </c>
      <c r="I78" s="13"/>
    </row>
    <row r="79" spans="1:21" ht="15.75" hidden="1" customHeight="1">
      <c r="A79" s="29"/>
      <c r="B79" s="42" t="s">
        <v>119</v>
      </c>
      <c r="C79" s="16" t="s">
        <v>72</v>
      </c>
      <c r="D79" s="14"/>
      <c r="E79" s="18"/>
      <c r="F79" s="13">
        <v>1.35</v>
      </c>
      <c r="G79" s="13">
        <v>2494</v>
      </c>
      <c r="H79" s="72">
        <f t="shared" ref="H79" si="9">SUM(F79*G79/1000)</f>
        <v>3.3669000000000002</v>
      </c>
      <c r="I79" s="13">
        <v>0</v>
      </c>
    </row>
    <row r="80" spans="1:21" ht="15.75" hidden="1" customHeight="1">
      <c r="A80" s="29"/>
      <c r="B80" s="61" t="s">
        <v>116</v>
      </c>
      <c r="C80" s="74"/>
      <c r="D80" s="31"/>
      <c r="E80" s="32"/>
      <c r="F80" s="62"/>
      <c r="G80" s="62"/>
      <c r="H80" s="75">
        <f>SUM(H57:H79)</f>
        <v>3469.3197156699998</v>
      </c>
      <c r="I80" s="62"/>
    </row>
    <row r="81" spans="1:9" ht="15.75" hidden="1" customHeight="1">
      <c r="A81" s="29"/>
      <c r="B81" s="57" t="s">
        <v>117</v>
      </c>
      <c r="C81" s="16"/>
      <c r="D81" s="14"/>
      <c r="E81" s="52"/>
      <c r="F81" s="13">
        <v>1</v>
      </c>
      <c r="G81" s="13">
        <v>17359.8</v>
      </c>
      <c r="H81" s="72">
        <f>G81*F81/1000</f>
        <v>17.3598</v>
      </c>
      <c r="I81" s="13">
        <v>0</v>
      </c>
    </row>
    <row r="82" spans="1:9" ht="15.75" customHeight="1">
      <c r="A82" s="223" t="s">
        <v>145</v>
      </c>
      <c r="B82" s="224"/>
      <c r="C82" s="224"/>
      <c r="D82" s="224"/>
      <c r="E82" s="224"/>
      <c r="F82" s="224"/>
      <c r="G82" s="224"/>
      <c r="H82" s="224"/>
      <c r="I82" s="225"/>
    </row>
    <row r="83" spans="1:9" ht="15.75" customHeight="1">
      <c r="A83" s="29">
        <v>19</v>
      </c>
      <c r="B83" s="100" t="s">
        <v>120</v>
      </c>
      <c r="C83" s="113" t="s">
        <v>52</v>
      </c>
      <c r="D83" s="136"/>
      <c r="E83" s="98">
        <v>4224.3999999999996</v>
      </c>
      <c r="F83" s="98">
        <f>SUM(E83*12)</f>
        <v>50692.799999999996</v>
      </c>
      <c r="G83" s="98">
        <v>3.38</v>
      </c>
      <c r="H83" s="13">
        <f>SUM(F83*G83/1000)</f>
        <v>171.34166399999998</v>
      </c>
      <c r="I83" s="13">
        <f>F83/12*G83</f>
        <v>14278.471999999998</v>
      </c>
    </row>
    <row r="84" spans="1:9" ht="31.5" customHeight="1">
      <c r="A84" s="29">
        <v>20</v>
      </c>
      <c r="B84" s="155" t="s">
        <v>170</v>
      </c>
      <c r="C84" s="138" t="s">
        <v>52</v>
      </c>
      <c r="D84" s="139"/>
      <c r="E84" s="140">
        <f>E83</f>
        <v>4224.3999999999996</v>
      </c>
      <c r="F84" s="141">
        <f>E84*12</f>
        <v>50692.799999999996</v>
      </c>
      <c r="G84" s="141">
        <v>3.05</v>
      </c>
      <c r="H84" s="156">
        <f>F84*G84/1000</f>
        <v>154.61303999999998</v>
      </c>
      <c r="I84" s="157">
        <f>F84/12*G84</f>
        <v>12884.419999999998</v>
      </c>
    </row>
    <row r="85" spans="1:9" ht="15.75" customHeight="1">
      <c r="A85" s="82"/>
      <c r="B85" s="34" t="s">
        <v>74</v>
      </c>
      <c r="C85" s="35"/>
      <c r="D85" s="15"/>
      <c r="E85" s="15"/>
      <c r="F85" s="15"/>
      <c r="G85" s="18"/>
      <c r="H85" s="18"/>
      <c r="I85" s="32">
        <f>I84+I83+I77+I73+I64+I62+I61+I59+I57+I44+I43+I42+I41+I40+I37+I36+I21+I20+I18+I16</f>
        <v>72802.146540599977</v>
      </c>
    </row>
    <row r="86" spans="1:9" ht="15.75" customHeight="1">
      <c r="A86" s="220" t="s">
        <v>57</v>
      </c>
      <c r="B86" s="221"/>
      <c r="C86" s="221"/>
      <c r="D86" s="221"/>
      <c r="E86" s="221"/>
      <c r="F86" s="221"/>
      <c r="G86" s="221"/>
      <c r="H86" s="221"/>
      <c r="I86" s="222"/>
    </row>
    <row r="87" spans="1:9" ht="15.75" customHeight="1">
      <c r="A87" s="195">
        <v>21</v>
      </c>
      <c r="B87" s="95" t="s">
        <v>75</v>
      </c>
      <c r="C87" s="96" t="s">
        <v>111</v>
      </c>
      <c r="D87" s="97"/>
      <c r="E87" s="98"/>
      <c r="F87" s="98">
        <v>5</v>
      </c>
      <c r="G87" s="98">
        <v>224.48</v>
      </c>
      <c r="H87" s="201"/>
      <c r="I87" s="194">
        <f>G87*1</f>
        <v>224.48</v>
      </c>
    </row>
    <row r="88" spans="1:9" ht="30.75" customHeight="1">
      <c r="A88" s="178">
        <v>22</v>
      </c>
      <c r="B88" s="158" t="s">
        <v>250</v>
      </c>
      <c r="C88" s="35" t="s">
        <v>251</v>
      </c>
      <c r="D88" s="97" t="s">
        <v>257</v>
      </c>
      <c r="E88" s="98"/>
      <c r="F88" s="98">
        <v>1</v>
      </c>
      <c r="G88" s="98">
        <v>2287.54</v>
      </c>
      <c r="H88" s="201"/>
      <c r="I88" s="194">
        <f>G88*1</f>
        <v>2287.54</v>
      </c>
    </row>
    <row r="89" spans="1:9" ht="30" customHeight="1">
      <c r="A89" s="178">
        <v>23</v>
      </c>
      <c r="B89" s="95" t="s">
        <v>252</v>
      </c>
      <c r="C89" s="96" t="s">
        <v>30</v>
      </c>
      <c r="D89" s="97" t="s">
        <v>220</v>
      </c>
      <c r="E89" s="98"/>
      <c r="F89" s="98">
        <v>2</v>
      </c>
      <c r="G89" s="98">
        <v>1288.08</v>
      </c>
      <c r="H89" s="201"/>
      <c r="I89" s="196">
        <f>G89*2</f>
        <v>2576.16</v>
      </c>
    </row>
    <row r="90" spans="1:9" ht="15.75" customHeight="1">
      <c r="A90" s="178">
        <v>24</v>
      </c>
      <c r="B90" s="95" t="s">
        <v>153</v>
      </c>
      <c r="C90" s="96" t="s">
        <v>77</v>
      </c>
      <c r="D90" s="97" t="s">
        <v>255</v>
      </c>
      <c r="E90" s="98"/>
      <c r="F90" s="98">
        <v>1</v>
      </c>
      <c r="G90" s="98">
        <v>231.54</v>
      </c>
      <c r="H90" s="201"/>
      <c r="I90" s="196">
        <f>G90*1</f>
        <v>231.54</v>
      </c>
    </row>
    <row r="91" spans="1:9" ht="17.25" customHeight="1">
      <c r="A91" s="178">
        <v>25</v>
      </c>
      <c r="B91" s="95" t="s">
        <v>200</v>
      </c>
      <c r="C91" s="96" t="s">
        <v>38</v>
      </c>
      <c r="D91" s="97" t="s">
        <v>178</v>
      </c>
      <c r="E91" s="98"/>
      <c r="F91" s="98">
        <v>0.01</v>
      </c>
      <c r="G91" s="98">
        <v>28224.75</v>
      </c>
      <c r="H91" s="201"/>
      <c r="I91" s="196">
        <v>0</v>
      </c>
    </row>
    <row r="92" spans="1:9" ht="32.25" customHeight="1">
      <c r="A92" s="178">
        <v>26</v>
      </c>
      <c r="B92" s="95" t="s">
        <v>237</v>
      </c>
      <c r="C92" s="96" t="s">
        <v>111</v>
      </c>
      <c r="D92" s="97" t="s">
        <v>256</v>
      </c>
      <c r="E92" s="98"/>
      <c r="F92" s="98">
        <v>4</v>
      </c>
      <c r="G92" s="98">
        <v>983.17</v>
      </c>
      <c r="H92" s="201"/>
      <c r="I92" s="196">
        <f>G92*2</f>
        <v>1966.34</v>
      </c>
    </row>
    <row r="93" spans="1:9" ht="17.25" customHeight="1">
      <c r="A93" s="178">
        <v>27</v>
      </c>
      <c r="B93" s="95" t="s">
        <v>238</v>
      </c>
      <c r="C93" s="96" t="s">
        <v>30</v>
      </c>
      <c r="D93" s="97"/>
      <c r="E93" s="98"/>
      <c r="F93" s="98">
        <v>4</v>
      </c>
      <c r="G93" s="98">
        <v>235</v>
      </c>
      <c r="H93" s="201"/>
      <c r="I93" s="196">
        <f>G93*2</f>
        <v>470</v>
      </c>
    </row>
    <row r="94" spans="1:9" ht="17.25" customHeight="1">
      <c r="A94" s="178">
        <v>28</v>
      </c>
      <c r="B94" s="95" t="s">
        <v>253</v>
      </c>
      <c r="C94" s="96" t="s">
        <v>30</v>
      </c>
      <c r="D94" s="97"/>
      <c r="E94" s="98"/>
      <c r="F94" s="98">
        <v>2</v>
      </c>
      <c r="G94" s="98">
        <v>98</v>
      </c>
      <c r="H94" s="201"/>
      <c r="I94" s="196">
        <f>G94*1</f>
        <v>98</v>
      </c>
    </row>
    <row r="95" spans="1:9" ht="17.25" customHeight="1">
      <c r="A95" s="178">
        <v>29</v>
      </c>
      <c r="B95" s="95" t="s">
        <v>240</v>
      </c>
      <c r="C95" s="96" t="s">
        <v>30</v>
      </c>
      <c r="D95" s="97"/>
      <c r="E95" s="98"/>
      <c r="F95" s="98">
        <v>2</v>
      </c>
      <c r="G95" s="98">
        <v>74</v>
      </c>
      <c r="H95" s="201"/>
      <c r="I95" s="196">
        <f>G95*1</f>
        <v>74</v>
      </c>
    </row>
    <row r="96" spans="1:9" ht="17.25" customHeight="1">
      <c r="A96" s="178">
        <v>30</v>
      </c>
      <c r="B96" s="95" t="s">
        <v>254</v>
      </c>
      <c r="C96" s="96" t="s">
        <v>30</v>
      </c>
      <c r="D96" s="97"/>
      <c r="E96" s="98"/>
      <c r="F96" s="98">
        <v>2</v>
      </c>
      <c r="G96" s="98">
        <v>65</v>
      </c>
      <c r="H96" s="201"/>
      <c r="I96" s="196">
        <f>G96*2</f>
        <v>130</v>
      </c>
    </row>
    <row r="97" spans="1:9" ht="15.75" customHeight="1">
      <c r="A97" s="29"/>
      <c r="B97" s="40" t="s">
        <v>49</v>
      </c>
      <c r="C97" s="36"/>
      <c r="D97" s="43"/>
      <c r="E97" s="36">
        <v>1</v>
      </c>
      <c r="F97" s="36"/>
      <c r="G97" s="36"/>
      <c r="H97" s="36"/>
      <c r="I97" s="32">
        <f>SUM(I87:I96)</f>
        <v>8058.06</v>
      </c>
    </row>
    <row r="98" spans="1:9" ht="15.75" customHeight="1">
      <c r="A98" s="29"/>
      <c r="B98" s="42" t="s">
        <v>73</v>
      </c>
      <c r="C98" s="15"/>
      <c r="D98" s="15"/>
      <c r="E98" s="37"/>
      <c r="F98" s="37"/>
      <c r="G98" s="38"/>
      <c r="H98" s="38"/>
      <c r="I98" s="17">
        <v>0</v>
      </c>
    </row>
    <row r="99" spans="1:9" ht="15.75" customHeight="1">
      <c r="A99" s="44"/>
      <c r="B99" s="41" t="s">
        <v>129</v>
      </c>
      <c r="C99" s="33"/>
      <c r="D99" s="33"/>
      <c r="E99" s="33"/>
      <c r="F99" s="33"/>
      <c r="G99" s="33"/>
      <c r="H99" s="33"/>
      <c r="I99" s="39">
        <f>I85+I97</f>
        <v>80860.206540599975</v>
      </c>
    </row>
    <row r="100" spans="1:9" ht="15.75" customHeight="1">
      <c r="A100" s="217" t="s">
        <v>258</v>
      </c>
      <c r="B100" s="217"/>
      <c r="C100" s="217"/>
      <c r="D100" s="217"/>
      <c r="E100" s="217"/>
      <c r="F100" s="217"/>
      <c r="G100" s="217"/>
      <c r="H100" s="217"/>
      <c r="I100" s="217"/>
    </row>
    <row r="101" spans="1:9" ht="15.75" customHeight="1">
      <c r="A101" s="51"/>
      <c r="B101" s="218" t="s">
        <v>259</v>
      </c>
      <c r="C101" s="218"/>
      <c r="D101" s="218"/>
      <c r="E101" s="218"/>
      <c r="F101" s="218"/>
      <c r="G101" s="218"/>
      <c r="H101" s="56"/>
      <c r="I101" s="3"/>
    </row>
    <row r="102" spans="1:9" ht="15.75" customHeight="1">
      <c r="A102" s="80"/>
      <c r="B102" s="208" t="s">
        <v>6</v>
      </c>
      <c r="C102" s="208"/>
      <c r="D102" s="208"/>
      <c r="E102" s="208"/>
      <c r="F102" s="208"/>
      <c r="G102" s="208"/>
      <c r="H102" s="24"/>
      <c r="I102" s="5"/>
    </row>
    <row r="103" spans="1:9" ht="15.75" customHeight="1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ht="15.75" customHeight="1">
      <c r="A104" s="219" t="s">
        <v>7</v>
      </c>
      <c r="B104" s="219"/>
      <c r="C104" s="219"/>
      <c r="D104" s="219"/>
      <c r="E104" s="219"/>
      <c r="F104" s="219"/>
      <c r="G104" s="219"/>
      <c r="H104" s="219"/>
      <c r="I104" s="219"/>
    </row>
    <row r="105" spans="1:9" ht="15.75" customHeight="1">
      <c r="A105" s="219" t="s">
        <v>8</v>
      </c>
      <c r="B105" s="219"/>
      <c r="C105" s="219"/>
      <c r="D105" s="219"/>
      <c r="E105" s="219"/>
      <c r="F105" s="219"/>
      <c r="G105" s="219"/>
      <c r="H105" s="219"/>
      <c r="I105" s="219"/>
    </row>
    <row r="106" spans="1:9" ht="15.75" customHeight="1">
      <c r="A106" s="212" t="s">
        <v>58</v>
      </c>
      <c r="B106" s="212"/>
      <c r="C106" s="212"/>
      <c r="D106" s="212"/>
      <c r="E106" s="212"/>
      <c r="F106" s="212"/>
      <c r="G106" s="212"/>
      <c r="H106" s="212"/>
      <c r="I106" s="212"/>
    </row>
    <row r="107" spans="1:9" ht="15.75" customHeight="1">
      <c r="A107" s="11"/>
    </row>
    <row r="108" spans="1:9" ht="15.75" customHeight="1">
      <c r="A108" s="206" t="s">
        <v>9</v>
      </c>
      <c r="B108" s="206"/>
      <c r="C108" s="206"/>
      <c r="D108" s="206"/>
      <c r="E108" s="206"/>
      <c r="F108" s="206"/>
      <c r="G108" s="206"/>
      <c r="H108" s="206"/>
      <c r="I108" s="206"/>
    </row>
    <row r="109" spans="1:9" ht="15.75" customHeight="1">
      <c r="A109" s="4"/>
    </row>
    <row r="110" spans="1:9" ht="15.75" customHeight="1">
      <c r="B110" s="81" t="s">
        <v>10</v>
      </c>
      <c r="C110" s="207" t="s">
        <v>217</v>
      </c>
      <c r="D110" s="207"/>
      <c r="E110" s="207"/>
      <c r="F110" s="54"/>
      <c r="I110" s="79"/>
    </row>
    <row r="111" spans="1:9" ht="15.75" customHeight="1">
      <c r="A111" s="80"/>
      <c r="C111" s="208" t="s">
        <v>11</v>
      </c>
      <c r="D111" s="208"/>
      <c r="E111" s="208"/>
      <c r="F111" s="24"/>
      <c r="I111" s="78" t="s">
        <v>12</v>
      </c>
    </row>
    <row r="112" spans="1:9" ht="15.75" customHeight="1">
      <c r="A112" s="25"/>
      <c r="C112" s="12"/>
      <c r="D112" s="12"/>
      <c r="G112" s="12"/>
      <c r="H112" s="12"/>
    </row>
    <row r="113" spans="1:9" ht="15.75" customHeight="1">
      <c r="B113" s="81" t="s">
        <v>13</v>
      </c>
      <c r="C113" s="209"/>
      <c r="D113" s="209"/>
      <c r="E113" s="209"/>
      <c r="F113" s="55"/>
      <c r="I113" s="79"/>
    </row>
    <row r="114" spans="1:9" ht="15.75" customHeight="1">
      <c r="A114" s="80"/>
      <c r="C114" s="210" t="s">
        <v>11</v>
      </c>
      <c r="D114" s="210"/>
      <c r="E114" s="210"/>
      <c r="F114" s="80"/>
      <c r="I114" s="78" t="s">
        <v>12</v>
      </c>
    </row>
    <row r="115" spans="1:9" ht="15.75" customHeight="1">
      <c r="A115" s="4" t="s">
        <v>14</v>
      </c>
    </row>
    <row r="116" spans="1:9" ht="15.75" customHeight="1">
      <c r="A116" s="211" t="s">
        <v>15</v>
      </c>
      <c r="B116" s="211"/>
      <c r="C116" s="211"/>
      <c r="D116" s="211"/>
      <c r="E116" s="211"/>
      <c r="F116" s="211"/>
      <c r="G116" s="211"/>
      <c r="H116" s="211"/>
      <c r="I116" s="211"/>
    </row>
    <row r="117" spans="1:9" ht="45" customHeight="1">
      <c r="A117" s="205" t="s">
        <v>16</v>
      </c>
      <c r="B117" s="205"/>
      <c r="C117" s="205"/>
      <c r="D117" s="205"/>
      <c r="E117" s="205"/>
      <c r="F117" s="205"/>
      <c r="G117" s="205"/>
      <c r="H117" s="205"/>
      <c r="I117" s="205"/>
    </row>
    <row r="118" spans="1:9" ht="30" customHeight="1">
      <c r="A118" s="205" t="s">
        <v>17</v>
      </c>
      <c r="B118" s="205"/>
      <c r="C118" s="205"/>
      <c r="D118" s="205"/>
      <c r="E118" s="205"/>
      <c r="F118" s="205"/>
      <c r="G118" s="205"/>
      <c r="H118" s="205"/>
      <c r="I118" s="205"/>
    </row>
    <row r="119" spans="1:9" ht="30" customHeight="1">
      <c r="A119" s="205" t="s">
        <v>21</v>
      </c>
      <c r="B119" s="205"/>
      <c r="C119" s="205"/>
      <c r="D119" s="205"/>
      <c r="E119" s="205"/>
      <c r="F119" s="205"/>
      <c r="G119" s="205"/>
      <c r="H119" s="205"/>
      <c r="I119" s="205"/>
    </row>
    <row r="120" spans="1:9" ht="15" customHeight="1">
      <c r="A120" s="205" t="s">
        <v>20</v>
      </c>
      <c r="B120" s="205"/>
      <c r="C120" s="205"/>
      <c r="D120" s="205"/>
      <c r="E120" s="205"/>
      <c r="F120" s="205"/>
      <c r="G120" s="205"/>
      <c r="H120" s="205"/>
      <c r="I120" s="205"/>
    </row>
  </sheetData>
  <autoFilter ref="I12:I61"/>
  <mergeCells count="29">
    <mergeCell ref="A14:I14"/>
    <mergeCell ref="A15:I15"/>
    <mergeCell ref="A26:I26"/>
    <mergeCell ref="A45:I45"/>
    <mergeCell ref="A55:I55"/>
    <mergeCell ref="A3:I3"/>
    <mergeCell ref="A4:I4"/>
    <mergeCell ref="A5:I5"/>
    <mergeCell ref="A8:I8"/>
    <mergeCell ref="A10:I10"/>
    <mergeCell ref="R66:U66"/>
    <mergeCell ref="C114:E114"/>
    <mergeCell ref="A86:I86"/>
    <mergeCell ref="A100:I100"/>
    <mergeCell ref="B101:G101"/>
    <mergeCell ref="B102:G102"/>
    <mergeCell ref="A104:I104"/>
    <mergeCell ref="A105:I105"/>
    <mergeCell ref="A106:I106"/>
    <mergeCell ref="A108:I108"/>
    <mergeCell ref="C110:E110"/>
    <mergeCell ref="C111:E111"/>
    <mergeCell ref="C113:E113"/>
    <mergeCell ref="A82:I82"/>
    <mergeCell ref="A116:I116"/>
    <mergeCell ref="A117:I117"/>
    <mergeCell ref="A118:I118"/>
    <mergeCell ref="A119:I119"/>
    <mergeCell ref="A120:I12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0"/>
  <sheetViews>
    <sheetView topLeftCell="A71" workbookViewId="0">
      <selection activeCell="I93" sqref="I93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2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140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260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44316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218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15.75" customHeight="1">
      <c r="A16" s="29">
        <v>1</v>
      </c>
      <c r="B16" s="101" t="s">
        <v>158</v>
      </c>
      <c r="C16" s="102" t="s">
        <v>93</v>
      </c>
      <c r="D16" s="101" t="s">
        <v>179</v>
      </c>
      <c r="E16" s="123">
        <v>591.70000000000005</v>
      </c>
      <c r="F16" s="112">
        <f>SUM(E16*24/100)</f>
        <v>142.00800000000001</v>
      </c>
      <c r="G16" s="112">
        <v>322.51</v>
      </c>
      <c r="H16" s="60">
        <f t="shared" ref="H16:H26" si="0">SUM(F16*G16/1000)</f>
        <v>45.799000080000006</v>
      </c>
      <c r="I16" s="13">
        <f>F16/6*G16</f>
        <v>7633.1666800000003</v>
      </c>
      <c r="J16" s="8"/>
      <c r="K16" s="8"/>
      <c r="L16" s="8"/>
      <c r="M16" s="8"/>
    </row>
    <row r="17" spans="1:13" ht="15.75" hidden="1" customHeight="1">
      <c r="A17" s="29">
        <v>2</v>
      </c>
      <c r="B17" s="101" t="s">
        <v>158</v>
      </c>
      <c r="C17" s="102" t="s">
        <v>93</v>
      </c>
      <c r="D17" s="101" t="s">
        <v>160</v>
      </c>
      <c r="E17" s="123">
        <v>591.70000000000005</v>
      </c>
      <c r="F17" s="112">
        <f>SUM(E17*48/100)</f>
        <v>284.01600000000002</v>
      </c>
      <c r="G17" s="112">
        <v>322.51</v>
      </c>
      <c r="H17" s="60">
        <f t="shared" si="0"/>
        <v>91.598000160000012</v>
      </c>
      <c r="I17" s="13">
        <f>F17/12*G17</f>
        <v>7633.1666800000003</v>
      </c>
      <c r="J17" s="22"/>
      <c r="K17" s="8"/>
      <c r="L17" s="8"/>
      <c r="M17" s="8"/>
    </row>
    <row r="18" spans="1:13" ht="20.25" customHeight="1">
      <c r="A18" s="29">
        <v>2</v>
      </c>
      <c r="B18" s="101" t="s">
        <v>85</v>
      </c>
      <c r="C18" s="102" t="s">
        <v>93</v>
      </c>
      <c r="D18" s="101" t="s">
        <v>178</v>
      </c>
      <c r="E18" s="123">
        <v>591.70000000000005</v>
      </c>
      <c r="F18" s="112">
        <f>SUM(E18*18/100)</f>
        <v>106.506</v>
      </c>
      <c r="G18" s="112">
        <v>723.23</v>
      </c>
      <c r="H18" s="60">
        <f t="shared" si="0"/>
        <v>77.028334380000004</v>
      </c>
      <c r="I18" s="13">
        <f>G18*F18/18*1</f>
        <v>4279.3519100000003</v>
      </c>
      <c r="J18" s="22"/>
      <c r="K18" s="8"/>
      <c r="L18" s="8"/>
      <c r="M18" s="8"/>
    </row>
    <row r="19" spans="1:13" ht="18" hidden="1" customHeight="1">
      <c r="A19" s="29"/>
      <c r="B19" s="57" t="s">
        <v>95</v>
      </c>
      <c r="C19" s="58" t="s">
        <v>96</v>
      </c>
      <c r="D19" s="57" t="s">
        <v>97</v>
      </c>
      <c r="E19" s="45">
        <v>38.4</v>
      </c>
      <c r="F19" s="59">
        <f>SUM(E19/10)</f>
        <v>3.84</v>
      </c>
      <c r="G19" s="59">
        <v>170.16</v>
      </c>
      <c r="H19" s="60">
        <f t="shared" si="0"/>
        <v>0.65341439999999995</v>
      </c>
      <c r="I19" s="13">
        <v>0</v>
      </c>
      <c r="J19" s="22"/>
      <c r="K19" s="8"/>
      <c r="L19" s="8"/>
      <c r="M19" s="8"/>
    </row>
    <row r="20" spans="1:13" ht="15.75" customHeight="1">
      <c r="A20" s="29">
        <v>3</v>
      </c>
      <c r="B20" s="101" t="s">
        <v>88</v>
      </c>
      <c r="C20" s="102" t="s">
        <v>93</v>
      </c>
      <c r="D20" s="101" t="s">
        <v>180</v>
      </c>
      <c r="E20" s="123">
        <v>43.2</v>
      </c>
      <c r="F20" s="112">
        <f>SUM(E20*12/100)</f>
        <v>5.1840000000000011</v>
      </c>
      <c r="G20" s="112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1" t="s">
        <v>89</v>
      </c>
      <c r="C21" s="102" t="s">
        <v>93</v>
      </c>
      <c r="D21" s="101" t="s">
        <v>180</v>
      </c>
      <c r="E21" s="123">
        <v>10.08</v>
      </c>
      <c r="F21" s="112">
        <f>SUM(E21*12/100)</f>
        <v>1.2096</v>
      </c>
      <c r="G21" s="112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/>
      <c r="B22" s="57" t="s">
        <v>98</v>
      </c>
      <c r="C22" s="58" t="s">
        <v>50</v>
      </c>
      <c r="D22" s="57" t="s">
        <v>97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0"/>
        <v>2.0763177119999998</v>
      </c>
      <c r="I22" s="13">
        <v>0</v>
      </c>
      <c r="J22" s="22"/>
      <c r="K22" s="8"/>
      <c r="L22" s="8"/>
      <c r="M22" s="8"/>
    </row>
    <row r="23" spans="1:13" ht="15.75" hidden="1" customHeight="1">
      <c r="A23" s="29"/>
      <c r="B23" s="57" t="s">
        <v>99</v>
      </c>
      <c r="C23" s="58" t="s">
        <v>50</v>
      </c>
      <c r="D23" s="57" t="s">
        <v>97</v>
      </c>
      <c r="E23" s="53">
        <v>70.56</v>
      </c>
      <c r="F23" s="59">
        <f>SUM(E23/100)</f>
        <v>0.7056</v>
      </c>
      <c r="G23" s="59">
        <v>44.29</v>
      </c>
      <c r="H23" s="60">
        <f t="shared" si="0"/>
        <v>3.1251024000000002E-2</v>
      </c>
      <c r="I23" s="13">
        <v>0</v>
      </c>
      <c r="J23" s="22"/>
      <c r="K23" s="8"/>
      <c r="L23" s="8"/>
      <c r="M23" s="8"/>
    </row>
    <row r="24" spans="1:13" ht="18" hidden="1" customHeight="1">
      <c r="A24" s="29"/>
      <c r="B24" s="57" t="s">
        <v>92</v>
      </c>
      <c r="C24" s="58" t="s">
        <v>50</v>
      </c>
      <c r="D24" s="57" t="s">
        <v>97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0"/>
        <v>0.14696975999999998</v>
      </c>
      <c r="I24" s="13">
        <v>0</v>
      </c>
      <c r="J24" s="22"/>
      <c r="K24" s="8"/>
      <c r="L24" s="8"/>
      <c r="M24" s="8"/>
    </row>
    <row r="25" spans="1:13" ht="24.75" hidden="1" customHeight="1">
      <c r="A25" s="29"/>
      <c r="B25" s="101" t="s">
        <v>161</v>
      </c>
      <c r="C25" s="102" t="s">
        <v>50</v>
      </c>
      <c r="D25" s="124" t="s">
        <v>51</v>
      </c>
      <c r="E25" s="17">
        <v>23.63</v>
      </c>
      <c r="F25" s="125">
        <f>E25*1/100</f>
        <v>0.23629999999999998</v>
      </c>
      <c r="G25" s="112">
        <v>309.81</v>
      </c>
      <c r="H25" s="60">
        <f t="shared" si="0"/>
        <v>7.3208102999999997E-2</v>
      </c>
      <c r="I25" s="13">
        <v>0</v>
      </c>
      <c r="J25" s="22"/>
      <c r="K25" s="8"/>
      <c r="L25" s="8"/>
      <c r="M25" s="8"/>
    </row>
    <row r="26" spans="1:13" ht="15.75" hidden="1" customHeight="1">
      <c r="A26" s="29">
        <v>5</v>
      </c>
      <c r="B26" s="101" t="s">
        <v>162</v>
      </c>
      <c r="C26" s="102" t="s">
        <v>32</v>
      </c>
      <c r="D26" s="101" t="s">
        <v>181</v>
      </c>
      <c r="E26" s="126">
        <v>0.2</v>
      </c>
      <c r="F26" s="112">
        <f>E26*155</f>
        <v>31</v>
      </c>
      <c r="G26" s="112">
        <v>370.77</v>
      </c>
      <c r="H26" s="60">
        <f t="shared" si="0"/>
        <v>11.493869999999999</v>
      </c>
      <c r="I26" s="13">
        <f>F26/12*G26</f>
        <v>957.82249999999999</v>
      </c>
      <c r="J26" s="23"/>
    </row>
    <row r="27" spans="1:13" ht="15.75" customHeight="1">
      <c r="A27" s="213" t="s">
        <v>78</v>
      </c>
      <c r="B27" s="213"/>
      <c r="C27" s="213"/>
      <c r="D27" s="213"/>
      <c r="E27" s="213"/>
      <c r="F27" s="213"/>
      <c r="G27" s="213"/>
      <c r="H27" s="213"/>
      <c r="I27" s="213"/>
      <c r="J27" s="22"/>
      <c r="K27" s="8"/>
      <c r="L27" s="8"/>
      <c r="M27" s="8"/>
    </row>
    <row r="28" spans="1:13" ht="15.75" hidden="1" customHeight="1">
      <c r="A28" s="29"/>
      <c r="B28" s="76" t="s">
        <v>28</v>
      </c>
      <c r="C28" s="58"/>
      <c r="D28" s="57"/>
      <c r="E28" s="45"/>
      <c r="F28" s="59"/>
      <c r="G28" s="59"/>
      <c r="H28" s="60"/>
      <c r="I28" s="13"/>
      <c r="J28" s="22"/>
      <c r="K28" s="8"/>
      <c r="L28" s="8"/>
      <c r="M28" s="8"/>
    </row>
    <row r="29" spans="1:13" ht="15.75" hidden="1" customHeight="1">
      <c r="A29" s="29">
        <v>7</v>
      </c>
      <c r="B29" s="57" t="s">
        <v>100</v>
      </c>
      <c r="C29" s="58" t="s">
        <v>101</v>
      </c>
      <c r="D29" s="57" t="s">
        <v>102</v>
      </c>
      <c r="E29" s="59">
        <v>1414.6</v>
      </c>
      <c r="F29" s="59">
        <f>SUM(E29*52/1000)</f>
        <v>73.559200000000004</v>
      </c>
      <c r="G29" s="59">
        <v>155.88999999999999</v>
      </c>
      <c r="H29" s="60">
        <f t="shared" ref="H29:H35" si="1">SUM(F29*G29/1000)</f>
        <v>11.467143688</v>
      </c>
      <c r="I29" s="13">
        <v>0</v>
      </c>
      <c r="J29" s="22"/>
      <c r="K29" s="8"/>
      <c r="L29" s="8"/>
      <c r="M29" s="8"/>
    </row>
    <row r="30" spans="1:13" ht="31.5" hidden="1" customHeight="1">
      <c r="A30" s="29">
        <v>8</v>
      </c>
      <c r="B30" s="57" t="s">
        <v>126</v>
      </c>
      <c r="C30" s="58" t="s">
        <v>101</v>
      </c>
      <c r="D30" s="57" t="s">
        <v>103</v>
      </c>
      <c r="E30" s="59">
        <v>632.4</v>
      </c>
      <c r="F30" s="59">
        <f>SUM(E30*78/1000)</f>
        <v>49.327199999999998</v>
      </c>
      <c r="G30" s="59">
        <v>258.63</v>
      </c>
      <c r="H30" s="60">
        <f t="shared" si="1"/>
        <v>12.757493735999999</v>
      </c>
      <c r="I30" s="13">
        <v>0</v>
      </c>
      <c r="J30" s="22"/>
      <c r="K30" s="8"/>
      <c r="L30" s="8"/>
      <c r="M30" s="8"/>
    </row>
    <row r="31" spans="1:13" ht="15.75" hidden="1" customHeight="1">
      <c r="A31" s="29"/>
      <c r="B31" s="57" t="s">
        <v>130</v>
      </c>
      <c r="C31" s="58" t="s">
        <v>101</v>
      </c>
      <c r="D31" s="57" t="s">
        <v>82</v>
      </c>
      <c r="E31" s="45">
        <v>143.20000000000002</v>
      </c>
      <c r="F31" s="59">
        <v>0</v>
      </c>
      <c r="G31" s="59">
        <v>293.27999999999997</v>
      </c>
      <c r="H31" s="60">
        <f t="shared" si="1"/>
        <v>0</v>
      </c>
      <c r="I31" s="13"/>
      <c r="J31" s="22"/>
      <c r="K31" s="8"/>
      <c r="L31" s="8"/>
      <c r="M31" s="8"/>
    </row>
    <row r="32" spans="1:13" ht="15.75" hidden="1" customHeight="1">
      <c r="A32" s="29">
        <v>9</v>
      </c>
      <c r="B32" s="57" t="s">
        <v>27</v>
      </c>
      <c r="C32" s="58" t="s">
        <v>101</v>
      </c>
      <c r="D32" s="57" t="s">
        <v>51</v>
      </c>
      <c r="E32" s="59">
        <v>1414.6</v>
      </c>
      <c r="F32" s="59">
        <f>SUM(E32/1000)</f>
        <v>1.4145999999999999</v>
      </c>
      <c r="G32" s="59">
        <v>3020.33</v>
      </c>
      <c r="H32" s="60">
        <f t="shared" si="1"/>
        <v>4.2725588179999994</v>
      </c>
      <c r="I32" s="13">
        <v>0</v>
      </c>
      <c r="J32" s="22"/>
      <c r="K32" s="8"/>
      <c r="L32" s="8"/>
      <c r="M32" s="8"/>
    </row>
    <row r="33" spans="1:14" ht="15.75" hidden="1" customHeight="1">
      <c r="A33" s="29">
        <v>10</v>
      </c>
      <c r="B33" s="57" t="s">
        <v>104</v>
      </c>
      <c r="C33" s="58" t="s">
        <v>38</v>
      </c>
      <c r="D33" s="57" t="s">
        <v>60</v>
      </c>
      <c r="E33" s="59">
        <v>6</v>
      </c>
      <c r="F33" s="59">
        <f>SUM(E33*155/100)</f>
        <v>9.3000000000000007</v>
      </c>
      <c r="G33" s="59">
        <v>1302.02</v>
      </c>
      <c r="H33" s="60">
        <f t="shared" si="1"/>
        <v>12.108786</v>
      </c>
      <c r="I33" s="13">
        <v>0</v>
      </c>
      <c r="J33" s="22"/>
      <c r="K33" s="8"/>
    </row>
    <row r="34" spans="1:14" ht="15.75" hidden="1" customHeight="1">
      <c r="A34" s="29"/>
      <c r="B34" s="57" t="s">
        <v>61</v>
      </c>
      <c r="C34" s="58" t="s">
        <v>32</v>
      </c>
      <c r="D34" s="57" t="s">
        <v>63</v>
      </c>
      <c r="E34" s="45"/>
      <c r="F34" s="59">
        <v>4</v>
      </c>
      <c r="G34" s="59">
        <v>191.32</v>
      </c>
      <c r="H34" s="60">
        <f t="shared" si="1"/>
        <v>0.76527999999999996</v>
      </c>
      <c r="I34" s="13">
        <v>0</v>
      </c>
      <c r="J34" s="23"/>
    </row>
    <row r="35" spans="1:14" ht="15.75" hidden="1" customHeight="1">
      <c r="A35" s="29"/>
      <c r="B35" s="57" t="s">
        <v>62</v>
      </c>
      <c r="C35" s="58" t="s">
        <v>31</v>
      </c>
      <c r="D35" s="57" t="s">
        <v>63</v>
      </c>
      <c r="E35" s="45"/>
      <c r="F35" s="59">
        <v>3</v>
      </c>
      <c r="G35" s="59">
        <v>1136.33</v>
      </c>
      <c r="H35" s="60">
        <f t="shared" si="1"/>
        <v>3.4089899999999997</v>
      </c>
      <c r="I35" s="13">
        <v>0</v>
      </c>
      <c r="J35" s="23"/>
    </row>
    <row r="36" spans="1:14" ht="15.75" customHeight="1">
      <c r="A36" s="29"/>
      <c r="B36" s="76" t="s">
        <v>5</v>
      </c>
      <c r="C36" s="58"/>
      <c r="D36" s="57"/>
      <c r="E36" s="45"/>
      <c r="F36" s="59"/>
      <c r="G36" s="59"/>
      <c r="H36" s="60" t="s">
        <v>118</v>
      </c>
      <c r="I36" s="13"/>
      <c r="J36" s="23"/>
    </row>
    <row r="37" spans="1:14" ht="15.75" hidden="1" customHeight="1">
      <c r="A37" s="29">
        <v>6</v>
      </c>
      <c r="B37" s="127" t="s">
        <v>26</v>
      </c>
      <c r="C37" s="102" t="s">
        <v>31</v>
      </c>
      <c r="D37" s="101"/>
      <c r="E37" s="123"/>
      <c r="F37" s="112">
        <v>6</v>
      </c>
      <c r="G37" s="112">
        <v>1855</v>
      </c>
      <c r="H37" s="60">
        <f t="shared" ref="H37:H43" si="2">SUM(F37*G37/1000)</f>
        <v>11.13</v>
      </c>
      <c r="I37" s="13">
        <f>G37*1</f>
        <v>1855</v>
      </c>
      <c r="J37" s="23"/>
    </row>
    <row r="38" spans="1:14" ht="15.75" customHeight="1">
      <c r="A38" s="29">
        <v>5</v>
      </c>
      <c r="B38" s="127" t="s">
        <v>64</v>
      </c>
      <c r="C38" s="128" t="s">
        <v>29</v>
      </c>
      <c r="D38" s="127" t="s">
        <v>179</v>
      </c>
      <c r="E38" s="129">
        <v>202.36</v>
      </c>
      <c r="F38" s="129">
        <f>SUM(E38*24/1000)</f>
        <v>4.8566400000000005</v>
      </c>
      <c r="G38" s="129">
        <v>4525.34</v>
      </c>
      <c r="H38" s="60">
        <f t="shared" si="2"/>
        <v>21.977947257600004</v>
      </c>
      <c r="I38" s="13">
        <f>F38/6*G38</f>
        <v>3662.9912096000003</v>
      </c>
      <c r="J38" s="23"/>
      <c r="L38" s="19"/>
      <c r="M38" s="20"/>
      <c r="N38" s="21"/>
    </row>
    <row r="39" spans="1:14" ht="18.75" customHeight="1">
      <c r="A39" s="29">
        <v>6</v>
      </c>
      <c r="B39" s="101" t="s">
        <v>86</v>
      </c>
      <c r="C39" s="102" t="s">
        <v>106</v>
      </c>
      <c r="D39" s="101" t="s">
        <v>261</v>
      </c>
      <c r="E39" s="123"/>
      <c r="F39" s="129">
        <v>26</v>
      </c>
      <c r="G39" s="112">
        <v>330</v>
      </c>
      <c r="H39" s="60">
        <f t="shared" si="2"/>
        <v>8.58</v>
      </c>
      <c r="I39" s="13">
        <f>G39*26</f>
        <v>8580</v>
      </c>
      <c r="J39" s="23"/>
      <c r="L39" s="19"/>
      <c r="M39" s="20"/>
      <c r="N39" s="21"/>
    </row>
    <row r="40" spans="1:14" ht="15.75" customHeight="1">
      <c r="A40" s="29">
        <v>7</v>
      </c>
      <c r="B40" s="101" t="s">
        <v>65</v>
      </c>
      <c r="C40" s="102" t="s">
        <v>29</v>
      </c>
      <c r="D40" s="101" t="s">
        <v>181</v>
      </c>
      <c r="E40" s="112">
        <v>202.36</v>
      </c>
      <c r="F40" s="129">
        <f>SUM(E40*78/1000)</f>
        <v>15.784080000000001</v>
      </c>
      <c r="G40" s="112">
        <v>754.23</v>
      </c>
      <c r="H40" s="60">
        <f t="shared" si="2"/>
        <v>11.904826658400001</v>
      </c>
      <c r="I40" s="13">
        <f>F40/6*G40</f>
        <v>1984.1377764000003</v>
      </c>
      <c r="J40" s="23"/>
      <c r="L40" s="19"/>
      <c r="M40" s="20"/>
      <c r="N40" s="21"/>
    </row>
    <row r="41" spans="1:14" ht="47.25" customHeight="1">
      <c r="A41" s="29">
        <v>8</v>
      </c>
      <c r="B41" s="101" t="s">
        <v>76</v>
      </c>
      <c r="C41" s="102" t="s">
        <v>101</v>
      </c>
      <c r="D41" s="101" t="s">
        <v>178</v>
      </c>
      <c r="E41" s="112">
        <v>105.56</v>
      </c>
      <c r="F41" s="129">
        <f>SUM(E41*15/1000)</f>
        <v>1.5834000000000001</v>
      </c>
      <c r="G41" s="112">
        <v>12067.57</v>
      </c>
      <c r="H41" s="60">
        <f t="shared" si="2"/>
        <v>19.107790338000001</v>
      </c>
      <c r="I41" s="13">
        <f>F41/6*G41</f>
        <v>3184.6317230000004</v>
      </c>
      <c r="J41" s="23"/>
      <c r="L41" s="19"/>
      <c r="M41" s="20"/>
      <c r="N41" s="21"/>
    </row>
    <row r="42" spans="1:14" ht="15.75" hidden="1" customHeight="1">
      <c r="A42" s="29">
        <v>11</v>
      </c>
      <c r="B42" s="101" t="s">
        <v>108</v>
      </c>
      <c r="C42" s="102" t="s">
        <v>101</v>
      </c>
      <c r="D42" s="101" t="s">
        <v>182</v>
      </c>
      <c r="E42" s="112">
        <v>202.36</v>
      </c>
      <c r="F42" s="129">
        <f>SUM(E42*24/1000)</f>
        <v>4.8566400000000005</v>
      </c>
      <c r="G42" s="112">
        <v>614.55999999999995</v>
      </c>
      <c r="H42" s="60">
        <f t="shared" si="2"/>
        <v>2.9846966784000002</v>
      </c>
      <c r="I42" s="13">
        <f>F42/7.5*1.5*G42</f>
        <v>596.93933567999989</v>
      </c>
      <c r="J42" s="23"/>
      <c r="L42" s="19"/>
      <c r="M42" s="20"/>
      <c r="N42" s="21"/>
    </row>
    <row r="43" spans="1:14" ht="13.5" hidden="1" customHeight="1">
      <c r="A43" s="120">
        <v>12</v>
      </c>
      <c r="B43" s="130" t="s">
        <v>67</v>
      </c>
      <c r="C43" s="131" t="s">
        <v>32</v>
      </c>
      <c r="D43" s="130"/>
      <c r="E43" s="132"/>
      <c r="F43" s="133">
        <v>0.9</v>
      </c>
      <c r="G43" s="133">
        <v>800</v>
      </c>
      <c r="H43" s="70">
        <f t="shared" si="2"/>
        <v>0.72</v>
      </c>
      <c r="I43" s="109">
        <f>F43/7.5*1.5*G43</f>
        <v>144.00000000000003</v>
      </c>
      <c r="J43" s="23"/>
      <c r="L43" s="19"/>
      <c r="M43" s="20"/>
      <c r="N43" s="21"/>
    </row>
    <row r="44" spans="1:14" ht="33" customHeight="1">
      <c r="A44" s="29">
        <v>9</v>
      </c>
      <c r="B44" s="101" t="s">
        <v>164</v>
      </c>
      <c r="C44" s="102" t="s">
        <v>29</v>
      </c>
      <c r="D44" s="101" t="s">
        <v>183</v>
      </c>
      <c r="E44" s="123">
        <v>3.6</v>
      </c>
      <c r="F44" s="112">
        <f>E44*12/1000</f>
        <v>4.3200000000000002E-2</v>
      </c>
      <c r="G44" s="112">
        <v>19757.060000000001</v>
      </c>
      <c r="H44" s="13"/>
      <c r="I44" s="13">
        <f>G44*F44/6</f>
        <v>142.25083200000003</v>
      </c>
      <c r="J44" s="23"/>
      <c r="L44" s="19"/>
      <c r="M44" s="20"/>
      <c r="N44" s="21"/>
    </row>
    <row r="45" spans="1:14" ht="13.5" hidden="1" customHeight="1">
      <c r="A45" s="214" t="s">
        <v>121</v>
      </c>
      <c r="B45" s="215"/>
      <c r="C45" s="215"/>
      <c r="D45" s="215"/>
      <c r="E45" s="215"/>
      <c r="F45" s="215"/>
      <c r="G45" s="215"/>
      <c r="H45" s="215"/>
      <c r="I45" s="216"/>
      <c r="J45" s="23"/>
      <c r="L45" s="19"/>
      <c r="M45" s="20"/>
      <c r="N45" s="21"/>
    </row>
    <row r="46" spans="1:14" ht="31.5" hidden="1" customHeight="1">
      <c r="A46" s="29">
        <v>14</v>
      </c>
      <c r="B46" s="101" t="s">
        <v>109</v>
      </c>
      <c r="C46" s="102" t="s">
        <v>101</v>
      </c>
      <c r="D46" s="101" t="s">
        <v>40</v>
      </c>
      <c r="E46" s="45"/>
      <c r="F46" s="112">
        <v>2.3012000000000001</v>
      </c>
      <c r="G46" s="98">
        <v>1213.55</v>
      </c>
      <c r="H46" s="111"/>
      <c r="I46" s="13">
        <f>F46/2*G46</f>
        <v>1396.3106299999999</v>
      </c>
      <c r="J46" s="23"/>
      <c r="L46" s="19"/>
      <c r="M46" s="20"/>
      <c r="N46" s="21"/>
    </row>
    <row r="47" spans="1:14" ht="38.25" hidden="1" customHeight="1">
      <c r="A47" s="29">
        <v>15</v>
      </c>
      <c r="B47" s="101" t="s">
        <v>110</v>
      </c>
      <c r="C47" s="102" t="s">
        <v>36</v>
      </c>
      <c r="D47" s="101" t="s">
        <v>40</v>
      </c>
      <c r="E47" s="45"/>
      <c r="F47" s="112">
        <v>0.6</v>
      </c>
      <c r="G47" s="98">
        <v>2730.49</v>
      </c>
      <c r="H47" s="111"/>
      <c r="I47" s="13">
        <f>F47/2*G47</f>
        <v>819.14699999999993</v>
      </c>
      <c r="J47" s="23"/>
      <c r="L47" s="19"/>
      <c r="M47" s="20"/>
      <c r="N47" s="21"/>
    </row>
    <row r="48" spans="1:14" ht="17.25" hidden="1" customHeight="1">
      <c r="A48" s="29">
        <v>16</v>
      </c>
      <c r="B48" s="57" t="s">
        <v>37</v>
      </c>
      <c r="C48" s="58" t="s">
        <v>38</v>
      </c>
      <c r="D48" s="57" t="s">
        <v>40</v>
      </c>
      <c r="E48" s="45">
        <v>1</v>
      </c>
      <c r="F48" s="112">
        <v>0.02</v>
      </c>
      <c r="G48" s="98">
        <v>5652.13</v>
      </c>
      <c r="H48" s="60">
        <f t="shared" ref="H48:H49" si="3">SUM(F48*G48/1000)</f>
        <v>0.11304260000000001</v>
      </c>
      <c r="I48" s="13">
        <f>F48/2*G48</f>
        <v>56.521300000000004</v>
      </c>
      <c r="J48" s="23"/>
      <c r="L48" s="19"/>
      <c r="M48" s="20"/>
      <c r="N48" s="21"/>
    </row>
    <row r="49" spans="1:22" ht="36" hidden="1" customHeight="1">
      <c r="A49" s="29">
        <v>15</v>
      </c>
      <c r="B49" s="57" t="s">
        <v>39</v>
      </c>
      <c r="C49" s="58" t="s">
        <v>111</v>
      </c>
      <c r="D49" s="57" t="s">
        <v>68</v>
      </c>
      <c r="E49" s="45">
        <v>158</v>
      </c>
      <c r="F49" s="59">
        <f>SUM(E49)*3</f>
        <v>474</v>
      </c>
      <c r="G49" s="13">
        <v>65.67</v>
      </c>
      <c r="H49" s="60">
        <f t="shared" si="3"/>
        <v>31.127580000000002</v>
      </c>
      <c r="I49" s="13">
        <f>E49*G49</f>
        <v>10375.86</v>
      </c>
      <c r="J49" s="23"/>
      <c r="L49" s="19"/>
      <c r="M49" s="20"/>
      <c r="N49" s="21"/>
    </row>
    <row r="50" spans="1:22" ht="15.75" customHeight="1">
      <c r="A50" s="214" t="s">
        <v>144</v>
      </c>
      <c r="B50" s="215"/>
      <c r="C50" s="215"/>
      <c r="D50" s="215"/>
      <c r="E50" s="215"/>
      <c r="F50" s="215"/>
      <c r="G50" s="215"/>
      <c r="H50" s="215"/>
      <c r="I50" s="216"/>
      <c r="J50" s="23"/>
      <c r="L50" s="19"/>
      <c r="M50" s="20"/>
      <c r="N50" s="21"/>
    </row>
    <row r="51" spans="1:22" ht="15.75" hidden="1" customHeight="1">
      <c r="A51" s="29"/>
      <c r="B51" s="76" t="s">
        <v>41</v>
      </c>
      <c r="C51" s="58"/>
      <c r="D51" s="57"/>
      <c r="E51" s="45"/>
      <c r="F51" s="59"/>
      <c r="G51" s="59"/>
      <c r="H51" s="60"/>
      <c r="I51" s="13"/>
      <c r="J51" s="23"/>
      <c r="L51" s="19"/>
      <c r="M51" s="20"/>
      <c r="N51" s="21"/>
    </row>
    <row r="52" spans="1:22" ht="31.5" hidden="1" customHeight="1">
      <c r="A52" s="29">
        <v>17</v>
      </c>
      <c r="B52" s="57" t="s">
        <v>135</v>
      </c>
      <c r="C52" s="58" t="s">
        <v>93</v>
      </c>
      <c r="D52" s="57" t="s">
        <v>136</v>
      </c>
      <c r="E52" s="85">
        <v>6</v>
      </c>
      <c r="F52" s="13">
        <f>E52*8/100</f>
        <v>0.48</v>
      </c>
      <c r="G52" s="59">
        <v>1547.28</v>
      </c>
      <c r="H52" s="60">
        <f>SUM(F52*G52/1000)</f>
        <v>0.74269439999999998</v>
      </c>
      <c r="I52" s="13">
        <f>G52*0.635</f>
        <v>982.52279999999996</v>
      </c>
      <c r="J52" s="23"/>
      <c r="L52" s="19"/>
      <c r="M52" s="20"/>
      <c r="N52" s="21"/>
    </row>
    <row r="53" spans="1:22" ht="15.75" hidden="1" customHeight="1">
      <c r="A53" s="86"/>
      <c r="B53" s="57" t="s">
        <v>90</v>
      </c>
      <c r="C53" s="58" t="s">
        <v>91</v>
      </c>
      <c r="D53" s="57" t="s">
        <v>40</v>
      </c>
      <c r="E53" s="45">
        <v>6</v>
      </c>
      <c r="F53" s="59">
        <v>12</v>
      </c>
      <c r="G53" s="65">
        <v>180.78</v>
      </c>
      <c r="H53" s="60">
        <f t="shared" ref="H53" si="4">SUM(F53*G53/1000)</f>
        <v>2.1693600000000002</v>
      </c>
      <c r="I53" s="13">
        <v>0</v>
      </c>
      <c r="J53" s="23"/>
      <c r="L53" s="19"/>
      <c r="M53" s="20"/>
      <c r="N53" s="21"/>
    </row>
    <row r="54" spans="1:22" ht="15.75" customHeight="1">
      <c r="A54" s="29"/>
      <c r="B54" s="77" t="s">
        <v>42</v>
      </c>
      <c r="C54" s="66"/>
      <c r="D54" s="67"/>
      <c r="E54" s="68"/>
      <c r="F54" s="70"/>
      <c r="G54" s="13"/>
      <c r="H54" s="71"/>
      <c r="I54" s="13"/>
      <c r="J54" s="23"/>
      <c r="L54" s="19"/>
      <c r="M54" s="20"/>
      <c r="N54" s="21"/>
    </row>
    <row r="55" spans="1:22" ht="15.75" customHeight="1">
      <c r="A55" s="29">
        <v>10</v>
      </c>
      <c r="B55" s="67" t="s">
        <v>87</v>
      </c>
      <c r="C55" s="66" t="s">
        <v>25</v>
      </c>
      <c r="D55" s="67"/>
      <c r="E55" s="68">
        <v>232.6</v>
      </c>
      <c r="F55" s="69">
        <f>E55*12</f>
        <v>2791.2</v>
      </c>
      <c r="G55" s="107">
        <v>1.4</v>
      </c>
      <c r="H55" s="70">
        <f>G55*F55</f>
        <v>3907.6799999999994</v>
      </c>
      <c r="I55" s="13">
        <f>2400/12*G55</f>
        <v>280</v>
      </c>
      <c r="J55" s="23"/>
      <c r="L55" s="19"/>
    </row>
    <row r="56" spans="1:22" ht="15.75" customHeight="1">
      <c r="A56" s="29"/>
      <c r="B56" s="77" t="s">
        <v>43</v>
      </c>
      <c r="C56" s="66"/>
      <c r="D56" s="67"/>
      <c r="E56" s="68"/>
      <c r="F56" s="69"/>
      <c r="G56" s="69"/>
      <c r="H56" s="70" t="s">
        <v>118</v>
      </c>
      <c r="I56" s="1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9"/>
    </row>
    <row r="57" spans="1:22" ht="18.75" customHeight="1">
      <c r="A57" s="29">
        <v>11</v>
      </c>
      <c r="B57" s="14" t="s">
        <v>44</v>
      </c>
      <c r="C57" s="16" t="s">
        <v>111</v>
      </c>
      <c r="D57" s="14" t="s">
        <v>178</v>
      </c>
      <c r="E57" s="18">
        <v>15</v>
      </c>
      <c r="F57" s="59">
        <v>15</v>
      </c>
      <c r="G57" s="110">
        <v>318.82</v>
      </c>
      <c r="H57" s="72">
        <f t="shared" ref="H57:H64" si="5">SUM(F57*G57/1000)</f>
        <v>4.7823000000000002</v>
      </c>
      <c r="I57" s="13">
        <f>G57</f>
        <v>318.82</v>
      </c>
      <c r="J57" s="25"/>
      <c r="K57" s="25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2" ht="16.5" hidden="1" customHeight="1">
      <c r="A58" s="29"/>
      <c r="B58" s="14" t="s">
        <v>45</v>
      </c>
      <c r="C58" s="16" t="s">
        <v>111</v>
      </c>
      <c r="D58" s="14" t="s">
        <v>63</v>
      </c>
      <c r="E58" s="18">
        <v>5</v>
      </c>
      <c r="F58" s="59">
        <v>5</v>
      </c>
      <c r="G58" s="13">
        <v>71.790000000000006</v>
      </c>
      <c r="H58" s="72">
        <f t="shared" si="5"/>
        <v>0.35895000000000005</v>
      </c>
      <c r="I58" s="13">
        <v>0</v>
      </c>
      <c r="J58" s="3"/>
      <c r="K58" s="3"/>
      <c r="L58" s="3"/>
      <c r="M58" s="3"/>
      <c r="N58" s="3"/>
      <c r="O58" s="3"/>
      <c r="P58" s="3"/>
      <c r="Q58" s="3"/>
      <c r="S58" s="3"/>
      <c r="T58" s="3"/>
      <c r="U58" s="3"/>
    </row>
    <row r="59" spans="1:22" ht="21.75" hidden="1" customHeight="1">
      <c r="A59" s="29"/>
      <c r="B59" s="14" t="s">
        <v>46</v>
      </c>
      <c r="C59" s="16" t="s">
        <v>112</v>
      </c>
      <c r="D59" s="14" t="s">
        <v>51</v>
      </c>
      <c r="E59" s="45">
        <v>18281</v>
      </c>
      <c r="F59" s="13">
        <f>SUM(E59/100)</f>
        <v>182.81</v>
      </c>
      <c r="G59" s="13">
        <v>199.77</v>
      </c>
      <c r="H59" s="72">
        <f t="shared" si="5"/>
        <v>36.519953700000002</v>
      </c>
      <c r="I59" s="13">
        <v>0</v>
      </c>
      <c r="J59" s="5"/>
      <c r="K59" s="5"/>
      <c r="L59" s="5"/>
      <c r="M59" s="5"/>
      <c r="N59" s="5"/>
      <c r="O59" s="5"/>
      <c r="P59" s="5"/>
      <c r="Q59" s="5"/>
      <c r="R59" s="210"/>
      <c r="S59" s="210"/>
      <c r="T59" s="210"/>
      <c r="U59" s="210"/>
    </row>
    <row r="60" spans="1:22" ht="21" hidden="1" customHeight="1">
      <c r="A60" s="29"/>
      <c r="B60" s="14" t="s">
        <v>47</v>
      </c>
      <c r="C60" s="16" t="s">
        <v>113</v>
      </c>
      <c r="D60" s="14"/>
      <c r="E60" s="45">
        <v>18281</v>
      </c>
      <c r="F60" s="13">
        <f>SUM(E60/1000)</f>
        <v>18.280999999999999</v>
      </c>
      <c r="G60" s="13">
        <v>155.57</v>
      </c>
      <c r="H60" s="72">
        <f t="shared" si="5"/>
        <v>2.8439751699999998</v>
      </c>
      <c r="I60" s="13">
        <v>0</v>
      </c>
    </row>
    <row r="61" spans="1:22" ht="21.75" hidden="1" customHeight="1">
      <c r="A61" s="29"/>
      <c r="B61" s="14" t="s">
        <v>48</v>
      </c>
      <c r="C61" s="16" t="s">
        <v>72</v>
      </c>
      <c r="D61" s="14" t="s">
        <v>51</v>
      </c>
      <c r="E61" s="45">
        <v>2730</v>
      </c>
      <c r="F61" s="13">
        <f>SUM(E61/100)</f>
        <v>27.3</v>
      </c>
      <c r="G61" s="13">
        <v>1953.52</v>
      </c>
      <c r="H61" s="72">
        <f t="shared" si="5"/>
        <v>53.331095999999995</v>
      </c>
      <c r="I61" s="13">
        <v>0</v>
      </c>
    </row>
    <row r="62" spans="1:22" ht="22.5" hidden="1" customHeight="1">
      <c r="A62" s="29"/>
      <c r="B62" s="73" t="s">
        <v>114</v>
      </c>
      <c r="C62" s="16" t="s">
        <v>32</v>
      </c>
      <c r="D62" s="14"/>
      <c r="E62" s="45">
        <v>16.399999999999999</v>
      </c>
      <c r="F62" s="13">
        <f>SUM(E62)</f>
        <v>16.399999999999999</v>
      </c>
      <c r="G62" s="13">
        <v>40.270000000000003</v>
      </c>
      <c r="H62" s="72">
        <f t="shared" si="5"/>
        <v>0.66042800000000002</v>
      </c>
      <c r="I62" s="13">
        <v>0</v>
      </c>
    </row>
    <row r="63" spans="1:22" ht="28.5" hidden="1" customHeight="1">
      <c r="A63" s="29"/>
      <c r="B63" s="73" t="s">
        <v>115</v>
      </c>
      <c r="C63" s="16" t="s">
        <v>32</v>
      </c>
      <c r="D63" s="14"/>
      <c r="E63" s="45">
        <v>16.399999999999999</v>
      </c>
      <c r="F63" s="13">
        <f>SUM(E63)</f>
        <v>16.399999999999999</v>
      </c>
      <c r="G63" s="13">
        <v>37.71</v>
      </c>
      <c r="H63" s="72">
        <f t="shared" si="5"/>
        <v>0.61844399999999999</v>
      </c>
      <c r="I63" s="13">
        <v>0</v>
      </c>
    </row>
    <row r="64" spans="1:22" ht="27.75" hidden="1" customHeight="1">
      <c r="A64" s="29"/>
      <c r="B64" s="14" t="s">
        <v>54</v>
      </c>
      <c r="C64" s="16" t="s">
        <v>55</v>
      </c>
      <c r="D64" s="14" t="s">
        <v>51</v>
      </c>
      <c r="E64" s="18">
        <v>7</v>
      </c>
      <c r="F64" s="59">
        <f>SUM(E64)</f>
        <v>7</v>
      </c>
      <c r="G64" s="13">
        <v>46.97</v>
      </c>
      <c r="H64" s="72">
        <f t="shared" si="5"/>
        <v>0.32878999999999997</v>
      </c>
      <c r="I64" s="13">
        <v>0</v>
      </c>
    </row>
    <row r="65" spans="1:9" ht="18.75" hidden="1" customHeight="1">
      <c r="A65" s="29">
        <v>15</v>
      </c>
      <c r="B65" s="100" t="s">
        <v>165</v>
      </c>
      <c r="C65" s="113" t="s">
        <v>137</v>
      </c>
      <c r="D65" s="100" t="s">
        <v>184</v>
      </c>
      <c r="E65" s="17">
        <v>6</v>
      </c>
      <c r="F65" s="134">
        <f>E65*1</f>
        <v>6</v>
      </c>
      <c r="G65" s="98">
        <v>968.66</v>
      </c>
      <c r="H65" s="72"/>
      <c r="I65" s="13">
        <f>G65*2</f>
        <v>1937.32</v>
      </c>
    </row>
    <row r="66" spans="1:9" ht="18" customHeight="1">
      <c r="A66" s="29"/>
      <c r="B66" s="135" t="s">
        <v>166</v>
      </c>
      <c r="C66" s="113"/>
      <c r="D66" s="100"/>
      <c r="E66" s="17"/>
      <c r="F66" s="98"/>
      <c r="G66" s="98"/>
      <c r="H66" s="72"/>
      <c r="I66" s="13"/>
    </row>
    <row r="67" spans="1:9" ht="30" customHeight="1">
      <c r="A67" s="29">
        <v>12</v>
      </c>
      <c r="B67" s="100" t="s">
        <v>167</v>
      </c>
      <c r="C67" s="35" t="s">
        <v>168</v>
      </c>
      <c r="D67" s="100"/>
      <c r="E67" s="17">
        <v>4224.3999999999996</v>
      </c>
      <c r="F67" s="98">
        <f>E67*12</f>
        <v>50692.799999999996</v>
      </c>
      <c r="G67" s="98">
        <v>2.4900000000000002</v>
      </c>
      <c r="H67" s="72"/>
      <c r="I67" s="13">
        <f>G67*F67/12</f>
        <v>10518.755999999999</v>
      </c>
    </row>
    <row r="68" spans="1:9" ht="17.25" customHeight="1">
      <c r="A68" s="29"/>
      <c r="B68" s="117" t="s">
        <v>69</v>
      </c>
      <c r="C68" s="16"/>
      <c r="D68" s="14"/>
      <c r="E68" s="18"/>
      <c r="F68" s="13"/>
      <c r="G68" s="13"/>
      <c r="H68" s="72" t="s">
        <v>118</v>
      </c>
      <c r="I68" s="13"/>
    </row>
    <row r="69" spans="1:9" ht="25.5" hidden="1" customHeight="1">
      <c r="A69" s="29"/>
      <c r="B69" s="14" t="s">
        <v>80</v>
      </c>
      <c r="C69" s="16" t="s">
        <v>30</v>
      </c>
      <c r="D69" s="14"/>
      <c r="E69" s="18">
        <v>1</v>
      </c>
      <c r="F69" s="59">
        <f>SUM(E69)</f>
        <v>1</v>
      </c>
      <c r="G69" s="13">
        <v>337.58</v>
      </c>
      <c r="H69" s="72">
        <f t="shared" ref="H69" si="6">SUM(F69*G69/1000)</f>
        <v>0.33757999999999999</v>
      </c>
      <c r="I69" s="13">
        <v>0</v>
      </c>
    </row>
    <row r="70" spans="1:9" ht="24" hidden="1" customHeight="1">
      <c r="A70" s="29"/>
      <c r="B70" s="14" t="s">
        <v>70</v>
      </c>
      <c r="C70" s="16" t="s">
        <v>30</v>
      </c>
      <c r="D70" s="14"/>
      <c r="E70" s="18">
        <v>2</v>
      </c>
      <c r="F70" s="13">
        <v>2</v>
      </c>
      <c r="G70" s="13">
        <v>803.19</v>
      </c>
      <c r="H70" s="72">
        <f>F70*G70/1000</f>
        <v>1.6063800000000001</v>
      </c>
      <c r="I70" s="13">
        <v>0</v>
      </c>
    </row>
    <row r="71" spans="1:9" ht="32.25" customHeight="1">
      <c r="A71" s="29">
        <v>13</v>
      </c>
      <c r="B71" s="95" t="s">
        <v>169</v>
      </c>
      <c r="C71" s="96" t="s">
        <v>111</v>
      </c>
      <c r="D71" s="100" t="s">
        <v>180</v>
      </c>
      <c r="E71" s="17">
        <v>2</v>
      </c>
      <c r="F71" s="98">
        <f>E71*12</f>
        <v>24</v>
      </c>
      <c r="G71" s="98">
        <v>404</v>
      </c>
      <c r="H71" s="72"/>
      <c r="I71" s="13">
        <f>G71*F71/12</f>
        <v>808</v>
      </c>
    </row>
    <row r="72" spans="1:9" ht="21" hidden="1" customHeight="1">
      <c r="A72" s="29"/>
      <c r="B72" s="74" t="s">
        <v>71</v>
      </c>
      <c r="C72" s="16"/>
      <c r="D72" s="14"/>
      <c r="E72" s="18"/>
      <c r="F72" s="13"/>
      <c r="G72" s="13" t="s">
        <v>118</v>
      </c>
      <c r="H72" s="72" t="s">
        <v>118</v>
      </c>
      <c r="I72" s="13"/>
    </row>
    <row r="73" spans="1:9" ht="16.5" hidden="1" customHeight="1">
      <c r="A73" s="29"/>
      <c r="B73" s="42" t="s">
        <v>119</v>
      </c>
      <c r="C73" s="16" t="s">
        <v>72</v>
      </c>
      <c r="D73" s="14"/>
      <c r="E73" s="18"/>
      <c r="F73" s="13">
        <v>1.35</v>
      </c>
      <c r="G73" s="13">
        <v>2494</v>
      </c>
      <c r="H73" s="72">
        <f t="shared" ref="H73" si="7">SUM(F73*G73/1000)</f>
        <v>3.3669000000000002</v>
      </c>
      <c r="I73" s="13">
        <v>0</v>
      </c>
    </row>
    <row r="74" spans="1:9" ht="18.75" hidden="1" customHeight="1">
      <c r="A74" s="29"/>
      <c r="B74" s="61" t="s">
        <v>116</v>
      </c>
      <c r="C74" s="74"/>
      <c r="D74" s="31"/>
      <c r="E74" s="32"/>
      <c r="F74" s="62"/>
      <c r="G74" s="62"/>
      <c r="H74" s="75">
        <f>SUM(H52:H73)</f>
        <v>4015.3468512699992</v>
      </c>
      <c r="I74" s="62"/>
    </row>
    <row r="75" spans="1:9" ht="17.25" hidden="1" customHeight="1">
      <c r="A75" s="29"/>
      <c r="B75" s="57" t="s">
        <v>117</v>
      </c>
      <c r="C75" s="16"/>
      <c r="D75" s="14"/>
      <c r="E75" s="52"/>
      <c r="F75" s="13">
        <v>1</v>
      </c>
      <c r="G75" s="13">
        <v>17359.8</v>
      </c>
      <c r="H75" s="72">
        <f>G75*F75/1000</f>
        <v>17.3598</v>
      </c>
      <c r="I75" s="13">
        <v>0</v>
      </c>
    </row>
    <row r="76" spans="1:9" ht="15.75" customHeight="1">
      <c r="A76" s="223" t="s">
        <v>145</v>
      </c>
      <c r="B76" s="224"/>
      <c r="C76" s="224"/>
      <c r="D76" s="224"/>
      <c r="E76" s="224"/>
      <c r="F76" s="224"/>
      <c r="G76" s="224"/>
      <c r="H76" s="224"/>
      <c r="I76" s="225"/>
    </row>
    <row r="77" spans="1:9" ht="15.75" customHeight="1">
      <c r="A77" s="29">
        <v>14</v>
      </c>
      <c r="B77" s="100" t="s">
        <v>120</v>
      </c>
      <c r="C77" s="113" t="s">
        <v>52</v>
      </c>
      <c r="D77" s="136"/>
      <c r="E77" s="98">
        <v>4224.3999999999996</v>
      </c>
      <c r="F77" s="98">
        <f>SUM(E77*12)</f>
        <v>50692.799999999996</v>
      </c>
      <c r="G77" s="98">
        <v>3.38</v>
      </c>
      <c r="H77" s="72">
        <f>SUM(F77*G77/1000)</f>
        <v>171.34166399999998</v>
      </c>
      <c r="I77" s="13">
        <f>F77/12*G77</f>
        <v>14278.471999999998</v>
      </c>
    </row>
    <row r="78" spans="1:9" ht="31.5" customHeight="1">
      <c r="A78" s="29">
        <v>15</v>
      </c>
      <c r="B78" s="100" t="s">
        <v>170</v>
      </c>
      <c r="C78" s="138" t="s">
        <v>52</v>
      </c>
      <c r="D78" s="139"/>
      <c r="E78" s="140">
        <f>E77</f>
        <v>4224.3999999999996</v>
      </c>
      <c r="F78" s="141">
        <f>E78*12</f>
        <v>50692.799999999996</v>
      </c>
      <c r="G78" s="98">
        <v>3.05</v>
      </c>
      <c r="H78" s="72">
        <f>F78*G78/1000</f>
        <v>154.61303999999998</v>
      </c>
      <c r="I78" s="13">
        <f>F78/12*G78</f>
        <v>12884.419999999998</v>
      </c>
    </row>
    <row r="79" spans="1:9" ht="31.5" hidden="1" customHeight="1">
      <c r="A79" s="120">
        <v>20</v>
      </c>
      <c r="B79" s="142" t="s">
        <v>171</v>
      </c>
      <c r="C79" s="143" t="s">
        <v>172</v>
      </c>
      <c r="D79" s="144"/>
      <c r="E79" s="145">
        <v>4224.3999999999996</v>
      </c>
      <c r="F79" s="146">
        <f>E79*1</f>
        <v>4224.3999999999996</v>
      </c>
      <c r="G79" s="146">
        <v>3.05</v>
      </c>
      <c r="H79" s="121"/>
      <c r="I79" s="109">
        <f>G79*F79</f>
        <v>12884.419999999998</v>
      </c>
    </row>
    <row r="80" spans="1:9" s="122" customFormat="1" ht="17.25" customHeight="1">
      <c r="A80" s="117"/>
      <c r="B80" s="147" t="s">
        <v>74</v>
      </c>
      <c r="C80" s="148"/>
      <c r="D80" s="149"/>
      <c r="E80" s="39"/>
      <c r="F80" s="137"/>
      <c r="G80" s="137"/>
      <c r="H80" s="62"/>
      <c r="I80" s="62">
        <f>I78+I77+I71+I67+I55+I44+I41+I40+I38+I21+I20+I18+I16+I39+I57</f>
        <v>68721.162178999992</v>
      </c>
    </row>
    <row r="81" spans="1:9" ht="15.75" customHeight="1">
      <c r="A81" s="220" t="s">
        <v>57</v>
      </c>
      <c r="B81" s="221"/>
      <c r="C81" s="221"/>
      <c r="D81" s="221"/>
      <c r="E81" s="221"/>
      <c r="F81" s="221"/>
      <c r="G81" s="221"/>
      <c r="H81" s="221"/>
      <c r="I81" s="222"/>
    </row>
    <row r="82" spans="1:9" ht="15.75" customHeight="1">
      <c r="A82" s="29">
        <v>16</v>
      </c>
      <c r="B82" s="100" t="s">
        <v>152</v>
      </c>
      <c r="C82" s="113" t="s">
        <v>157</v>
      </c>
      <c r="D82" s="97" t="s">
        <v>224</v>
      </c>
      <c r="E82" s="98"/>
      <c r="F82" s="98">
        <v>31</v>
      </c>
      <c r="G82" s="98">
        <v>295.36</v>
      </c>
      <c r="H82" s="72"/>
      <c r="I82" s="13">
        <v>0</v>
      </c>
    </row>
    <row r="83" spans="1:9" ht="18.75" customHeight="1">
      <c r="A83" s="29">
        <v>17</v>
      </c>
      <c r="B83" s="100" t="s">
        <v>188</v>
      </c>
      <c r="C83" s="113" t="s">
        <v>189</v>
      </c>
      <c r="D83" s="97"/>
      <c r="E83" s="98"/>
      <c r="F83" s="98">
        <v>3</v>
      </c>
      <c r="G83" s="98">
        <v>236.08</v>
      </c>
      <c r="H83" s="72"/>
      <c r="I83" s="13">
        <f>G83*1</f>
        <v>236.08</v>
      </c>
    </row>
    <row r="84" spans="1:9" ht="18.75" customHeight="1">
      <c r="A84" s="29">
        <v>18</v>
      </c>
      <c r="B84" s="95" t="s">
        <v>200</v>
      </c>
      <c r="C84" s="96" t="s">
        <v>38</v>
      </c>
      <c r="D84" s="97" t="s">
        <v>178</v>
      </c>
      <c r="E84" s="98"/>
      <c r="F84" s="98">
        <v>0.02</v>
      </c>
      <c r="G84" s="98">
        <v>28224.75</v>
      </c>
      <c r="H84" s="72"/>
      <c r="I84" s="13">
        <v>0</v>
      </c>
    </row>
    <row r="85" spans="1:9" ht="18.75" customHeight="1">
      <c r="A85" s="29">
        <v>19</v>
      </c>
      <c r="B85" s="95" t="s">
        <v>219</v>
      </c>
      <c r="C85" s="96" t="s">
        <v>77</v>
      </c>
      <c r="D85" s="97" t="s">
        <v>262</v>
      </c>
      <c r="E85" s="98"/>
      <c r="F85" s="98">
        <v>1</v>
      </c>
      <c r="G85" s="98">
        <v>280.70999999999998</v>
      </c>
      <c r="H85" s="72"/>
      <c r="I85" s="13">
        <v>0</v>
      </c>
    </row>
    <row r="86" spans="1:9" ht="18.75" customHeight="1">
      <c r="A86" s="29">
        <v>20</v>
      </c>
      <c r="B86" s="115" t="s">
        <v>263</v>
      </c>
      <c r="C86" s="96" t="s">
        <v>83</v>
      </c>
      <c r="D86" s="97"/>
      <c r="E86" s="98"/>
      <c r="F86" s="98">
        <v>1</v>
      </c>
      <c r="G86" s="98">
        <v>718.26</v>
      </c>
      <c r="H86" s="72"/>
      <c r="I86" s="13">
        <f>G86*1</f>
        <v>718.26</v>
      </c>
    </row>
    <row r="87" spans="1:9" ht="15.75" customHeight="1">
      <c r="A87" s="29"/>
      <c r="B87" s="40" t="s">
        <v>49</v>
      </c>
      <c r="C87" s="36"/>
      <c r="D87" s="43"/>
      <c r="E87" s="36">
        <v>1</v>
      </c>
      <c r="F87" s="36"/>
      <c r="G87" s="36"/>
      <c r="H87" s="36"/>
      <c r="I87" s="32">
        <f>SUM(I82:I86)</f>
        <v>954.34</v>
      </c>
    </row>
    <row r="88" spans="1:9" ht="15.75" customHeight="1">
      <c r="A88" s="29"/>
      <c r="B88" s="42" t="s">
        <v>73</v>
      </c>
      <c r="C88" s="15"/>
      <c r="D88" s="15"/>
      <c r="E88" s="37"/>
      <c r="F88" s="37"/>
      <c r="G88" s="38"/>
      <c r="H88" s="38"/>
      <c r="I88" s="17">
        <v>0</v>
      </c>
    </row>
    <row r="89" spans="1:9" ht="15.75" customHeight="1">
      <c r="A89" s="44"/>
      <c r="B89" s="41" t="s">
        <v>129</v>
      </c>
      <c r="C89" s="33"/>
      <c r="D89" s="33"/>
      <c r="E89" s="33"/>
      <c r="F89" s="33"/>
      <c r="G89" s="33"/>
      <c r="H89" s="33"/>
      <c r="I89" s="39">
        <f>I87+I80</f>
        <v>69675.502178999988</v>
      </c>
    </row>
    <row r="90" spans="1:9" ht="15.75" customHeight="1">
      <c r="A90" s="217" t="s">
        <v>279</v>
      </c>
      <c r="B90" s="217"/>
      <c r="C90" s="217"/>
      <c r="D90" s="217"/>
      <c r="E90" s="217"/>
      <c r="F90" s="217"/>
      <c r="G90" s="217"/>
      <c r="H90" s="217"/>
      <c r="I90" s="217"/>
    </row>
    <row r="91" spans="1:9" ht="15.75" customHeight="1">
      <c r="A91" s="51"/>
      <c r="B91" s="218" t="s">
        <v>280</v>
      </c>
      <c r="C91" s="218"/>
      <c r="D91" s="218"/>
      <c r="E91" s="218"/>
      <c r="F91" s="218"/>
      <c r="G91" s="218"/>
      <c r="H91" s="56"/>
      <c r="I91" s="3"/>
    </row>
    <row r="92" spans="1:9" ht="15.75" customHeight="1">
      <c r="A92" s="80"/>
      <c r="B92" s="208" t="s">
        <v>6</v>
      </c>
      <c r="C92" s="208"/>
      <c r="D92" s="208"/>
      <c r="E92" s="208"/>
      <c r="F92" s="208"/>
      <c r="G92" s="208"/>
      <c r="H92" s="24"/>
      <c r="I92" s="5"/>
    </row>
    <row r="93" spans="1:9" ht="15.75" customHeight="1">
      <c r="A93" s="10"/>
      <c r="B93" s="10"/>
      <c r="C93" s="10"/>
      <c r="D93" s="10"/>
      <c r="E93" s="10"/>
      <c r="F93" s="10"/>
      <c r="G93" s="10"/>
      <c r="H93" s="10"/>
      <c r="I93" s="10"/>
    </row>
    <row r="94" spans="1:9" ht="15.75" customHeight="1">
      <c r="A94" s="219" t="s">
        <v>7</v>
      </c>
      <c r="B94" s="219"/>
      <c r="C94" s="219"/>
      <c r="D94" s="219"/>
      <c r="E94" s="219"/>
      <c r="F94" s="219"/>
      <c r="G94" s="219"/>
      <c r="H94" s="219"/>
      <c r="I94" s="219"/>
    </row>
    <row r="95" spans="1:9" ht="15.75" customHeight="1">
      <c r="A95" s="219" t="s">
        <v>8</v>
      </c>
      <c r="B95" s="219"/>
      <c r="C95" s="219"/>
      <c r="D95" s="219"/>
      <c r="E95" s="219"/>
      <c r="F95" s="219"/>
      <c r="G95" s="219"/>
      <c r="H95" s="219"/>
      <c r="I95" s="219"/>
    </row>
    <row r="96" spans="1:9" ht="15.75" customHeight="1">
      <c r="A96" s="212" t="s">
        <v>58</v>
      </c>
      <c r="B96" s="212"/>
      <c r="C96" s="212"/>
      <c r="D96" s="212"/>
      <c r="E96" s="212"/>
      <c r="F96" s="212"/>
      <c r="G96" s="212"/>
      <c r="H96" s="212"/>
      <c r="I96" s="212"/>
    </row>
    <row r="97" spans="1:9" ht="15.75" customHeight="1">
      <c r="A97" s="11"/>
    </row>
    <row r="98" spans="1:9" ht="15.75" customHeight="1">
      <c r="A98" s="206" t="s">
        <v>9</v>
      </c>
      <c r="B98" s="206"/>
      <c r="C98" s="206"/>
      <c r="D98" s="206"/>
      <c r="E98" s="206"/>
      <c r="F98" s="206"/>
      <c r="G98" s="206"/>
      <c r="H98" s="206"/>
      <c r="I98" s="206"/>
    </row>
    <row r="99" spans="1:9" ht="15.75" customHeight="1">
      <c r="A99" s="4"/>
    </row>
    <row r="100" spans="1:9" ht="15.75" customHeight="1">
      <c r="B100" s="81" t="s">
        <v>10</v>
      </c>
      <c r="C100" s="207" t="s">
        <v>217</v>
      </c>
      <c r="D100" s="207"/>
      <c r="E100" s="207"/>
      <c r="F100" s="54"/>
      <c r="I100" s="79"/>
    </row>
    <row r="101" spans="1:9" ht="15.75" customHeight="1">
      <c r="A101" s="80"/>
      <c r="C101" s="208" t="s">
        <v>11</v>
      </c>
      <c r="D101" s="208"/>
      <c r="E101" s="208"/>
      <c r="F101" s="24"/>
      <c r="I101" s="78" t="s">
        <v>12</v>
      </c>
    </row>
    <row r="102" spans="1:9" ht="15.75" customHeight="1">
      <c r="A102" s="25"/>
      <c r="C102" s="12"/>
      <c r="D102" s="12"/>
      <c r="G102" s="12"/>
      <c r="H102" s="12"/>
    </row>
    <row r="103" spans="1:9" ht="15.75" customHeight="1">
      <c r="B103" s="81" t="s">
        <v>13</v>
      </c>
      <c r="C103" s="209"/>
      <c r="D103" s="209"/>
      <c r="E103" s="209"/>
      <c r="F103" s="55"/>
      <c r="I103" s="79"/>
    </row>
    <row r="104" spans="1:9" ht="15.75" customHeight="1">
      <c r="A104" s="80"/>
      <c r="C104" s="210" t="s">
        <v>11</v>
      </c>
      <c r="D104" s="210"/>
      <c r="E104" s="210"/>
      <c r="F104" s="80"/>
      <c r="I104" s="78" t="s">
        <v>12</v>
      </c>
    </row>
    <row r="105" spans="1:9" ht="15.75" customHeight="1">
      <c r="A105" s="4" t="s">
        <v>14</v>
      </c>
    </row>
    <row r="106" spans="1:9" ht="15.75" customHeight="1">
      <c r="A106" s="211" t="s">
        <v>15</v>
      </c>
      <c r="B106" s="211"/>
      <c r="C106" s="211"/>
      <c r="D106" s="211"/>
      <c r="E106" s="211"/>
      <c r="F106" s="211"/>
      <c r="G106" s="211"/>
      <c r="H106" s="211"/>
      <c r="I106" s="211"/>
    </row>
    <row r="107" spans="1:9" ht="45" customHeight="1">
      <c r="A107" s="205" t="s">
        <v>16</v>
      </c>
      <c r="B107" s="205"/>
      <c r="C107" s="205"/>
      <c r="D107" s="205"/>
      <c r="E107" s="205"/>
      <c r="F107" s="205"/>
      <c r="G107" s="205"/>
      <c r="H107" s="205"/>
      <c r="I107" s="205"/>
    </row>
    <row r="108" spans="1:9" ht="30" customHeight="1">
      <c r="A108" s="205" t="s">
        <v>17</v>
      </c>
      <c r="B108" s="205"/>
      <c r="C108" s="205"/>
      <c r="D108" s="205"/>
      <c r="E108" s="205"/>
      <c r="F108" s="205"/>
      <c r="G108" s="205"/>
      <c r="H108" s="205"/>
      <c r="I108" s="205"/>
    </row>
    <row r="109" spans="1:9" ht="30" customHeight="1">
      <c r="A109" s="205" t="s">
        <v>21</v>
      </c>
      <c r="B109" s="205"/>
      <c r="C109" s="205"/>
      <c r="D109" s="205"/>
      <c r="E109" s="205"/>
      <c r="F109" s="205"/>
      <c r="G109" s="205"/>
      <c r="H109" s="205"/>
      <c r="I109" s="205"/>
    </row>
    <row r="110" spans="1:9" ht="15" customHeight="1">
      <c r="A110" s="205" t="s">
        <v>20</v>
      </c>
      <c r="B110" s="205"/>
      <c r="C110" s="205"/>
      <c r="D110" s="205"/>
      <c r="E110" s="205"/>
      <c r="F110" s="205"/>
      <c r="G110" s="205"/>
      <c r="H110" s="205"/>
      <c r="I110" s="205"/>
    </row>
  </sheetData>
  <autoFilter ref="I12:I55"/>
  <mergeCells count="29">
    <mergeCell ref="A14:I14"/>
    <mergeCell ref="A15:I15"/>
    <mergeCell ref="A27:I27"/>
    <mergeCell ref="A50:I50"/>
    <mergeCell ref="A45:I45"/>
    <mergeCell ref="A3:I3"/>
    <mergeCell ref="A4:I4"/>
    <mergeCell ref="A5:I5"/>
    <mergeCell ref="A8:I8"/>
    <mergeCell ref="A10:I10"/>
    <mergeCell ref="R59:U59"/>
    <mergeCell ref="C104:E104"/>
    <mergeCell ref="A81:I81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76:I76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25"/>
  <sheetViews>
    <sheetView topLeftCell="A79" workbookViewId="0">
      <selection activeCell="B87" sqref="B87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9.140625" customWidth="1"/>
    <col min="5" max="5" width="18.85546875" hidden="1" customWidth="1"/>
    <col min="6" max="6" width="9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141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264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44347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218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30.75" hidden="1" customHeight="1">
      <c r="A16" s="29">
        <v>1</v>
      </c>
      <c r="B16" s="101" t="s">
        <v>158</v>
      </c>
      <c r="C16" s="102" t="s">
        <v>93</v>
      </c>
      <c r="D16" s="101" t="s">
        <v>159</v>
      </c>
      <c r="E16" s="123">
        <v>591.70000000000005</v>
      </c>
      <c r="F16" s="112">
        <f>SUM(E16*24/100)</f>
        <v>142.00800000000001</v>
      </c>
      <c r="G16" s="112">
        <v>322.51</v>
      </c>
      <c r="H16" s="60">
        <f t="shared" ref="H16:H25" si="0">SUM(F16*G16/1000)</f>
        <v>45.799000080000006</v>
      </c>
      <c r="I16" s="13">
        <f>F16/12*G16</f>
        <v>3816.5833400000001</v>
      </c>
      <c r="J16" s="8"/>
      <c r="K16" s="8"/>
      <c r="L16" s="8"/>
      <c r="M16" s="8"/>
    </row>
    <row r="17" spans="1:13" ht="21" customHeight="1">
      <c r="A17" s="29">
        <v>1</v>
      </c>
      <c r="B17" s="101" t="s">
        <v>158</v>
      </c>
      <c r="C17" s="102" t="s">
        <v>93</v>
      </c>
      <c r="D17" s="101" t="s">
        <v>185</v>
      </c>
      <c r="E17" s="123">
        <v>591.70000000000005</v>
      </c>
      <c r="F17" s="112">
        <f>SUM(E17*48/100)</f>
        <v>284.01600000000002</v>
      </c>
      <c r="G17" s="112">
        <v>322.51</v>
      </c>
      <c r="H17" s="60">
        <f t="shared" si="0"/>
        <v>91.598000160000012</v>
      </c>
      <c r="I17" s="13">
        <f>F17/6*G17</f>
        <v>15266.333360000001</v>
      </c>
      <c r="J17" s="22"/>
      <c r="K17" s="8"/>
      <c r="L17" s="8"/>
      <c r="M17" s="8"/>
    </row>
    <row r="18" spans="1:13" ht="15.75" customHeight="1">
      <c r="A18" s="29">
        <v>2</v>
      </c>
      <c r="B18" s="101" t="s">
        <v>85</v>
      </c>
      <c r="C18" s="102" t="s">
        <v>93</v>
      </c>
      <c r="D18" s="101" t="s">
        <v>190</v>
      </c>
      <c r="E18" s="123">
        <v>591.70000000000005</v>
      </c>
      <c r="F18" s="112">
        <f>SUM(E18*18/100)</f>
        <v>106.506</v>
      </c>
      <c r="G18" s="112">
        <v>723.23</v>
      </c>
      <c r="H18" s="60">
        <f t="shared" si="0"/>
        <v>77.028334380000004</v>
      </c>
      <c r="I18" s="13">
        <f>F18/18*2*G18</f>
        <v>8558.7038200000006</v>
      </c>
      <c r="J18" s="22"/>
      <c r="K18" s="8"/>
      <c r="L18" s="8"/>
      <c r="M18" s="8"/>
    </row>
    <row r="19" spans="1:13" ht="15.75" hidden="1" customHeight="1">
      <c r="A19" s="29">
        <v>3</v>
      </c>
      <c r="B19" s="101" t="s">
        <v>95</v>
      </c>
      <c r="C19" s="102" t="s">
        <v>96</v>
      </c>
      <c r="D19" s="101" t="s">
        <v>186</v>
      </c>
      <c r="E19" s="123">
        <v>38.4</v>
      </c>
      <c r="F19" s="112">
        <f>SUM(E19/10)</f>
        <v>3.84</v>
      </c>
      <c r="G19" s="112">
        <v>243.94</v>
      </c>
      <c r="H19" s="60">
        <f t="shared" si="0"/>
        <v>0.93672960000000005</v>
      </c>
      <c r="I19" s="13">
        <f>F19*G19</f>
        <v>936.7296</v>
      </c>
      <c r="J19" s="22"/>
      <c r="K19" s="8"/>
      <c r="L19" s="8"/>
      <c r="M19" s="8"/>
    </row>
    <row r="20" spans="1:13" ht="15.75" customHeight="1">
      <c r="A20" s="29">
        <v>3</v>
      </c>
      <c r="B20" s="101" t="s">
        <v>88</v>
      </c>
      <c r="C20" s="102" t="s">
        <v>93</v>
      </c>
      <c r="D20" s="101" t="s">
        <v>178</v>
      </c>
      <c r="E20" s="123">
        <v>43.2</v>
      </c>
      <c r="F20" s="112">
        <f>SUM(E20*12/100)</f>
        <v>5.1840000000000011</v>
      </c>
      <c r="G20" s="112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1" t="s">
        <v>89</v>
      </c>
      <c r="C21" s="102" t="s">
        <v>93</v>
      </c>
      <c r="D21" s="101" t="s">
        <v>180</v>
      </c>
      <c r="E21" s="123">
        <v>10.08</v>
      </c>
      <c r="F21" s="112">
        <f>SUM(E21*12/100)</f>
        <v>1.2096</v>
      </c>
      <c r="G21" s="112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6</v>
      </c>
      <c r="B22" s="101" t="s">
        <v>98</v>
      </c>
      <c r="C22" s="102" t="s">
        <v>50</v>
      </c>
      <c r="D22" s="101" t="s">
        <v>186</v>
      </c>
      <c r="E22" s="123">
        <v>462.7</v>
      </c>
      <c r="F22" s="112">
        <f>SUM(E22/100)</f>
        <v>4.6269999999999998</v>
      </c>
      <c r="G22" s="112">
        <v>386</v>
      </c>
      <c r="H22" s="60">
        <f t="shared" si="0"/>
        <v>1.786022</v>
      </c>
      <c r="I22" s="13">
        <f>F22*G22</f>
        <v>1786.0219999999999</v>
      </c>
      <c r="J22" s="22"/>
      <c r="K22" s="8"/>
      <c r="L22" s="8"/>
      <c r="M22" s="8"/>
    </row>
    <row r="23" spans="1:13" ht="15.75" hidden="1" customHeight="1">
      <c r="A23" s="29">
        <v>7</v>
      </c>
      <c r="B23" s="101" t="s">
        <v>99</v>
      </c>
      <c r="C23" s="102" t="s">
        <v>50</v>
      </c>
      <c r="D23" s="101" t="s">
        <v>187</v>
      </c>
      <c r="E23" s="150">
        <v>70.56</v>
      </c>
      <c r="F23" s="112">
        <f>SUM(E23/100)</f>
        <v>0.7056</v>
      </c>
      <c r="G23" s="112">
        <v>63.49</v>
      </c>
      <c r="H23" s="60">
        <f t="shared" si="0"/>
        <v>4.4798544000000003E-2</v>
      </c>
      <c r="I23" s="13">
        <f t="shared" ref="I23:I24" si="1">F23*G23</f>
        <v>44.798544</v>
      </c>
      <c r="J23" s="22"/>
      <c r="K23" s="8"/>
      <c r="L23" s="8"/>
      <c r="M23" s="8"/>
    </row>
    <row r="24" spans="1:13" ht="15.75" hidden="1" customHeight="1">
      <c r="A24" s="29">
        <v>8</v>
      </c>
      <c r="B24" s="101" t="s">
        <v>161</v>
      </c>
      <c r="C24" s="102" t="s">
        <v>50</v>
      </c>
      <c r="D24" s="124" t="s">
        <v>178</v>
      </c>
      <c r="E24" s="17">
        <v>23.63</v>
      </c>
      <c r="F24" s="125">
        <f>E24*1/100</f>
        <v>0.23629999999999998</v>
      </c>
      <c r="G24" s="112">
        <v>309.81</v>
      </c>
      <c r="H24" s="60">
        <f t="shared" si="0"/>
        <v>7.3208102999999997E-2</v>
      </c>
      <c r="I24" s="13">
        <f t="shared" si="1"/>
        <v>73.208102999999994</v>
      </c>
      <c r="J24" s="22"/>
      <c r="K24" s="8"/>
      <c r="L24" s="8"/>
      <c r="M24" s="8"/>
    </row>
    <row r="25" spans="1:13" ht="15.75" hidden="1" customHeight="1">
      <c r="A25" s="29">
        <v>5</v>
      </c>
      <c r="B25" s="101" t="s">
        <v>162</v>
      </c>
      <c r="C25" s="102" t="s">
        <v>32</v>
      </c>
      <c r="D25" s="101" t="s">
        <v>181</v>
      </c>
      <c r="E25" s="126">
        <v>0.2</v>
      </c>
      <c r="F25" s="112">
        <f>E25*155</f>
        <v>31</v>
      </c>
      <c r="G25" s="112">
        <v>370.77</v>
      </c>
      <c r="H25" s="60">
        <f t="shared" si="0"/>
        <v>11.493869999999999</v>
      </c>
      <c r="I25" s="13">
        <f>F25/12*G25</f>
        <v>957.82249999999999</v>
      </c>
      <c r="J25" s="23"/>
    </row>
    <row r="26" spans="1:13" ht="15.75" customHeight="1">
      <c r="A26" s="213" t="s">
        <v>78</v>
      </c>
      <c r="B26" s="213"/>
      <c r="C26" s="213"/>
      <c r="D26" s="213"/>
      <c r="E26" s="213"/>
      <c r="F26" s="213"/>
      <c r="G26" s="213"/>
      <c r="H26" s="213"/>
      <c r="I26" s="213"/>
      <c r="J26" s="22"/>
      <c r="K26" s="8"/>
      <c r="L26" s="8"/>
      <c r="M26" s="8"/>
    </row>
    <row r="27" spans="1:13" ht="15.75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customHeight="1">
      <c r="A28" s="29">
        <v>5</v>
      </c>
      <c r="B28" s="101" t="s">
        <v>100</v>
      </c>
      <c r="C28" s="102" t="s">
        <v>101</v>
      </c>
      <c r="D28" s="101" t="s">
        <v>179</v>
      </c>
      <c r="E28" s="112">
        <v>360.3</v>
      </c>
      <c r="F28" s="112">
        <f>SUM(E28*24/1000)</f>
        <v>8.6472000000000016</v>
      </c>
      <c r="G28" s="112">
        <v>223.46</v>
      </c>
      <c r="H28" s="60">
        <f t="shared" ref="H28:H31" si="2">SUM(F28*G28/1000)</f>
        <v>1.9323033120000004</v>
      </c>
      <c r="I28" s="13">
        <f>F28/6*G28</f>
        <v>322.0505520000001</v>
      </c>
      <c r="J28" s="22"/>
      <c r="K28" s="8"/>
      <c r="L28" s="8"/>
      <c r="M28" s="8"/>
    </row>
    <row r="29" spans="1:13" ht="31.5" customHeight="1">
      <c r="A29" s="29">
        <v>6</v>
      </c>
      <c r="B29" s="101" t="s">
        <v>126</v>
      </c>
      <c r="C29" s="102" t="s">
        <v>101</v>
      </c>
      <c r="D29" s="101" t="s">
        <v>179</v>
      </c>
      <c r="E29" s="112">
        <v>202.36</v>
      </c>
      <c r="F29" s="112">
        <f>SUM(E29*24/1000)</f>
        <v>4.8566400000000005</v>
      </c>
      <c r="G29" s="112">
        <v>370.77</v>
      </c>
      <c r="H29" s="60">
        <f t="shared" si="2"/>
        <v>1.8006964128000003</v>
      </c>
      <c r="I29" s="13">
        <f t="shared" ref="I29:I31" si="3">F29/6*G29</f>
        <v>300.11606879999999</v>
      </c>
      <c r="J29" s="22"/>
      <c r="K29" s="8"/>
      <c r="L29" s="8"/>
      <c r="M29" s="8"/>
    </row>
    <row r="30" spans="1:13" ht="15.75" customHeight="1">
      <c r="A30" s="29">
        <v>7</v>
      </c>
      <c r="B30" s="101" t="s">
        <v>27</v>
      </c>
      <c r="C30" s="102" t="s">
        <v>101</v>
      </c>
      <c r="D30" s="101" t="s">
        <v>180</v>
      </c>
      <c r="E30" s="112">
        <v>360.3</v>
      </c>
      <c r="F30" s="112">
        <f>SUM(E30/1000)</f>
        <v>0.36030000000000001</v>
      </c>
      <c r="G30" s="112">
        <v>4329.78</v>
      </c>
      <c r="H30" s="60">
        <f t="shared" si="2"/>
        <v>1.5600197339999999</v>
      </c>
      <c r="I30" s="13">
        <f>G30*F30/1</f>
        <v>1560.019734</v>
      </c>
      <c r="J30" s="22"/>
      <c r="K30" s="8"/>
      <c r="L30" s="8"/>
      <c r="M30" s="8"/>
    </row>
    <row r="31" spans="1:13" ht="15.75" customHeight="1">
      <c r="A31" s="29">
        <v>8</v>
      </c>
      <c r="B31" s="101" t="s">
        <v>104</v>
      </c>
      <c r="C31" s="102" t="s">
        <v>38</v>
      </c>
      <c r="D31" s="101" t="s">
        <v>185</v>
      </c>
      <c r="E31" s="112">
        <v>6</v>
      </c>
      <c r="F31" s="112">
        <f>SUM(E31*48/100)</f>
        <v>2.88</v>
      </c>
      <c r="G31" s="112">
        <v>1866.51</v>
      </c>
      <c r="H31" s="60">
        <f t="shared" si="2"/>
        <v>5.3755487999999998</v>
      </c>
      <c r="I31" s="13">
        <f t="shared" si="3"/>
        <v>895.9248</v>
      </c>
      <c r="J31" s="22"/>
      <c r="K31" s="8"/>
    </row>
    <row r="32" spans="1:13" ht="17.25" hidden="1" customHeight="1">
      <c r="A32" s="29"/>
      <c r="B32" s="101" t="s">
        <v>173</v>
      </c>
      <c r="C32" s="102" t="s">
        <v>101</v>
      </c>
      <c r="D32" s="101" t="s">
        <v>174</v>
      </c>
      <c r="E32" s="123"/>
      <c r="F32" s="112"/>
      <c r="G32" s="112">
        <v>169.95</v>
      </c>
      <c r="H32" s="60">
        <f t="shared" ref="H32" si="4">SUM(F32*G32/1000)</f>
        <v>0</v>
      </c>
      <c r="I32" s="13">
        <v>0</v>
      </c>
      <c r="J32" s="23"/>
    </row>
    <row r="33" spans="1:14" ht="21.75" hidden="1" customHeight="1">
      <c r="A33" s="29"/>
      <c r="B33" s="101" t="s">
        <v>175</v>
      </c>
      <c r="C33" s="102" t="s">
        <v>101</v>
      </c>
      <c r="D33" s="101" t="s">
        <v>174</v>
      </c>
      <c r="E33" s="123"/>
      <c r="F33" s="112"/>
      <c r="G33" s="112">
        <v>1009.42</v>
      </c>
      <c r="H33" s="60" t="s">
        <v>118</v>
      </c>
      <c r="I33" s="13"/>
      <c r="J33" s="23"/>
    </row>
    <row r="34" spans="1:14" ht="23.25" hidden="1" customHeight="1">
      <c r="A34" s="29">
        <v>8</v>
      </c>
      <c r="B34" s="101" t="s">
        <v>176</v>
      </c>
      <c r="C34" s="102" t="s">
        <v>32</v>
      </c>
      <c r="D34" s="101" t="s">
        <v>163</v>
      </c>
      <c r="E34" s="123"/>
      <c r="F34" s="112"/>
      <c r="G34" s="112">
        <v>1.6</v>
      </c>
      <c r="H34" s="60">
        <f t="shared" ref="H34:H40" si="5">SUM(F34*G34/1000)</f>
        <v>0</v>
      </c>
      <c r="I34" s="13">
        <f>F34/6*G34</f>
        <v>0</v>
      </c>
      <c r="J34" s="23"/>
    </row>
    <row r="35" spans="1:14" ht="27" hidden="1" customHeight="1">
      <c r="A35" s="29">
        <v>9</v>
      </c>
      <c r="B35" s="101" t="s">
        <v>61</v>
      </c>
      <c r="C35" s="102" t="s">
        <v>32</v>
      </c>
      <c r="D35" s="101" t="s">
        <v>163</v>
      </c>
      <c r="E35" s="123"/>
      <c r="F35" s="112">
        <v>1</v>
      </c>
      <c r="G35" s="112">
        <v>274.26</v>
      </c>
      <c r="H35" s="60">
        <f t="shared" si="5"/>
        <v>0.27426</v>
      </c>
      <c r="I35" s="13">
        <f>F35/6*G35</f>
        <v>45.709999999999994</v>
      </c>
      <c r="J35" s="23"/>
      <c r="L35" s="19"/>
      <c r="M35" s="20"/>
      <c r="N35" s="21"/>
    </row>
    <row r="36" spans="1:14" ht="23.25" hidden="1" customHeight="1">
      <c r="A36" s="29"/>
      <c r="B36" s="101" t="s">
        <v>62</v>
      </c>
      <c r="C36" s="102" t="s">
        <v>31</v>
      </c>
      <c r="D36" s="101" t="s">
        <v>163</v>
      </c>
      <c r="E36" s="123"/>
      <c r="F36" s="112">
        <v>1</v>
      </c>
      <c r="G36" s="112">
        <v>1628.99</v>
      </c>
      <c r="H36" s="60">
        <f t="shared" si="5"/>
        <v>1.6289899999999999</v>
      </c>
      <c r="I36" s="13">
        <f>0</f>
        <v>0</v>
      </c>
      <c r="J36" s="23"/>
      <c r="L36" s="19"/>
      <c r="M36" s="20"/>
      <c r="N36" s="21"/>
    </row>
    <row r="37" spans="1:14" ht="21.75" hidden="1" customHeight="1">
      <c r="A37" s="29">
        <v>10</v>
      </c>
      <c r="B37" s="57" t="s">
        <v>65</v>
      </c>
      <c r="C37" s="58" t="s">
        <v>29</v>
      </c>
      <c r="D37" s="57" t="s">
        <v>107</v>
      </c>
      <c r="E37" s="59">
        <v>106</v>
      </c>
      <c r="F37" s="59">
        <f>SUM(E37*155/1000)</f>
        <v>16.43</v>
      </c>
      <c r="G37" s="59">
        <v>350.75</v>
      </c>
      <c r="H37" s="60">
        <f t="shared" si="5"/>
        <v>5.7628225000000004</v>
      </c>
      <c r="I37" s="13">
        <f>F37/6*G37</f>
        <v>960.47041666666667</v>
      </c>
      <c r="J37" s="23"/>
      <c r="L37" s="19"/>
      <c r="M37" s="20"/>
      <c r="N37" s="21"/>
    </row>
    <row r="38" spans="1:14" ht="18" hidden="1" customHeight="1">
      <c r="A38" s="29">
        <v>11</v>
      </c>
      <c r="B38" s="57" t="s">
        <v>76</v>
      </c>
      <c r="C38" s="58" t="s">
        <v>101</v>
      </c>
      <c r="D38" s="57" t="s">
        <v>132</v>
      </c>
      <c r="E38" s="59">
        <v>106</v>
      </c>
      <c r="F38" s="59">
        <f>SUM(E38*70/1000)</f>
        <v>7.42</v>
      </c>
      <c r="G38" s="59">
        <v>5803.28</v>
      </c>
      <c r="H38" s="60">
        <f t="shared" si="5"/>
        <v>43.060337599999997</v>
      </c>
      <c r="I38" s="13">
        <f>F38/6*G38</f>
        <v>7176.7229333333325</v>
      </c>
      <c r="J38" s="23"/>
      <c r="L38" s="19"/>
      <c r="M38" s="20"/>
      <c r="N38" s="21"/>
    </row>
    <row r="39" spans="1:14" ht="19.5" hidden="1" customHeight="1">
      <c r="A39" s="29">
        <v>12</v>
      </c>
      <c r="B39" s="57" t="s">
        <v>108</v>
      </c>
      <c r="C39" s="58" t="s">
        <v>101</v>
      </c>
      <c r="D39" s="57" t="s">
        <v>66</v>
      </c>
      <c r="E39" s="59">
        <v>106</v>
      </c>
      <c r="F39" s="59">
        <f>SUM(E39*45/1000)</f>
        <v>4.7699999999999996</v>
      </c>
      <c r="G39" s="59">
        <v>428.7</v>
      </c>
      <c r="H39" s="60">
        <f t="shared" si="5"/>
        <v>2.0448989999999996</v>
      </c>
      <c r="I39" s="13">
        <f>F39/6*G39</f>
        <v>340.81649999999996</v>
      </c>
      <c r="J39" s="23"/>
      <c r="L39" s="19"/>
      <c r="M39" s="20"/>
      <c r="N39" s="21"/>
    </row>
    <row r="40" spans="1:14" ht="16.5" hidden="1" customHeight="1">
      <c r="A40" s="29">
        <v>13</v>
      </c>
      <c r="B40" s="57" t="s">
        <v>67</v>
      </c>
      <c r="C40" s="58" t="s">
        <v>32</v>
      </c>
      <c r="D40" s="57"/>
      <c r="E40" s="45"/>
      <c r="F40" s="59">
        <v>0.9</v>
      </c>
      <c r="G40" s="59">
        <v>798</v>
      </c>
      <c r="H40" s="60">
        <f t="shared" si="5"/>
        <v>0.71820000000000006</v>
      </c>
      <c r="I40" s="13">
        <f>F40/6*G40</f>
        <v>119.69999999999999</v>
      </c>
      <c r="J40" s="23"/>
      <c r="L40" s="19"/>
      <c r="M40" s="20"/>
      <c r="N40" s="21"/>
    </row>
    <row r="41" spans="1:14" ht="15.75" customHeight="1">
      <c r="A41" s="214" t="s">
        <v>121</v>
      </c>
      <c r="B41" s="215"/>
      <c r="C41" s="215"/>
      <c r="D41" s="215"/>
      <c r="E41" s="215"/>
      <c r="F41" s="215"/>
      <c r="G41" s="215"/>
      <c r="H41" s="215"/>
      <c r="I41" s="216"/>
      <c r="J41" s="23"/>
      <c r="L41" s="19"/>
      <c r="M41" s="20"/>
      <c r="N41" s="21"/>
    </row>
    <row r="42" spans="1:14" ht="15.75" customHeight="1">
      <c r="A42" s="29">
        <v>9</v>
      </c>
      <c r="B42" s="101" t="s">
        <v>133</v>
      </c>
      <c r="C42" s="102" t="s">
        <v>101</v>
      </c>
      <c r="D42" s="101" t="s">
        <v>178</v>
      </c>
      <c r="E42" s="123">
        <v>1150.5999999999999</v>
      </c>
      <c r="F42" s="112">
        <f>SUM(E42*2/1000)</f>
        <v>2.3011999999999997</v>
      </c>
      <c r="G42" s="98">
        <v>1217.79</v>
      </c>
      <c r="H42" s="60">
        <f t="shared" ref="H42:H50" si="6">SUM(F42*G42/1000)</f>
        <v>2.8023783479999995</v>
      </c>
      <c r="I42" s="13">
        <f t="shared" ref="I42:I44" si="7">F42/2*G42</f>
        <v>1401.1891739999999</v>
      </c>
      <c r="J42" s="23"/>
      <c r="L42" s="19"/>
      <c r="M42" s="20"/>
      <c r="N42" s="21"/>
    </row>
    <row r="43" spans="1:14" ht="15.75" customHeight="1">
      <c r="A43" s="29">
        <v>10</v>
      </c>
      <c r="B43" s="101" t="s">
        <v>33</v>
      </c>
      <c r="C43" s="102" t="s">
        <v>101</v>
      </c>
      <c r="D43" s="101" t="s">
        <v>178</v>
      </c>
      <c r="E43" s="123">
        <v>108.96</v>
      </c>
      <c r="F43" s="112">
        <f>SUM(E43*2/1000)</f>
        <v>0.21791999999999997</v>
      </c>
      <c r="G43" s="98">
        <v>830.69</v>
      </c>
      <c r="H43" s="60">
        <f t="shared" si="6"/>
        <v>0.18102396479999999</v>
      </c>
      <c r="I43" s="13">
        <f t="shared" si="7"/>
        <v>90.511982399999994</v>
      </c>
      <c r="J43" s="23"/>
      <c r="L43" s="19"/>
      <c r="M43" s="20"/>
      <c r="N43" s="21"/>
    </row>
    <row r="44" spans="1:14" ht="15.75" customHeight="1">
      <c r="A44" s="29">
        <v>11</v>
      </c>
      <c r="B44" s="101" t="s">
        <v>34</v>
      </c>
      <c r="C44" s="102" t="s">
        <v>101</v>
      </c>
      <c r="D44" s="101" t="s">
        <v>178</v>
      </c>
      <c r="E44" s="123">
        <v>4224.3999999999996</v>
      </c>
      <c r="F44" s="112">
        <f>SUM(E44*2/1000)</f>
        <v>8.4487999999999985</v>
      </c>
      <c r="G44" s="98">
        <v>830.69</v>
      </c>
      <c r="H44" s="60">
        <f t="shared" si="6"/>
        <v>7.0183336719999989</v>
      </c>
      <c r="I44" s="13">
        <f t="shared" si="7"/>
        <v>3509.1668359999994</v>
      </c>
      <c r="J44" s="23"/>
      <c r="L44" s="19"/>
      <c r="M44" s="20"/>
      <c r="N44" s="21"/>
    </row>
    <row r="45" spans="1:14" ht="15.75" customHeight="1">
      <c r="A45" s="29">
        <v>12</v>
      </c>
      <c r="B45" s="101" t="s">
        <v>35</v>
      </c>
      <c r="C45" s="102" t="s">
        <v>101</v>
      </c>
      <c r="D45" s="101" t="s">
        <v>178</v>
      </c>
      <c r="E45" s="123">
        <v>3059.7</v>
      </c>
      <c r="F45" s="112">
        <f>SUM(E45*2/1000)</f>
        <v>6.1193999999999997</v>
      </c>
      <c r="G45" s="98">
        <v>869.86</v>
      </c>
      <c r="H45" s="60">
        <f t="shared" si="6"/>
        <v>5.3230212839999993</v>
      </c>
      <c r="I45" s="13">
        <f>F45/2*G45</f>
        <v>2661.5106419999997</v>
      </c>
      <c r="J45" s="23"/>
      <c r="L45" s="19"/>
      <c r="M45" s="20"/>
      <c r="N45" s="21"/>
    </row>
    <row r="46" spans="1:14" ht="15.75" customHeight="1">
      <c r="A46" s="29">
        <v>13</v>
      </c>
      <c r="B46" s="101" t="s">
        <v>53</v>
      </c>
      <c r="C46" s="102" t="s">
        <v>101</v>
      </c>
      <c r="D46" s="101" t="s">
        <v>178</v>
      </c>
      <c r="E46" s="123">
        <v>1150.5999999999999</v>
      </c>
      <c r="F46" s="112">
        <f>SUM(E46*5/1000)</f>
        <v>5.7530000000000001</v>
      </c>
      <c r="G46" s="98">
        <v>1739.68</v>
      </c>
      <c r="H46" s="60">
        <f t="shared" si="6"/>
        <v>10.008379039999999</v>
      </c>
      <c r="I46" s="13">
        <f>F46/5*G46</f>
        <v>2001.6758080000002</v>
      </c>
      <c r="J46" s="23"/>
      <c r="L46" s="19"/>
      <c r="M46" s="20"/>
      <c r="N46" s="21"/>
    </row>
    <row r="47" spans="1:14" ht="30.75" customHeight="1">
      <c r="A47" s="29">
        <v>14</v>
      </c>
      <c r="B47" s="101" t="s">
        <v>109</v>
      </c>
      <c r="C47" s="102" t="s">
        <v>101</v>
      </c>
      <c r="D47" s="101" t="s">
        <v>178</v>
      </c>
      <c r="E47" s="123">
        <v>1150.5999999999999</v>
      </c>
      <c r="F47" s="112">
        <f>SUM(E47*2/1000)</f>
        <v>2.3011999999999997</v>
      </c>
      <c r="G47" s="98">
        <v>1739.68</v>
      </c>
      <c r="H47" s="60">
        <f t="shared" si="6"/>
        <v>4.0033516159999998</v>
      </c>
      <c r="I47" s="13">
        <f>F47/2*G47</f>
        <v>2001.6758079999997</v>
      </c>
      <c r="J47" s="23"/>
      <c r="L47" s="19"/>
      <c r="M47" s="20"/>
      <c r="N47" s="21"/>
    </row>
    <row r="48" spans="1:14" ht="27.75" customHeight="1">
      <c r="A48" s="29">
        <v>15</v>
      </c>
      <c r="B48" s="101" t="s">
        <v>110</v>
      </c>
      <c r="C48" s="102" t="s">
        <v>36</v>
      </c>
      <c r="D48" s="101" t="s">
        <v>178</v>
      </c>
      <c r="E48" s="123">
        <v>30</v>
      </c>
      <c r="F48" s="112">
        <f>SUM(E48*2/100)</f>
        <v>0.6</v>
      </c>
      <c r="G48" s="98">
        <v>3914.31</v>
      </c>
      <c r="H48" s="60">
        <f t="shared" si="6"/>
        <v>2.3485859999999996</v>
      </c>
      <c r="I48" s="13">
        <f>F48/2*G48</f>
        <v>1174.2929999999999</v>
      </c>
      <c r="J48" s="23"/>
      <c r="L48" s="19"/>
      <c r="M48" s="20"/>
      <c r="N48" s="21"/>
    </row>
    <row r="49" spans="1:22" ht="18" customHeight="1">
      <c r="A49" s="29">
        <v>16</v>
      </c>
      <c r="B49" s="101" t="s">
        <v>37</v>
      </c>
      <c r="C49" s="102" t="s">
        <v>38</v>
      </c>
      <c r="D49" s="101" t="s">
        <v>178</v>
      </c>
      <c r="E49" s="123">
        <v>1</v>
      </c>
      <c r="F49" s="112">
        <v>0.02</v>
      </c>
      <c r="G49" s="98">
        <v>8102.62</v>
      </c>
      <c r="H49" s="60">
        <f t="shared" si="6"/>
        <v>0.16205240000000001</v>
      </c>
      <c r="I49" s="13">
        <f>G49*F49/2</f>
        <v>81.026200000000003</v>
      </c>
      <c r="J49" s="23"/>
      <c r="L49" s="19"/>
      <c r="M49" s="20"/>
      <c r="N49" s="21"/>
    </row>
    <row r="50" spans="1:22" ht="18" customHeight="1">
      <c r="A50" s="29">
        <v>17</v>
      </c>
      <c r="B50" s="101" t="s">
        <v>39</v>
      </c>
      <c r="C50" s="102" t="s">
        <v>111</v>
      </c>
      <c r="D50" s="164">
        <v>44328</v>
      </c>
      <c r="E50" s="123">
        <v>158</v>
      </c>
      <c r="F50" s="112">
        <f>SUM(E50)*3</f>
        <v>474</v>
      </c>
      <c r="G50" s="151">
        <v>94.16</v>
      </c>
      <c r="H50" s="60">
        <f t="shared" si="6"/>
        <v>44.631839999999997</v>
      </c>
      <c r="I50" s="13">
        <f>E50*G50</f>
        <v>14877.279999999999</v>
      </c>
      <c r="J50" s="23"/>
      <c r="L50" s="19"/>
      <c r="M50" s="20"/>
      <c r="N50" s="21"/>
    </row>
    <row r="51" spans="1:22" ht="15.75" customHeight="1">
      <c r="A51" s="214" t="s">
        <v>122</v>
      </c>
      <c r="B51" s="215"/>
      <c r="C51" s="215"/>
      <c r="D51" s="215"/>
      <c r="E51" s="215"/>
      <c r="F51" s="215"/>
      <c r="G51" s="215"/>
      <c r="H51" s="215"/>
      <c r="I51" s="216"/>
      <c r="J51" s="23"/>
      <c r="L51" s="19"/>
      <c r="M51" s="20"/>
      <c r="N51" s="21"/>
    </row>
    <row r="52" spans="1:22" ht="15.75" hidden="1" customHeight="1">
      <c r="A52" s="29"/>
      <c r="B52" s="76" t="s">
        <v>41</v>
      </c>
      <c r="C52" s="58"/>
      <c r="D52" s="57"/>
      <c r="E52" s="45"/>
      <c r="F52" s="59"/>
      <c r="G52" s="59"/>
      <c r="H52" s="60"/>
      <c r="I52" s="13"/>
      <c r="J52" s="23"/>
      <c r="L52" s="19"/>
      <c r="M52" s="20"/>
      <c r="N52" s="21"/>
    </row>
    <row r="53" spans="1:22" ht="31.5" hidden="1" customHeight="1">
      <c r="A53" s="29">
        <v>16</v>
      </c>
      <c r="B53" s="57" t="s">
        <v>135</v>
      </c>
      <c r="C53" s="58" t="s">
        <v>93</v>
      </c>
      <c r="D53" s="57" t="s">
        <v>136</v>
      </c>
      <c r="E53" s="85">
        <v>6</v>
      </c>
      <c r="F53" s="13">
        <f>E53*8/100</f>
        <v>0.48</v>
      </c>
      <c r="G53" s="59">
        <v>1547.28</v>
      </c>
      <c r="H53" s="60">
        <f>SUM(F53*G53/1000)</f>
        <v>0.74269439999999998</v>
      </c>
      <c r="I53" s="13">
        <f>F53/6*G53</f>
        <v>123.7824</v>
      </c>
      <c r="J53" s="23"/>
      <c r="L53" s="19"/>
      <c r="M53" s="20"/>
      <c r="N53" s="21"/>
    </row>
    <row r="54" spans="1:22" ht="15.75" hidden="1" customHeight="1">
      <c r="A54" s="86"/>
      <c r="B54" s="57" t="s">
        <v>90</v>
      </c>
      <c r="C54" s="58" t="s">
        <v>91</v>
      </c>
      <c r="D54" s="57" t="s">
        <v>40</v>
      </c>
      <c r="E54" s="45">
        <v>6</v>
      </c>
      <c r="F54" s="59">
        <v>12</v>
      </c>
      <c r="G54" s="65">
        <v>180.78</v>
      </c>
      <c r="H54" s="60">
        <f t="shared" ref="H54" si="8">SUM(F54*G54/1000)</f>
        <v>2.1693600000000002</v>
      </c>
      <c r="I54" s="13">
        <v>0</v>
      </c>
      <c r="J54" s="23"/>
      <c r="L54" s="19"/>
      <c r="M54" s="20"/>
      <c r="N54" s="21"/>
    </row>
    <row r="55" spans="1:22" ht="15.75" customHeight="1">
      <c r="A55" s="29"/>
      <c r="B55" s="77" t="s">
        <v>42</v>
      </c>
      <c r="C55" s="66"/>
      <c r="D55" s="67"/>
      <c r="E55" s="68"/>
      <c r="F55" s="70"/>
      <c r="G55" s="13"/>
      <c r="H55" s="71"/>
      <c r="I55" s="13"/>
      <c r="J55" s="23"/>
      <c r="L55" s="19"/>
      <c r="M55" s="20"/>
      <c r="N55" s="21"/>
    </row>
    <row r="56" spans="1:22" ht="15.75" customHeight="1">
      <c r="A56" s="29">
        <v>18</v>
      </c>
      <c r="B56" s="67" t="s">
        <v>87</v>
      </c>
      <c r="C56" s="66" t="s">
        <v>25</v>
      </c>
      <c r="D56" s="67"/>
      <c r="E56" s="68">
        <v>232.6</v>
      </c>
      <c r="F56" s="69">
        <f>E56*12</f>
        <v>2791.2</v>
      </c>
      <c r="G56" s="87">
        <v>1.4</v>
      </c>
      <c r="H56" s="70">
        <f>G56*F56</f>
        <v>3907.6799999999994</v>
      </c>
      <c r="I56" s="13">
        <f>2400/12*G56</f>
        <v>280</v>
      </c>
      <c r="J56" s="23"/>
      <c r="L56" s="19"/>
    </row>
    <row r="57" spans="1:22" ht="15.75" customHeight="1">
      <c r="A57" s="29"/>
      <c r="B57" s="77" t="s">
        <v>43</v>
      </c>
      <c r="C57" s="66"/>
      <c r="D57" s="67"/>
      <c r="E57" s="68"/>
      <c r="F57" s="69"/>
      <c r="G57" s="69"/>
      <c r="H57" s="70" t="s">
        <v>118</v>
      </c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9"/>
    </row>
    <row r="58" spans="1:22" ht="15.75" hidden="1" customHeight="1">
      <c r="A58" s="29">
        <v>23</v>
      </c>
      <c r="B58" s="14" t="s">
        <v>44</v>
      </c>
      <c r="C58" s="16" t="s">
        <v>111</v>
      </c>
      <c r="D58" s="14" t="s">
        <v>63</v>
      </c>
      <c r="E58" s="18">
        <v>15</v>
      </c>
      <c r="F58" s="59">
        <v>15</v>
      </c>
      <c r="G58" s="13">
        <v>209.41</v>
      </c>
      <c r="H58" s="72">
        <f t="shared" ref="H58:H65" si="9">SUM(F58*G58/1000)</f>
        <v>3.1411500000000001</v>
      </c>
      <c r="I58" s="13">
        <f>G58</f>
        <v>209.41</v>
      </c>
      <c r="J58" s="25"/>
      <c r="K58" s="25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2" ht="15.75" hidden="1" customHeight="1">
      <c r="A59" s="29"/>
      <c r="B59" s="14" t="s">
        <v>45</v>
      </c>
      <c r="C59" s="16" t="s">
        <v>111</v>
      </c>
      <c r="D59" s="14" t="s">
        <v>63</v>
      </c>
      <c r="E59" s="18">
        <v>5</v>
      </c>
      <c r="F59" s="59">
        <v>5</v>
      </c>
      <c r="G59" s="13">
        <v>71.790000000000006</v>
      </c>
      <c r="H59" s="72">
        <f t="shared" si="9"/>
        <v>0.35895000000000005</v>
      </c>
      <c r="I59" s="13">
        <v>0</v>
      </c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</row>
    <row r="60" spans="1:22" ht="15.75" hidden="1" customHeight="1">
      <c r="A60" s="29">
        <v>26</v>
      </c>
      <c r="B60" s="152" t="s">
        <v>46</v>
      </c>
      <c r="C60" s="153" t="s">
        <v>112</v>
      </c>
      <c r="D60" s="100" t="s">
        <v>51</v>
      </c>
      <c r="E60" s="123">
        <v>18281</v>
      </c>
      <c r="F60" s="151">
        <f>SUM(E60/100)</f>
        <v>182.81</v>
      </c>
      <c r="G60" s="98">
        <v>304.13</v>
      </c>
      <c r="H60" s="72">
        <f t="shared" si="9"/>
        <v>55.598005299999997</v>
      </c>
      <c r="I60" s="13">
        <f>F60*G60</f>
        <v>55598.005299999997</v>
      </c>
      <c r="J60" s="5"/>
      <c r="K60" s="5"/>
      <c r="L60" s="5"/>
      <c r="M60" s="5"/>
      <c r="N60" s="5"/>
      <c r="O60" s="5"/>
      <c r="P60" s="5"/>
      <c r="Q60" s="5"/>
      <c r="R60" s="210"/>
      <c r="S60" s="210"/>
      <c r="T60" s="210"/>
      <c r="U60" s="210"/>
    </row>
    <row r="61" spans="1:22" ht="15.75" hidden="1" customHeight="1">
      <c r="A61" s="29">
        <v>27</v>
      </c>
      <c r="B61" s="152" t="s">
        <v>47</v>
      </c>
      <c r="C61" s="113" t="s">
        <v>113</v>
      </c>
      <c r="D61" s="100"/>
      <c r="E61" s="123">
        <v>18281</v>
      </c>
      <c r="F61" s="98">
        <f>SUM(E61/1000)</f>
        <v>18.280999999999999</v>
      </c>
      <c r="G61" s="98">
        <v>236.84</v>
      </c>
      <c r="H61" s="72">
        <f t="shared" si="9"/>
        <v>4.3296720399999993</v>
      </c>
      <c r="I61" s="13">
        <f t="shared" ref="I61:I64" si="10">F61*G61</f>
        <v>4329.6720399999995</v>
      </c>
    </row>
    <row r="62" spans="1:22" ht="15.75" hidden="1" customHeight="1">
      <c r="A62" s="29">
        <v>28</v>
      </c>
      <c r="B62" s="152" t="s">
        <v>48</v>
      </c>
      <c r="C62" s="113" t="s">
        <v>72</v>
      </c>
      <c r="D62" s="100" t="s">
        <v>51</v>
      </c>
      <c r="E62" s="123">
        <v>2730</v>
      </c>
      <c r="F62" s="98">
        <f>SUM(E62/100)</f>
        <v>27.3</v>
      </c>
      <c r="G62" s="98">
        <v>2974.1</v>
      </c>
      <c r="H62" s="72">
        <f t="shared" si="9"/>
        <v>81.19292999999999</v>
      </c>
      <c r="I62" s="13">
        <f t="shared" si="10"/>
        <v>81192.929999999993</v>
      </c>
    </row>
    <row r="63" spans="1:22" ht="15.75" hidden="1" customHeight="1">
      <c r="A63" s="29">
        <v>29</v>
      </c>
      <c r="B63" s="154" t="s">
        <v>114</v>
      </c>
      <c r="C63" s="113" t="s">
        <v>32</v>
      </c>
      <c r="D63" s="100"/>
      <c r="E63" s="123">
        <v>16.2</v>
      </c>
      <c r="F63" s="98">
        <f>SUM(E63)</f>
        <v>16.2</v>
      </c>
      <c r="G63" s="98">
        <v>47.98</v>
      </c>
      <c r="H63" s="72">
        <f t="shared" si="9"/>
        <v>0.77727599999999997</v>
      </c>
      <c r="I63" s="13">
        <f t="shared" si="10"/>
        <v>777.27599999999995</v>
      </c>
    </row>
    <row r="64" spans="1:22" ht="15.75" hidden="1" customHeight="1">
      <c r="A64" s="29">
        <v>30</v>
      </c>
      <c r="B64" s="154" t="s">
        <v>115</v>
      </c>
      <c r="C64" s="113" t="s">
        <v>32</v>
      </c>
      <c r="D64" s="100"/>
      <c r="E64" s="123">
        <v>16.2</v>
      </c>
      <c r="F64" s="98">
        <f>SUM(E64)</f>
        <v>16.2</v>
      </c>
      <c r="G64" s="98">
        <v>51.75</v>
      </c>
      <c r="H64" s="72">
        <f t="shared" si="9"/>
        <v>0.83834999999999993</v>
      </c>
      <c r="I64" s="13">
        <f t="shared" si="10"/>
        <v>838.34999999999991</v>
      </c>
    </row>
    <row r="65" spans="1:9" ht="18" hidden="1" customHeight="1">
      <c r="A65" s="29"/>
      <c r="B65" s="14" t="s">
        <v>54</v>
      </c>
      <c r="C65" s="16" t="s">
        <v>55</v>
      </c>
      <c r="D65" s="14" t="s">
        <v>51</v>
      </c>
      <c r="E65" s="18">
        <v>7</v>
      </c>
      <c r="F65" s="59">
        <f>SUM(E65)</f>
        <v>7</v>
      </c>
      <c r="G65" s="13">
        <v>46.97</v>
      </c>
      <c r="H65" s="72">
        <f t="shared" si="9"/>
        <v>0.32878999999999997</v>
      </c>
      <c r="I65" s="13">
        <v>0</v>
      </c>
    </row>
    <row r="66" spans="1:9" ht="18" customHeight="1">
      <c r="A66" s="29"/>
      <c r="B66" s="135" t="s">
        <v>166</v>
      </c>
      <c r="C66" s="113"/>
      <c r="D66" s="100"/>
      <c r="E66" s="17"/>
      <c r="F66" s="98"/>
      <c r="G66" s="98"/>
      <c r="H66" s="72"/>
      <c r="I66" s="13"/>
    </row>
    <row r="67" spans="1:9" ht="29.25" customHeight="1">
      <c r="A67" s="29">
        <v>19</v>
      </c>
      <c r="B67" s="100" t="s">
        <v>167</v>
      </c>
      <c r="C67" s="35" t="s">
        <v>168</v>
      </c>
      <c r="D67" s="100"/>
      <c r="E67" s="17">
        <v>4224.3999999999996</v>
      </c>
      <c r="F67" s="98">
        <f>E67*12</f>
        <v>50692.799999999996</v>
      </c>
      <c r="G67" s="98">
        <v>2.4900000000000002</v>
      </c>
      <c r="H67" s="72"/>
      <c r="I67" s="13">
        <f>G67*F67/12</f>
        <v>10518.755999999999</v>
      </c>
    </row>
    <row r="68" spans="1:9" ht="17.25" customHeight="1">
      <c r="A68" s="29"/>
      <c r="B68" s="118" t="s">
        <v>69</v>
      </c>
      <c r="C68" s="16"/>
      <c r="D68" s="14"/>
      <c r="E68" s="18"/>
      <c r="F68" s="13"/>
      <c r="G68" s="13"/>
      <c r="H68" s="72" t="s">
        <v>118</v>
      </c>
      <c r="I68" s="13"/>
    </row>
    <row r="69" spans="1:9" ht="30.75" hidden="1" customHeight="1">
      <c r="A69" s="29"/>
      <c r="B69" s="14" t="s">
        <v>80</v>
      </c>
      <c r="C69" s="16" t="s">
        <v>30</v>
      </c>
      <c r="D69" s="14"/>
      <c r="E69" s="18">
        <v>1</v>
      </c>
      <c r="F69" s="59">
        <f>SUM(E69)</f>
        <v>1</v>
      </c>
      <c r="G69" s="13">
        <v>337.58</v>
      </c>
      <c r="H69" s="72">
        <f t="shared" ref="H69" si="11">SUM(F69*G69/1000)</f>
        <v>0.33757999999999999</v>
      </c>
      <c r="I69" s="13">
        <v>0</v>
      </c>
    </row>
    <row r="70" spans="1:9" ht="21.75" hidden="1" customHeight="1">
      <c r="A70" s="29"/>
      <c r="B70" s="14" t="s">
        <v>70</v>
      </c>
      <c r="C70" s="16" t="s">
        <v>30</v>
      </c>
      <c r="D70" s="14"/>
      <c r="E70" s="18">
        <v>2</v>
      </c>
      <c r="F70" s="13">
        <v>2</v>
      </c>
      <c r="G70" s="13">
        <v>803.19</v>
      </c>
      <c r="H70" s="72">
        <f>F70*G70/1000</f>
        <v>1.6063800000000001</v>
      </c>
      <c r="I70" s="13">
        <v>0</v>
      </c>
    </row>
    <row r="71" spans="1:9" ht="28.5" customHeight="1">
      <c r="A71" s="29">
        <v>20</v>
      </c>
      <c r="B71" s="95" t="s">
        <v>169</v>
      </c>
      <c r="C71" s="96" t="s">
        <v>111</v>
      </c>
      <c r="D71" s="100" t="s">
        <v>180</v>
      </c>
      <c r="E71" s="17">
        <v>2</v>
      </c>
      <c r="F71" s="98">
        <f>E71*12</f>
        <v>24</v>
      </c>
      <c r="G71" s="98">
        <v>404</v>
      </c>
      <c r="H71" s="72"/>
      <c r="I71" s="13">
        <f>G71*F71/12</f>
        <v>808</v>
      </c>
    </row>
    <row r="72" spans="1:9" ht="21" hidden="1" customHeight="1">
      <c r="A72" s="29"/>
      <c r="B72" s="74" t="s">
        <v>71</v>
      </c>
      <c r="C72" s="16"/>
      <c r="D72" s="14"/>
      <c r="E72" s="18"/>
      <c r="F72" s="13"/>
      <c r="G72" s="13" t="s">
        <v>118</v>
      </c>
      <c r="H72" s="72" t="s">
        <v>118</v>
      </c>
      <c r="I72" s="13"/>
    </row>
    <row r="73" spans="1:9" ht="25.5" hidden="1" customHeight="1">
      <c r="A73" s="29"/>
      <c r="B73" s="42" t="s">
        <v>119</v>
      </c>
      <c r="C73" s="16" t="s">
        <v>72</v>
      </c>
      <c r="D73" s="14"/>
      <c r="E73" s="18"/>
      <c r="F73" s="13">
        <v>1.35</v>
      </c>
      <c r="G73" s="13">
        <v>2494</v>
      </c>
      <c r="H73" s="72">
        <f t="shared" ref="H73" si="12">SUM(F73*G73/1000)</f>
        <v>3.3669000000000002</v>
      </c>
      <c r="I73" s="13">
        <v>0</v>
      </c>
    </row>
    <row r="74" spans="1:9" ht="15.75" hidden="1" customHeight="1">
      <c r="A74" s="29"/>
      <c r="B74" s="61" t="s">
        <v>116</v>
      </c>
      <c r="C74" s="74"/>
      <c r="D74" s="31"/>
      <c r="E74" s="32"/>
      <c r="F74" s="62"/>
      <c r="G74" s="62"/>
      <c r="H74" s="75">
        <f>SUM(H53:H73)</f>
        <v>4062.4680377399991</v>
      </c>
      <c r="I74" s="62"/>
    </row>
    <row r="75" spans="1:9" ht="16.5" hidden="1" customHeight="1">
      <c r="A75" s="29">
        <v>29</v>
      </c>
      <c r="B75" s="57" t="s">
        <v>117</v>
      </c>
      <c r="C75" s="16"/>
      <c r="D75" s="14"/>
      <c r="E75" s="52"/>
      <c r="F75" s="13">
        <v>1</v>
      </c>
      <c r="G75" s="13">
        <v>17359.8</v>
      </c>
      <c r="H75" s="72">
        <f>G75*F75/1000</f>
        <v>17.3598</v>
      </c>
      <c r="I75" s="13">
        <f>G75</f>
        <v>17359.8</v>
      </c>
    </row>
    <row r="76" spans="1:9" ht="15.75" customHeight="1">
      <c r="A76" s="223" t="s">
        <v>123</v>
      </c>
      <c r="B76" s="224"/>
      <c r="C76" s="224"/>
      <c r="D76" s="224"/>
      <c r="E76" s="224"/>
      <c r="F76" s="224"/>
      <c r="G76" s="224"/>
      <c r="H76" s="224"/>
      <c r="I76" s="225"/>
    </row>
    <row r="77" spans="1:9" ht="15.75" customHeight="1">
      <c r="A77" s="29">
        <v>21</v>
      </c>
      <c r="B77" s="100" t="s">
        <v>120</v>
      </c>
      <c r="C77" s="113" t="s">
        <v>52</v>
      </c>
      <c r="D77" s="136"/>
      <c r="E77" s="98">
        <v>4224.3999999999996</v>
      </c>
      <c r="F77" s="98">
        <f>SUM(E77*12)</f>
        <v>50692.799999999996</v>
      </c>
      <c r="G77" s="98">
        <v>3.38</v>
      </c>
      <c r="H77" s="13">
        <f>SUM(F77*G77/1000)</f>
        <v>171.34166399999998</v>
      </c>
      <c r="I77" s="13">
        <f>F77/12*G77</f>
        <v>14278.471999999998</v>
      </c>
    </row>
    <row r="78" spans="1:9" ht="31.5" customHeight="1">
      <c r="A78" s="29">
        <v>22</v>
      </c>
      <c r="B78" s="155" t="s">
        <v>170</v>
      </c>
      <c r="C78" s="138" t="s">
        <v>52</v>
      </c>
      <c r="D78" s="139"/>
      <c r="E78" s="140">
        <f>E77</f>
        <v>4224.3999999999996</v>
      </c>
      <c r="F78" s="141">
        <f>E78*12</f>
        <v>50692.799999999996</v>
      </c>
      <c r="G78" s="141">
        <v>3.05</v>
      </c>
      <c r="H78" s="156">
        <f>F78*G78/1000</f>
        <v>154.61303999999998</v>
      </c>
      <c r="I78" s="157">
        <f>F78/12*G78</f>
        <v>12884.419999999998</v>
      </c>
    </row>
    <row r="79" spans="1:9" ht="15.75" customHeight="1">
      <c r="A79" s="119"/>
      <c r="B79" s="34" t="s">
        <v>74</v>
      </c>
      <c r="C79" s="35"/>
      <c r="D79" s="15"/>
      <c r="E79" s="15"/>
      <c r="F79" s="15"/>
      <c r="G79" s="18"/>
      <c r="H79" s="18"/>
      <c r="I79" s="32">
        <f>I78+I77+I71+I67+I56+I50+I49+I48+I47+I46+I45+I44+I43+I42+I31+I30+I29+I28+I21+I20+I18+I17</f>
        <v>93637.28983319999</v>
      </c>
    </row>
    <row r="80" spans="1:9" ht="15.75" customHeight="1">
      <c r="A80" s="220" t="s">
        <v>57</v>
      </c>
      <c r="B80" s="221"/>
      <c r="C80" s="221"/>
      <c r="D80" s="221"/>
      <c r="E80" s="221"/>
      <c r="F80" s="221"/>
      <c r="G80" s="221"/>
      <c r="H80" s="221"/>
      <c r="I80" s="222"/>
    </row>
    <row r="81" spans="1:9" ht="18" customHeight="1">
      <c r="A81" s="29">
        <v>23</v>
      </c>
      <c r="B81" s="100" t="s">
        <v>228</v>
      </c>
      <c r="C81" s="113" t="s">
        <v>157</v>
      </c>
      <c r="D81" s="97" t="s">
        <v>225</v>
      </c>
      <c r="E81" s="98"/>
      <c r="F81" s="98">
        <v>29</v>
      </c>
      <c r="G81" s="98">
        <v>295.36</v>
      </c>
      <c r="H81" s="99"/>
      <c r="I81" s="13">
        <f>G81*6</f>
        <v>1772.16</v>
      </c>
    </row>
    <row r="82" spans="1:9" ht="18" customHeight="1">
      <c r="A82" s="29">
        <v>24</v>
      </c>
      <c r="B82" s="100" t="s">
        <v>152</v>
      </c>
      <c r="C82" s="113" t="s">
        <v>157</v>
      </c>
      <c r="D82" s="97" t="s">
        <v>276</v>
      </c>
      <c r="E82" s="98"/>
      <c r="F82" s="98">
        <v>49</v>
      </c>
      <c r="G82" s="98">
        <v>295.36</v>
      </c>
      <c r="H82" s="99"/>
      <c r="I82" s="13">
        <v>0</v>
      </c>
    </row>
    <row r="83" spans="1:9" ht="18" customHeight="1">
      <c r="A83" s="29">
        <v>25</v>
      </c>
      <c r="B83" s="100" t="s">
        <v>188</v>
      </c>
      <c r="C83" s="113" t="s">
        <v>189</v>
      </c>
      <c r="D83" s="97"/>
      <c r="E83" s="98"/>
      <c r="F83" s="98">
        <v>5</v>
      </c>
      <c r="G83" s="98">
        <v>236.08</v>
      </c>
      <c r="H83" s="99"/>
      <c r="I83" s="13">
        <f>G83*2</f>
        <v>472.16</v>
      </c>
    </row>
    <row r="84" spans="1:9" ht="18" customHeight="1">
      <c r="A84" s="29">
        <v>26</v>
      </c>
      <c r="B84" s="95" t="s">
        <v>75</v>
      </c>
      <c r="C84" s="96" t="s">
        <v>111</v>
      </c>
      <c r="D84" s="97"/>
      <c r="E84" s="98"/>
      <c r="F84" s="98">
        <v>6</v>
      </c>
      <c r="G84" s="98">
        <v>224.48</v>
      </c>
      <c r="H84" s="99"/>
      <c r="I84" s="13">
        <f>G84*1</f>
        <v>224.48</v>
      </c>
    </row>
    <row r="85" spans="1:9" ht="29.25" customHeight="1">
      <c r="A85" s="29">
        <v>27</v>
      </c>
      <c r="B85" s="95" t="s">
        <v>81</v>
      </c>
      <c r="C85" s="96" t="s">
        <v>83</v>
      </c>
      <c r="D85" s="97"/>
      <c r="E85" s="98"/>
      <c r="F85" s="98">
        <v>1</v>
      </c>
      <c r="G85" s="98">
        <v>697.33</v>
      </c>
      <c r="H85" s="99"/>
      <c r="I85" s="13">
        <f>G85*1</f>
        <v>697.33</v>
      </c>
    </row>
    <row r="86" spans="1:9" ht="27.75" customHeight="1">
      <c r="A86" s="29">
        <v>28</v>
      </c>
      <c r="B86" s="95" t="s">
        <v>265</v>
      </c>
      <c r="C86" s="96" t="s">
        <v>83</v>
      </c>
      <c r="D86" s="97"/>
      <c r="E86" s="98"/>
      <c r="F86" s="98">
        <v>1</v>
      </c>
      <c r="G86" s="98">
        <v>949.97</v>
      </c>
      <c r="H86" s="99"/>
      <c r="I86" s="13">
        <f>G86*1</f>
        <v>949.97</v>
      </c>
    </row>
    <row r="87" spans="1:9" ht="33.75" customHeight="1">
      <c r="A87" s="29">
        <v>29</v>
      </c>
      <c r="B87" s="95" t="s">
        <v>236</v>
      </c>
      <c r="C87" s="96" t="s">
        <v>111</v>
      </c>
      <c r="D87" s="97" t="s">
        <v>273</v>
      </c>
      <c r="E87" s="98"/>
      <c r="F87" s="98">
        <v>6</v>
      </c>
      <c r="G87" s="98">
        <v>1226.45</v>
      </c>
      <c r="H87" s="99"/>
      <c r="I87" s="13">
        <f>G87*5</f>
        <v>6132.25</v>
      </c>
    </row>
    <row r="88" spans="1:9" ht="27.75" customHeight="1">
      <c r="A88" s="29">
        <v>30</v>
      </c>
      <c r="B88" s="95" t="s">
        <v>266</v>
      </c>
      <c r="C88" s="96" t="s">
        <v>157</v>
      </c>
      <c r="D88" s="97" t="s">
        <v>274</v>
      </c>
      <c r="E88" s="98"/>
      <c r="F88" s="98">
        <v>1</v>
      </c>
      <c r="G88" s="98">
        <v>1504.51</v>
      </c>
      <c r="H88" s="99"/>
      <c r="I88" s="13">
        <f>G88*1</f>
        <v>1504.51</v>
      </c>
    </row>
    <row r="89" spans="1:9" ht="33.75" customHeight="1">
      <c r="A89" s="29">
        <v>31</v>
      </c>
      <c r="B89" s="95" t="s">
        <v>237</v>
      </c>
      <c r="C89" s="96" t="s">
        <v>111</v>
      </c>
      <c r="D89" s="97" t="s">
        <v>275</v>
      </c>
      <c r="E89" s="98"/>
      <c r="F89" s="98">
        <v>5</v>
      </c>
      <c r="G89" s="98">
        <v>983.17</v>
      </c>
      <c r="H89" s="99"/>
      <c r="I89" s="13">
        <f>G89*1</f>
        <v>983.17</v>
      </c>
    </row>
    <row r="90" spans="1:9" ht="18" customHeight="1">
      <c r="A90" s="29">
        <v>32</v>
      </c>
      <c r="B90" s="95" t="s">
        <v>267</v>
      </c>
      <c r="C90" s="96" t="s">
        <v>111</v>
      </c>
      <c r="D90" s="97"/>
      <c r="E90" s="98"/>
      <c r="F90" s="98">
        <v>1</v>
      </c>
      <c r="G90" s="98">
        <v>211</v>
      </c>
      <c r="H90" s="99"/>
      <c r="I90" s="13">
        <f>G90*1</f>
        <v>211</v>
      </c>
    </row>
    <row r="91" spans="1:9" ht="18" customHeight="1">
      <c r="A91" s="29">
        <v>33</v>
      </c>
      <c r="B91" s="95" t="s">
        <v>268</v>
      </c>
      <c r="C91" s="96" t="s">
        <v>111</v>
      </c>
      <c r="D91" s="97"/>
      <c r="E91" s="98"/>
      <c r="F91" s="98">
        <v>1</v>
      </c>
      <c r="G91" s="98">
        <v>50</v>
      </c>
      <c r="H91" s="99"/>
      <c r="I91" s="13">
        <f>G91*1</f>
        <v>50</v>
      </c>
    </row>
    <row r="92" spans="1:9" ht="18" customHeight="1">
      <c r="A92" s="29">
        <v>34</v>
      </c>
      <c r="B92" s="95" t="s">
        <v>238</v>
      </c>
      <c r="C92" s="96" t="s">
        <v>30</v>
      </c>
      <c r="D92" s="97"/>
      <c r="E92" s="98"/>
      <c r="F92" s="98">
        <v>8</v>
      </c>
      <c r="G92" s="98">
        <v>235</v>
      </c>
      <c r="H92" s="99"/>
      <c r="I92" s="13">
        <f>G92*4</f>
        <v>940</v>
      </c>
    </row>
    <row r="93" spans="1:9" ht="18" customHeight="1">
      <c r="A93" s="29">
        <v>35</v>
      </c>
      <c r="B93" s="95" t="s">
        <v>253</v>
      </c>
      <c r="C93" s="96" t="s">
        <v>30</v>
      </c>
      <c r="D93" s="97"/>
      <c r="E93" s="98"/>
      <c r="F93" s="98">
        <v>4</v>
      </c>
      <c r="G93" s="98">
        <v>98</v>
      </c>
      <c r="H93" s="99"/>
      <c r="I93" s="13">
        <f>G93*2</f>
        <v>196</v>
      </c>
    </row>
    <row r="94" spans="1:9" ht="18" customHeight="1">
      <c r="A94" s="29">
        <v>36</v>
      </c>
      <c r="B94" s="95" t="s">
        <v>269</v>
      </c>
      <c r="C94" s="96" t="s">
        <v>111</v>
      </c>
      <c r="D94" s="97"/>
      <c r="E94" s="98"/>
      <c r="F94" s="98">
        <v>1</v>
      </c>
      <c r="G94" s="98">
        <v>50</v>
      </c>
      <c r="H94" s="99"/>
      <c r="I94" s="13">
        <f>G94*1</f>
        <v>50</v>
      </c>
    </row>
    <row r="95" spans="1:9" ht="18" customHeight="1">
      <c r="A95" s="29">
        <v>37</v>
      </c>
      <c r="B95" s="95" t="s">
        <v>270</v>
      </c>
      <c r="C95" s="96" t="s">
        <v>111</v>
      </c>
      <c r="D95" s="97"/>
      <c r="E95" s="98"/>
      <c r="F95" s="98">
        <v>2</v>
      </c>
      <c r="G95" s="98">
        <v>70</v>
      </c>
      <c r="H95" s="99"/>
      <c r="I95" s="13">
        <f>G95*2</f>
        <v>140</v>
      </c>
    </row>
    <row r="96" spans="1:9" ht="18" customHeight="1">
      <c r="A96" s="29">
        <v>38</v>
      </c>
      <c r="B96" s="95" t="s">
        <v>271</v>
      </c>
      <c r="C96" s="96" t="s">
        <v>111</v>
      </c>
      <c r="D96" s="97"/>
      <c r="E96" s="98"/>
      <c r="F96" s="98">
        <v>4</v>
      </c>
      <c r="G96" s="98">
        <v>139</v>
      </c>
      <c r="H96" s="99"/>
      <c r="I96" s="13">
        <f>G96*4</f>
        <v>556</v>
      </c>
    </row>
    <row r="97" spans="1:9" ht="18" customHeight="1">
      <c r="A97" s="29">
        <v>39</v>
      </c>
      <c r="B97" s="95" t="s">
        <v>272</v>
      </c>
      <c r="C97" s="96" t="s">
        <v>111</v>
      </c>
      <c r="D97" s="97"/>
      <c r="E97" s="98"/>
      <c r="F97" s="98">
        <v>2</v>
      </c>
      <c r="G97" s="98">
        <v>30</v>
      </c>
      <c r="H97" s="99"/>
      <c r="I97" s="13">
        <f>G97*2</f>
        <v>60</v>
      </c>
    </row>
    <row r="98" spans="1:9" ht="18" customHeight="1">
      <c r="A98" s="29">
        <v>40</v>
      </c>
      <c r="B98" s="95" t="s">
        <v>240</v>
      </c>
      <c r="C98" s="96" t="s">
        <v>30</v>
      </c>
      <c r="D98" s="97"/>
      <c r="E98" s="98"/>
      <c r="F98" s="98">
        <v>4</v>
      </c>
      <c r="G98" s="98">
        <v>74</v>
      </c>
      <c r="H98" s="99"/>
      <c r="I98" s="13">
        <f>G98*2</f>
        <v>148</v>
      </c>
    </row>
    <row r="99" spans="1:9" ht="18" customHeight="1">
      <c r="A99" s="29">
        <v>41</v>
      </c>
      <c r="B99" s="95" t="s">
        <v>254</v>
      </c>
      <c r="C99" s="96" t="s">
        <v>30</v>
      </c>
      <c r="D99" s="97"/>
      <c r="E99" s="98"/>
      <c r="F99" s="98">
        <v>4</v>
      </c>
      <c r="G99" s="98">
        <v>65</v>
      </c>
      <c r="H99" s="99"/>
      <c r="I99" s="13">
        <f>G99*2</f>
        <v>130</v>
      </c>
    </row>
    <row r="100" spans="1:9" ht="18" customHeight="1">
      <c r="A100" s="29">
        <v>42</v>
      </c>
      <c r="B100" s="95" t="s">
        <v>241</v>
      </c>
      <c r="C100" s="96" t="s">
        <v>111</v>
      </c>
      <c r="D100" s="97"/>
      <c r="E100" s="98"/>
      <c r="F100" s="98">
        <v>3</v>
      </c>
      <c r="G100" s="98">
        <v>49</v>
      </c>
      <c r="H100" s="99"/>
      <c r="I100" s="13">
        <f>G100*2</f>
        <v>98</v>
      </c>
    </row>
    <row r="101" spans="1:9" ht="18" customHeight="1">
      <c r="A101" s="29">
        <v>43</v>
      </c>
      <c r="B101" s="95" t="s">
        <v>242</v>
      </c>
      <c r="C101" s="96" t="s">
        <v>111</v>
      </c>
      <c r="D101" s="97"/>
      <c r="E101" s="98"/>
      <c r="F101" s="98">
        <v>2</v>
      </c>
      <c r="G101" s="98">
        <v>91.58</v>
      </c>
      <c r="H101" s="99"/>
      <c r="I101" s="13">
        <f>G101*1</f>
        <v>91.58</v>
      </c>
    </row>
    <row r="102" spans="1:9" ht="15.75" customHeight="1">
      <c r="A102" s="29"/>
      <c r="B102" s="40" t="s">
        <v>49</v>
      </c>
      <c r="C102" s="36"/>
      <c r="D102" s="43"/>
      <c r="E102" s="36">
        <v>1</v>
      </c>
      <c r="F102" s="36"/>
      <c r="G102" s="36"/>
      <c r="H102" s="36"/>
      <c r="I102" s="32">
        <f>SUM(I81:I101)</f>
        <v>15406.61</v>
      </c>
    </row>
    <row r="103" spans="1:9" ht="15.75" customHeight="1">
      <c r="A103" s="29"/>
      <c r="B103" s="42" t="s">
        <v>73</v>
      </c>
      <c r="C103" s="15"/>
      <c r="D103" s="15"/>
      <c r="E103" s="37"/>
      <c r="F103" s="37"/>
      <c r="G103" s="38"/>
      <c r="H103" s="38"/>
      <c r="I103" s="17">
        <v>0</v>
      </c>
    </row>
    <row r="104" spans="1:9" ht="15.75" customHeight="1">
      <c r="A104" s="44"/>
      <c r="B104" s="41" t="s">
        <v>129</v>
      </c>
      <c r="C104" s="33"/>
      <c r="D104" s="33"/>
      <c r="E104" s="33"/>
      <c r="F104" s="33"/>
      <c r="G104" s="33"/>
      <c r="H104" s="33"/>
      <c r="I104" s="39">
        <f>I79+I102</f>
        <v>109043.89983319999</v>
      </c>
    </row>
    <row r="105" spans="1:9" ht="15.75" customHeight="1">
      <c r="A105" s="217" t="s">
        <v>277</v>
      </c>
      <c r="B105" s="217"/>
      <c r="C105" s="217"/>
      <c r="D105" s="217"/>
      <c r="E105" s="217"/>
      <c r="F105" s="217"/>
      <c r="G105" s="217"/>
      <c r="H105" s="217"/>
      <c r="I105" s="217"/>
    </row>
    <row r="106" spans="1:9" ht="15.75" customHeight="1">
      <c r="A106" s="51"/>
      <c r="B106" s="218" t="s">
        <v>278</v>
      </c>
      <c r="C106" s="218"/>
      <c r="D106" s="218"/>
      <c r="E106" s="218"/>
      <c r="F106" s="218"/>
      <c r="G106" s="218"/>
      <c r="H106" s="56"/>
      <c r="I106" s="3"/>
    </row>
    <row r="107" spans="1:9" ht="15.75" customHeight="1">
      <c r="A107" s="80"/>
      <c r="B107" s="208" t="s">
        <v>6</v>
      </c>
      <c r="C107" s="208"/>
      <c r="D107" s="208"/>
      <c r="E107" s="208"/>
      <c r="F107" s="208"/>
      <c r="G107" s="208"/>
      <c r="H107" s="24"/>
      <c r="I107" s="5"/>
    </row>
    <row r="108" spans="1:9" ht="15.75" customHeight="1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ht="15.75" customHeight="1">
      <c r="A109" s="219" t="s">
        <v>7</v>
      </c>
      <c r="B109" s="219"/>
      <c r="C109" s="219"/>
      <c r="D109" s="219"/>
      <c r="E109" s="219"/>
      <c r="F109" s="219"/>
      <c r="G109" s="219"/>
      <c r="H109" s="219"/>
      <c r="I109" s="219"/>
    </row>
    <row r="110" spans="1:9" ht="15.75" customHeight="1">
      <c r="A110" s="219" t="s">
        <v>8</v>
      </c>
      <c r="B110" s="219"/>
      <c r="C110" s="219"/>
      <c r="D110" s="219"/>
      <c r="E110" s="219"/>
      <c r="F110" s="219"/>
      <c r="G110" s="219"/>
      <c r="H110" s="219"/>
      <c r="I110" s="219"/>
    </row>
    <row r="111" spans="1:9" ht="15.75" customHeight="1">
      <c r="A111" s="212" t="s">
        <v>58</v>
      </c>
      <c r="B111" s="212"/>
      <c r="C111" s="212"/>
      <c r="D111" s="212"/>
      <c r="E111" s="212"/>
      <c r="F111" s="212"/>
      <c r="G111" s="212"/>
      <c r="H111" s="212"/>
      <c r="I111" s="212"/>
    </row>
    <row r="112" spans="1:9" ht="15.75" customHeight="1">
      <c r="A112" s="11"/>
    </row>
    <row r="113" spans="1:9" ht="15.75" customHeight="1">
      <c r="A113" s="206" t="s">
        <v>9</v>
      </c>
      <c r="B113" s="206"/>
      <c r="C113" s="206"/>
      <c r="D113" s="206"/>
      <c r="E113" s="206"/>
      <c r="F113" s="206"/>
      <c r="G113" s="206"/>
      <c r="H113" s="206"/>
      <c r="I113" s="206"/>
    </row>
    <row r="114" spans="1:9" ht="15.75" customHeight="1">
      <c r="A114" s="4"/>
    </row>
    <row r="115" spans="1:9" ht="15.75" customHeight="1">
      <c r="B115" s="81" t="s">
        <v>10</v>
      </c>
      <c r="C115" s="207" t="s">
        <v>217</v>
      </c>
      <c r="D115" s="207"/>
      <c r="E115" s="207"/>
      <c r="F115" s="54"/>
      <c r="I115" s="79"/>
    </row>
    <row r="116" spans="1:9" ht="15.75" customHeight="1">
      <c r="A116" s="80"/>
      <c r="C116" s="208" t="s">
        <v>11</v>
      </c>
      <c r="D116" s="208"/>
      <c r="E116" s="208"/>
      <c r="F116" s="24"/>
      <c r="I116" s="78" t="s">
        <v>12</v>
      </c>
    </row>
    <row r="117" spans="1:9" ht="15.75" customHeight="1">
      <c r="A117" s="25"/>
      <c r="C117" s="12"/>
      <c r="D117" s="12"/>
      <c r="G117" s="12"/>
      <c r="H117" s="12"/>
    </row>
    <row r="118" spans="1:9" ht="15.75" customHeight="1">
      <c r="B118" s="81" t="s">
        <v>13</v>
      </c>
      <c r="C118" s="209"/>
      <c r="D118" s="209"/>
      <c r="E118" s="209"/>
      <c r="F118" s="55"/>
      <c r="I118" s="79"/>
    </row>
    <row r="119" spans="1:9" ht="15.75" customHeight="1">
      <c r="A119" s="80"/>
      <c r="C119" s="210" t="s">
        <v>11</v>
      </c>
      <c r="D119" s="210"/>
      <c r="E119" s="210"/>
      <c r="F119" s="80"/>
      <c r="I119" s="78" t="s">
        <v>12</v>
      </c>
    </row>
    <row r="120" spans="1:9" ht="15.75" customHeight="1">
      <c r="A120" s="4" t="s">
        <v>14</v>
      </c>
    </row>
    <row r="121" spans="1:9" ht="15.75" customHeight="1">
      <c r="A121" s="211" t="s">
        <v>15</v>
      </c>
      <c r="B121" s="211"/>
      <c r="C121" s="211"/>
      <c r="D121" s="211"/>
      <c r="E121" s="211"/>
      <c r="F121" s="211"/>
      <c r="G121" s="211"/>
      <c r="H121" s="211"/>
      <c r="I121" s="211"/>
    </row>
    <row r="122" spans="1:9" ht="45" customHeight="1">
      <c r="A122" s="205" t="s">
        <v>16</v>
      </c>
      <c r="B122" s="205"/>
      <c r="C122" s="205"/>
      <c r="D122" s="205"/>
      <c r="E122" s="205"/>
      <c r="F122" s="205"/>
      <c r="G122" s="205"/>
      <c r="H122" s="205"/>
      <c r="I122" s="205"/>
    </row>
    <row r="123" spans="1:9" ht="30" customHeight="1">
      <c r="A123" s="205" t="s">
        <v>17</v>
      </c>
      <c r="B123" s="205"/>
      <c r="C123" s="205"/>
      <c r="D123" s="205"/>
      <c r="E123" s="205"/>
      <c r="F123" s="205"/>
      <c r="G123" s="205"/>
      <c r="H123" s="205"/>
      <c r="I123" s="205"/>
    </row>
    <row r="124" spans="1:9" ht="30" customHeight="1">
      <c r="A124" s="205" t="s">
        <v>21</v>
      </c>
      <c r="B124" s="205"/>
      <c r="C124" s="205"/>
      <c r="D124" s="205"/>
      <c r="E124" s="205"/>
      <c r="F124" s="205"/>
      <c r="G124" s="205"/>
      <c r="H124" s="205"/>
      <c r="I124" s="205"/>
    </row>
    <row r="125" spans="1:9" ht="15" customHeight="1">
      <c r="A125" s="205" t="s">
        <v>20</v>
      </c>
      <c r="B125" s="205"/>
      <c r="C125" s="205"/>
      <c r="D125" s="205"/>
      <c r="E125" s="205"/>
      <c r="F125" s="205"/>
      <c r="G125" s="205"/>
      <c r="H125" s="205"/>
      <c r="I125" s="205"/>
    </row>
  </sheetData>
  <autoFilter ref="I12:I56"/>
  <mergeCells count="29">
    <mergeCell ref="A14:I14"/>
    <mergeCell ref="A15:I15"/>
    <mergeCell ref="A26:I26"/>
    <mergeCell ref="A41:I41"/>
    <mergeCell ref="A51:I51"/>
    <mergeCell ref="A3:I3"/>
    <mergeCell ref="A4:I4"/>
    <mergeCell ref="A5:I5"/>
    <mergeCell ref="A8:I8"/>
    <mergeCell ref="A10:I10"/>
    <mergeCell ref="R60:U60"/>
    <mergeCell ref="C119:E119"/>
    <mergeCell ref="A80:I80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76:I76"/>
    <mergeCell ref="A121:I121"/>
    <mergeCell ref="A122:I122"/>
    <mergeCell ref="A123:I123"/>
    <mergeCell ref="A124:I124"/>
    <mergeCell ref="A125:I125"/>
  </mergeCells>
  <pageMargins left="0.51181102362204722" right="3.937007874015748E-2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6"/>
  <sheetViews>
    <sheetView view="pageBreakPreview" topLeftCell="A73" zoomScale="60" zoomScaleNormal="100" workbookViewId="0">
      <selection activeCell="G108" sqref="G108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2.85546875" hidden="1" customWidth="1"/>
    <col min="6" max="6" width="13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142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281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44377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218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15" hidden="1" customHeight="1">
      <c r="A16" s="29">
        <v>1</v>
      </c>
      <c r="B16" s="101" t="s">
        <v>158</v>
      </c>
      <c r="C16" s="102" t="s">
        <v>93</v>
      </c>
      <c r="D16" s="101" t="s">
        <v>159</v>
      </c>
      <c r="E16" s="123">
        <v>591.70000000000005</v>
      </c>
      <c r="F16" s="112">
        <f>SUM(E16*24/100)</f>
        <v>142.00800000000001</v>
      </c>
      <c r="G16" s="112">
        <v>322.51</v>
      </c>
      <c r="H16" s="60">
        <f t="shared" ref="H16:H24" si="0">SUM(F16*G16/1000)</f>
        <v>45.799000080000006</v>
      </c>
      <c r="I16" s="13">
        <f>F16/6*G16</f>
        <v>7633.1666800000003</v>
      </c>
      <c r="J16" s="22"/>
      <c r="K16" s="8"/>
      <c r="L16" s="8"/>
      <c r="M16" s="8"/>
    </row>
    <row r="17" spans="1:13" ht="15.75" customHeight="1">
      <c r="A17" s="29">
        <v>1</v>
      </c>
      <c r="B17" s="101" t="s">
        <v>158</v>
      </c>
      <c r="C17" s="102" t="s">
        <v>93</v>
      </c>
      <c r="D17" s="101" t="s">
        <v>185</v>
      </c>
      <c r="E17" s="123">
        <v>591.70000000000005</v>
      </c>
      <c r="F17" s="112">
        <f>SUM(E17*48/100)</f>
        <v>284.01600000000002</v>
      </c>
      <c r="G17" s="112">
        <v>322.51</v>
      </c>
      <c r="H17" s="60">
        <f t="shared" si="0"/>
        <v>91.598000160000012</v>
      </c>
      <c r="I17" s="13">
        <f>G17*F17/6</f>
        <v>15266.333360000002</v>
      </c>
      <c r="J17" s="22"/>
      <c r="K17" s="8"/>
      <c r="L17" s="8"/>
      <c r="M17" s="8"/>
    </row>
    <row r="18" spans="1:13" ht="15.75" customHeight="1">
      <c r="A18" s="29">
        <v>2</v>
      </c>
      <c r="B18" s="101" t="s">
        <v>85</v>
      </c>
      <c r="C18" s="102" t="s">
        <v>93</v>
      </c>
      <c r="D18" s="101" t="s">
        <v>190</v>
      </c>
      <c r="E18" s="123">
        <v>591.70000000000005</v>
      </c>
      <c r="F18" s="112">
        <f>SUM(E18*18/100)</f>
        <v>106.506</v>
      </c>
      <c r="G18" s="112">
        <v>723.23</v>
      </c>
      <c r="H18" s="60">
        <f t="shared" si="0"/>
        <v>77.028334380000004</v>
      </c>
      <c r="I18" s="13">
        <f>F18/18*2*G18</f>
        <v>8558.7038200000006</v>
      </c>
      <c r="J18" s="22"/>
      <c r="K18" s="8"/>
      <c r="L18" s="8"/>
      <c r="M18" s="8"/>
    </row>
    <row r="19" spans="1:13" ht="15.75" customHeight="1">
      <c r="A19" s="29">
        <v>3</v>
      </c>
      <c r="B19" s="101" t="s">
        <v>95</v>
      </c>
      <c r="C19" s="102" t="s">
        <v>96</v>
      </c>
      <c r="D19" s="101" t="s">
        <v>204</v>
      </c>
      <c r="E19" s="123">
        <v>38.4</v>
      </c>
      <c r="F19" s="112">
        <f>SUM(E19/10)</f>
        <v>3.84</v>
      </c>
      <c r="G19" s="112">
        <v>243.94</v>
      </c>
      <c r="H19" s="60">
        <f t="shared" si="0"/>
        <v>0.93672960000000005</v>
      </c>
      <c r="I19" s="13">
        <f>F19/1*G19</f>
        <v>936.7296</v>
      </c>
      <c r="J19" s="22"/>
      <c r="K19" s="8"/>
      <c r="L19" s="8"/>
      <c r="M19" s="8"/>
    </row>
    <row r="20" spans="1:13" ht="15.75" customHeight="1">
      <c r="A20" s="29">
        <v>4</v>
      </c>
      <c r="B20" s="101" t="s">
        <v>88</v>
      </c>
      <c r="C20" s="102" t="s">
        <v>93</v>
      </c>
      <c r="D20" s="101" t="s">
        <v>180</v>
      </c>
      <c r="E20" s="123">
        <v>43.2</v>
      </c>
      <c r="F20" s="112">
        <f>SUM(E20*12/100)</f>
        <v>5.1840000000000011</v>
      </c>
      <c r="G20" s="112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5</v>
      </c>
      <c r="B21" s="101" t="s">
        <v>89</v>
      </c>
      <c r="C21" s="102" t="s">
        <v>93</v>
      </c>
      <c r="D21" s="101" t="s">
        <v>180</v>
      </c>
      <c r="E21" s="123">
        <v>10.08</v>
      </c>
      <c r="F21" s="112">
        <f>SUM(E21*12/100)</f>
        <v>1.2096</v>
      </c>
      <c r="G21" s="112">
        <v>309.81</v>
      </c>
      <c r="H21" s="60">
        <f t="shared" si="0"/>
        <v>0.37474617599999999</v>
      </c>
      <c r="I21" s="13">
        <f>F21*G21/12</f>
        <v>31.228847999999999</v>
      </c>
      <c r="J21" s="197"/>
      <c r="K21" s="8"/>
      <c r="L21" s="8"/>
      <c r="M21" s="8"/>
    </row>
    <row r="22" spans="1:13" ht="15.75" hidden="1" customHeight="1">
      <c r="A22" s="29">
        <v>6</v>
      </c>
      <c r="B22" s="101" t="s">
        <v>98</v>
      </c>
      <c r="C22" s="102" t="s">
        <v>50</v>
      </c>
      <c r="D22" s="101" t="s">
        <v>187</v>
      </c>
      <c r="E22" s="123">
        <v>462.7</v>
      </c>
      <c r="F22" s="112">
        <f>SUM(E22/100)</f>
        <v>4.6269999999999998</v>
      </c>
      <c r="G22" s="112">
        <v>386</v>
      </c>
      <c r="H22" s="60">
        <f t="shared" si="0"/>
        <v>1.786022</v>
      </c>
      <c r="I22" s="13">
        <f t="shared" ref="I22:I23" si="1">F22*G22</f>
        <v>1786.0219999999999</v>
      </c>
      <c r="J22" s="22"/>
      <c r="K22" s="8"/>
      <c r="L22" s="8"/>
      <c r="M22" s="8"/>
    </row>
    <row r="23" spans="1:13" ht="15.75" hidden="1" customHeight="1">
      <c r="A23" s="29">
        <v>7</v>
      </c>
      <c r="B23" s="101" t="s">
        <v>99</v>
      </c>
      <c r="C23" s="102" t="s">
        <v>50</v>
      </c>
      <c r="D23" s="101" t="s">
        <v>204</v>
      </c>
      <c r="E23" s="150">
        <v>70.56</v>
      </c>
      <c r="F23" s="112">
        <f>SUM(E23/100)</f>
        <v>0.7056</v>
      </c>
      <c r="G23" s="112">
        <v>63.49</v>
      </c>
      <c r="H23" s="60">
        <f t="shared" si="0"/>
        <v>4.4798544000000003E-2</v>
      </c>
      <c r="I23" s="13">
        <f t="shared" si="1"/>
        <v>44.798544</v>
      </c>
      <c r="J23" s="22"/>
      <c r="K23" s="8"/>
      <c r="L23" s="8"/>
      <c r="M23" s="8"/>
    </row>
    <row r="24" spans="1:13" ht="15.75" hidden="1" customHeight="1">
      <c r="A24" s="29">
        <v>8</v>
      </c>
      <c r="B24" s="101" t="s">
        <v>161</v>
      </c>
      <c r="C24" s="102" t="s">
        <v>50</v>
      </c>
      <c r="D24" s="124" t="s">
        <v>180</v>
      </c>
      <c r="E24" s="17">
        <v>23.63</v>
      </c>
      <c r="F24" s="125">
        <f>E24*1/100</f>
        <v>0.23629999999999998</v>
      </c>
      <c r="G24" s="112">
        <v>309.81</v>
      </c>
      <c r="H24" s="60">
        <f t="shared" si="0"/>
        <v>7.3208102999999997E-2</v>
      </c>
      <c r="I24" s="13">
        <f>F24/1*G24</f>
        <v>73.208102999999994</v>
      </c>
      <c r="J24" s="23"/>
    </row>
    <row r="25" spans="1:13" ht="15.75" hidden="1" customHeight="1">
      <c r="A25" s="29">
        <v>9</v>
      </c>
      <c r="B25" s="101" t="s">
        <v>92</v>
      </c>
      <c r="C25" s="102" t="s">
        <v>50</v>
      </c>
      <c r="D25" s="101" t="s">
        <v>187</v>
      </c>
      <c r="E25" s="140">
        <v>28.22</v>
      </c>
      <c r="F25" s="112">
        <f>SUM(E25/100)</f>
        <v>0.28220000000000001</v>
      </c>
      <c r="G25" s="112">
        <v>746.6</v>
      </c>
      <c r="H25" s="179"/>
      <c r="I25" s="13">
        <f>G25*F25/1</f>
        <v>210.69052000000002</v>
      </c>
      <c r="J25" s="23"/>
    </row>
    <row r="26" spans="1:13" ht="15.75" hidden="1" customHeight="1">
      <c r="A26" s="29">
        <v>10</v>
      </c>
      <c r="B26" s="101" t="s">
        <v>162</v>
      </c>
      <c r="C26" s="102" t="s">
        <v>32</v>
      </c>
      <c r="D26" s="101" t="s">
        <v>181</v>
      </c>
      <c r="E26" s="126">
        <v>0.2</v>
      </c>
      <c r="F26" s="112">
        <f>E26*155</f>
        <v>31</v>
      </c>
      <c r="G26" s="112">
        <v>370.77</v>
      </c>
      <c r="H26" s="60">
        <f t="shared" ref="H26" si="2">SUM(F26*G26/1000)</f>
        <v>11.493869999999999</v>
      </c>
      <c r="I26" s="13">
        <f>G26*F26/12</f>
        <v>957.82249999999988</v>
      </c>
      <c r="J26" s="23"/>
    </row>
    <row r="27" spans="1:13" ht="15.75" customHeight="1">
      <c r="A27" s="213" t="s">
        <v>78</v>
      </c>
      <c r="B27" s="213"/>
      <c r="C27" s="213"/>
      <c r="D27" s="213"/>
      <c r="E27" s="213"/>
      <c r="F27" s="213"/>
      <c r="G27" s="213"/>
      <c r="H27" s="213"/>
      <c r="I27" s="213"/>
      <c r="J27" s="22"/>
      <c r="K27" s="8"/>
      <c r="L27" s="8"/>
      <c r="M27" s="8"/>
    </row>
    <row r="28" spans="1:13" ht="15.75" customHeight="1">
      <c r="A28" s="29"/>
      <c r="B28" s="76" t="s">
        <v>28</v>
      </c>
      <c r="C28" s="58"/>
      <c r="D28" s="57"/>
      <c r="E28" s="45"/>
      <c r="F28" s="59"/>
      <c r="G28" s="59"/>
      <c r="H28" s="60"/>
      <c r="I28" s="13"/>
      <c r="J28" s="22"/>
      <c r="K28" s="8"/>
      <c r="L28" s="8"/>
      <c r="M28" s="8"/>
    </row>
    <row r="29" spans="1:13" ht="15.75" customHeight="1">
      <c r="A29" s="29">
        <v>6</v>
      </c>
      <c r="B29" s="101" t="s">
        <v>100</v>
      </c>
      <c r="C29" s="102" t="s">
        <v>101</v>
      </c>
      <c r="D29" s="101" t="s">
        <v>179</v>
      </c>
      <c r="E29" s="112">
        <v>360.3</v>
      </c>
      <c r="F29" s="112">
        <f>SUM(E29*24/1000)</f>
        <v>8.6472000000000016</v>
      </c>
      <c r="G29" s="112">
        <v>223.46</v>
      </c>
      <c r="H29" s="60">
        <f t="shared" ref="H29:H35" si="3">SUM(F29*G29/1000)</f>
        <v>1.9323033120000004</v>
      </c>
      <c r="I29" s="13">
        <f>F29/6*G29</f>
        <v>322.0505520000001</v>
      </c>
      <c r="J29" s="22"/>
      <c r="K29" s="8"/>
      <c r="L29" s="8"/>
      <c r="M29" s="8"/>
    </row>
    <row r="30" spans="1:13" ht="31.5" customHeight="1">
      <c r="A30" s="29">
        <v>7</v>
      </c>
      <c r="B30" s="101" t="s">
        <v>126</v>
      </c>
      <c r="C30" s="102" t="s">
        <v>101</v>
      </c>
      <c r="D30" s="101" t="s">
        <v>179</v>
      </c>
      <c r="E30" s="112">
        <v>202.36</v>
      </c>
      <c r="F30" s="112">
        <f>SUM(E30*24/1000)</f>
        <v>4.8566400000000005</v>
      </c>
      <c r="G30" s="112">
        <v>370.77</v>
      </c>
      <c r="H30" s="60">
        <f t="shared" si="3"/>
        <v>1.8006964128000003</v>
      </c>
      <c r="I30" s="13">
        <f t="shared" ref="I30:I33" si="4">F30/6*G30</f>
        <v>300.11606879999999</v>
      </c>
      <c r="J30" s="22"/>
      <c r="K30" s="8"/>
      <c r="L30" s="8"/>
      <c r="M30" s="8"/>
    </row>
    <row r="31" spans="1:13" ht="15.75" hidden="1" customHeight="1">
      <c r="A31" s="29">
        <v>14</v>
      </c>
      <c r="B31" s="101" t="s">
        <v>130</v>
      </c>
      <c r="C31" s="102" t="s">
        <v>101</v>
      </c>
      <c r="D31" s="101" t="s">
        <v>82</v>
      </c>
      <c r="E31" s="123">
        <v>143.20000000000002</v>
      </c>
      <c r="F31" s="112">
        <v>0</v>
      </c>
      <c r="G31" s="112">
        <v>293.27999999999997</v>
      </c>
      <c r="H31" s="60">
        <f t="shared" si="3"/>
        <v>0</v>
      </c>
      <c r="I31" s="13">
        <f>F31*G31</f>
        <v>0</v>
      </c>
      <c r="J31" s="22"/>
      <c r="K31" s="8"/>
      <c r="L31" s="8"/>
      <c r="M31" s="8"/>
    </row>
    <row r="32" spans="1:13" ht="15.75" hidden="1" customHeight="1">
      <c r="A32" s="29">
        <v>10</v>
      </c>
      <c r="B32" s="101" t="s">
        <v>27</v>
      </c>
      <c r="C32" s="102" t="s">
        <v>101</v>
      </c>
      <c r="D32" s="101" t="s">
        <v>51</v>
      </c>
      <c r="E32" s="112">
        <v>360.3</v>
      </c>
      <c r="F32" s="112">
        <f>SUM(E32/1000)</f>
        <v>0.36030000000000001</v>
      </c>
      <c r="G32" s="112">
        <v>4329.78</v>
      </c>
      <c r="H32" s="60">
        <f t="shared" si="3"/>
        <v>1.5600197339999999</v>
      </c>
      <c r="I32" s="13">
        <f t="shared" si="4"/>
        <v>260.003289</v>
      </c>
      <c r="J32" s="22"/>
      <c r="K32" s="8"/>
      <c r="L32" s="8"/>
      <c r="M32" s="8"/>
    </row>
    <row r="33" spans="1:14" ht="15.75" customHeight="1">
      <c r="A33" s="29">
        <v>8</v>
      </c>
      <c r="B33" s="101" t="s">
        <v>104</v>
      </c>
      <c r="C33" s="102" t="s">
        <v>38</v>
      </c>
      <c r="D33" s="101" t="s">
        <v>185</v>
      </c>
      <c r="E33" s="112">
        <v>6</v>
      </c>
      <c r="F33" s="112">
        <f>SUM(E33*48/100)</f>
        <v>2.88</v>
      </c>
      <c r="G33" s="112">
        <v>1866.51</v>
      </c>
      <c r="H33" s="60">
        <f t="shared" si="3"/>
        <v>5.3755487999999998</v>
      </c>
      <c r="I33" s="13">
        <f t="shared" si="4"/>
        <v>895.9248</v>
      </c>
      <c r="J33" s="22"/>
      <c r="K33" s="8"/>
    </row>
    <row r="34" spans="1:14" ht="15.75" hidden="1" customHeight="1">
      <c r="A34" s="29"/>
      <c r="B34" s="57" t="s">
        <v>61</v>
      </c>
      <c r="C34" s="58" t="s">
        <v>32</v>
      </c>
      <c r="D34" s="57" t="s">
        <v>63</v>
      </c>
      <c r="E34" s="45"/>
      <c r="F34" s="59">
        <v>4</v>
      </c>
      <c r="G34" s="59">
        <v>191.32</v>
      </c>
      <c r="H34" s="60">
        <f t="shared" si="3"/>
        <v>0.76527999999999996</v>
      </c>
      <c r="I34" s="13">
        <v>0</v>
      </c>
      <c r="J34" s="23"/>
    </row>
    <row r="35" spans="1:14" ht="15.75" hidden="1" customHeight="1">
      <c r="A35" s="29"/>
      <c r="B35" s="57" t="s">
        <v>62</v>
      </c>
      <c r="C35" s="58" t="s">
        <v>31</v>
      </c>
      <c r="D35" s="57" t="s">
        <v>63</v>
      </c>
      <c r="E35" s="45"/>
      <c r="F35" s="59">
        <v>3</v>
      </c>
      <c r="G35" s="59">
        <v>1136.33</v>
      </c>
      <c r="H35" s="60">
        <f t="shared" si="3"/>
        <v>3.4089899999999997</v>
      </c>
      <c r="I35" s="13">
        <v>0</v>
      </c>
      <c r="J35" s="23"/>
    </row>
    <row r="36" spans="1:14" ht="15.75" hidden="1" customHeight="1">
      <c r="A36" s="29"/>
      <c r="B36" s="76" t="s">
        <v>5</v>
      </c>
      <c r="C36" s="58"/>
      <c r="D36" s="57"/>
      <c r="E36" s="45"/>
      <c r="F36" s="59"/>
      <c r="G36" s="59"/>
      <c r="H36" s="60" t="s">
        <v>118</v>
      </c>
      <c r="I36" s="13"/>
      <c r="J36" s="23"/>
    </row>
    <row r="37" spans="1:14" ht="15.75" hidden="1" customHeight="1">
      <c r="A37" s="29">
        <v>8</v>
      </c>
      <c r="B37" s="57" t="s">
        <v>26</v>
      </c>
      <c r="C37" s="58" t="s">
        <v>31</v>
      </c>
      <c r="D37" s="57"/>
      <c r="E37" s="45"/>
      <c r="F37" s="59">
        <v>20</v>
      </c>
      <c r="G37" s="59">
        <v>1527.22</v>
      </c>
      <c r="H37" s="60">
        <f t="shared" ref="H37:H43" si="5">SUM(F37*G37/1000)</f>
        <v>30.544400000000003</v>
      </c>
      <c r="I37" s="13">
        <f>F37/6*G37</f>
        <v>5090.7333333333336</v>
      </c>
      <c r="J37" s="23"/>
    </row>
    <row r="38" spans="1:14" ht="15.75" hidden="1" customHeight="1">
      <c r="A38" s="29">
        <v>9</v>
      </c>
      <c r="B38" s="57" t="s">
        <v>64</v>
      </c>
      <c r="C38" s="58" t="s">
        <v>29</v>
      </c>
      <c r="D38" s="57" t="s">
        <v>131</v>
      </c>
      <c r="E38" s="59">
        <v>632.4</v>
      </c>
      <c r="F38" s="59">
        <f>SUM(E38*50/1000)</f>
        <v>31.62</v>
      </c>
      <c r="G38" s="59">
        <v>2102.71</v>
      </c>
      <c r="H38" s="60">
        <f t="shared" si="5"/>
        <v>66.487690200000003</v>
      </c>
      <c r="I38" s="13">
        <f>F38/6*G38</f>
        <v>11081.281700000001</v>
      </c>
      <c r="J38" s="23"/>
      <c r="L38" s="19"/>
      <c r="M38" s="20"/>
      <c r="N38" s="21"/>
    </row>
    <row r="39" spans="1:14" ht="15.75" hidden="1" customHeight="1">
      <c r="A39" s="29"/>
      <c r="B39" s="57" t="s">
        <v>86</v>
      </c>
      <c r="C39" s="58" t="s">
        <v>106</v>
      </c>
      <c r="D39" s="57" t="s">
        <v>63</v>
      </c>
      <c r="E39" s="45"/>
      <c r="F39" s="59">
        <v>30</v>
      </c>
      <c r="G39" s="59">
        <v>213.2</v>
      </c>
      <c r="H39" s="60">
        <f t="shared" si="5"/>
        <v>6.3959999999999999</v>
      </c>
      <c r="I39" s="13">
        <f>0</f>
        <v>0</v>
      </c>
      <c r="J39" s="23"/>
      <c r="L39" s="19"/>
      <c r="M39" s="20"/>
      <c r="N39" s="21"/>
    </row>
    <row r="40" spans="1:14" ht="15.75" hidden="1" customHeight="1">
      <c r="A40" s="29">
        <v>10</v>
      </c>
      <c r="B40" s="57" t="s">
        <v>65</v>
      </c>
      <c r="C40" s="58" t="s">
        <v>29</v>
      </c>
      <c r="D40" s="57" t="s">
        <v>107</v>
      </c>
      <c r="E40" s="59">
        <v>106</v>
      </c>
      <c r="F40" s="59">
        <f>SUM(E40*155/1000)</f>
        <v>16.43</v>
      </c>
      <c r="G40" s="59">
        <v>350.75</v>
      </c>
      <c r="H40" s="60">
        <f t="shared" si="5"/>
        <v>5.7628225000000004</v>
      </c>
      <c r="I40" s="13">
        <f>F40/6*G40</f>
        <v>960.47041666666667</v>
      </c>
      <c r="J40" s="23"/>
      <c r="L40" s="19"/>
      <c r="M40" s="20"/>
      <c r="N40" s="21"/>
    </row>
    <row r="41" spans="1:14" ht="47.25" hidden="1" customHeight="1">
      <c r="A41" s="29">
        <v>11</v>
      </c>
      <c r="B41" s="57" t="s">
        <v>76</v>
      </c>
      <c r="C41" s="58" t="s">
        <v>101</v>
      </c>
      <c r="D41" s="57" t="s">
        <v>132</v>
      </c>
      <c r="E41" s="59">
        <v>106</v>
      </c>
      <c r="F41" s="59">
        <f>SUM(E41*70/1000)</f>
        <v>7.42</v>
      </c>
      <c r="G41" s="59">
        <v>5803.28</v>
      </c>
      <c r="H41" s="60">
        <f t="shared" si="5"/>
        <v>43.060337599999997</v>
      </c>
      <c r="I41" s="13">
        <f>F41/6*G41</f>
        <v>7176.7229333333325</v>
      </c>
      <c r="J41" s="23"/>
      <c r="L41" s="19"/>
      <c r="M41" s="20"/>
      <c r="N41" s="21"/>
    </row>
    <row r="42" spans="1:14" ht="15.75" hidden="1" customHeight="1">
      <c r="A42" s="29">
        <v>12</v>
      </c>
      <c r="B42" s="57" t="s">
        <v>108</v>
      </c>
      <c r="C42" s="58" t="s">
        <v>101</v>
      </c>
      <c r="D42" s="57" t="s">
        <v>66</v>
      </c>
      <c r="E42" s="59">
        <v>106</v>
      </c>
      <c r="F42" s="59">
        <f>SUM(E42*45/1000)</f>
        <v>4.7699999999999996</v>
      </c>
      <c r="G42" s="59">
        <v>428.7</v>
      </c>
      <c r="H42" s="60">
        <f t="shared" si="5"/>
        <v>2.0448989999999996</v>
      </c>
      <c r="I42" s="13">
        <f>F42/6*G42</f>
        <v>340.81649999999996</v>
      </c>
      <c r="J42" s="23"/>
      <c r="L42" s="19"/>
      <c r="M42" s="20"/>
      <c r="N42" s="21"/>
    </row>
    <row r="43" spans="1:14" ht="15.75" hidden="1" customHeight="1">
      <c r="A43" s="120">
        <v>13</v>
      </c>
      <c r="B43" s="67" t="s">
        <v>67</v>
      </c>
      <c r="C43" s="66" t="s">
        <v>32</v>
      </c>
      <c r="D43" s="67"/>
      <c r="E43" s="68"/>
      <c r="F43" s="69">
        <v>0.9</v>
      </c>
      <c r="G43" s="69">
        <v>798</v>
      </c>
      <c r="H43" s="70">
        <f t="shared" si="5"/>
        <v>0.71820000000000006</v>
      </c>
      <c r="I43" s="109">
        <f>F43/6*G43</f>
        <v>119.69999999999999</v>
      </c>
      <c r="J43" s="23"/>
      <c r="L43" s="19"/>
      <c r="M43" s="20"/>
      <c r="N43" s="21"/>
    </row>
    <row r="44" spans="1:14" ht="15.75" hidden="1" customHeight="1">
      <c r="A44" s="29">
        <v>8</v>
      </c>
      <c r="B44" s="101" t="s">
        <v>162</v>
      </c>
      <c r="C44" s="102" t="s">
        <v>32</v>
      </c>
      <c r="D44" s="101" t="s">
        <v>181</v>
      </c>
      <c r="E44" s="126">
        <v>0.2</v>
      </c>
      <c r="F44" s="112">
        <f>E44*155</f>
        <v>31</v>
      </c>
      <c r="G44" s="112">
        <v>370.77</v>
      </c>
      <c r="H44" s="60">
        <f t="shared" ref="H44" si="6">SUM(F44*G44/1000)</f>
        <v>11.493869999999999</v>
      </c>
      <c r="I44" s="13">
        <f>G44*F44/12</f>
        <v>957.82249999999988</v>
      </c>
      <c r="J44" s="23"/>
      <c r="L44" s="19"/>
      <c r="M44" s="20"/>
      <c r="N44" s="21"/>
    </row>
    <row r="45" spans="1:14" ht="15.75" hidden="1" customHeight="1">
      <c r="A45" s="214" t="s">
        <v>121</v>
      </c>
      <c r="B45" s="215"/>
      <c r="C45" s="215"/>
      <c r="D45" s="215"/>
      <c r="E45" s="215"/>
      <c r="F45" s="215"/>
      <c r="G45" s="215"/>
      <c r="H45" s="215"/>
      <c r="I45" s="216"/>
      <c r="J45" s="23"/>
      <c r="L45" s="19"/>
      <c r="M45" s="20"/>
      <c r="N45" s="21"/>
    </row>
    <row r="46" spans="1:14" ht="15.75" hidden="1" customHeight="1">
      <c r="A46" s="29">
        <v>17</v>
      </c>
      <c r="B46" s="57" t="s">
        <v>133</v>
      </c>
      <c r="C46" s="58" t="s">
        <v>101</v>
      </c>
      <c r="D46" s="57" t="s">
        <v>40</v>
      </c>
      <c r="E46" s="45">
        <v>1150.5999999999999</v>
      </c>
      <c r="F46" s="59">
        <f>SUM(E46*2/1000)</f>
        <v>2.3011999999999997</v>
      </c>
      <c r="G46" s="13">
        <v>849.49</v>
      </c>
      <c r="H46" s="60">
        <f t="shared" ref="H46:H54" si="7">SUM(F46*G46/1000)</f>
        <v>1.9548463879999998</v>
      </c>
      <c r="I46" s="13">
        <f t="shared" ref="I46:I48" si="8">F46/2*G46</f>
        <v>977.42319399999985</v>
      </c>
      <c r="J46" s="23"/>
      <c r="L46" s="19"/>
      <c r="M46" s="20"/>
      <c r="N46" s="21"/>
    </row>
    <row r="47" spans="1:14" ht="15.75" hidden="1" customHeight="1">
      <c r="A47" s="29">
        <v>18</v>
      </c>
      <c r="B47" s="57" t="s">
        <v>33</v>
      </c>
      <c r="C47" s="58" t="s">
        <v>101</v>
      </c>
      <c r="D47" s="57" t="s">
        <v>40</v>
      </c>
      <c r="E47" s="45">
        <v>108.96</v>
      </c>
      <c r="F47" s="59">
        <f>SUM(E47*2/1000)</f>
        <v>0.21791999999999997</v>
      </c>
      <c r="G47" s="13">
        <v>579.48</v>
      </c>
      <c r="H47" s="60">
        <f t="shared" si="7"/>
        <v>0.12628028159999999</v>
      </c>
      <c r="I47" s="13">
        <f t="shared" si="8"/>
        <v>63.140140799999998</v>
      </c>
      <c r="J47" s="23"/>
      <c r="L47" s="19"/>
      <c r="M47" s="20"/>
      <c r="N47" s="21"/>
    </row>
    <row r="48" spans="1:14" ht="15.75" hidden="1" customHeight="1">
      <c r="A48" s="29">
        <v>19</v>
      </c>
      <c r="B48" s="57" t="s">
        <v>34</v>
      </c>
      <c r="C48" s="58" t="s">
        <v>101</v>
      </c>
      <c r="D48" s="57" t="s">
        <v>40</v>
      </c>
      <c r="E48" s="45">
        <v>4224.3999999999996</v>
      </c>
      <c r="F48" s="59">
        <f>SUM(E48*2/1000)</f>
        <v>8.4487999999999985</v>
      </c>
      <c r="G48" s="13">
        <v>579.48</v>
      </c>
      <c r="H48" s="60">
        <f t="shared" si="7"/>
        <v>4.895910623999999</v>
      </c>
      <c r="I48" s="13">
        <f t="shared" si="8"/>
        <v>2447.9553119999996</v>
      </c>
      <c r="J48" s="23"/>
      <c r="L48" s="19"/>
      <c r="M48" s="20"/>
      <c r="N48" s="21"/>
    </row>
    <row r="49" spans="1:22" ht="15.75" hidden="1" customHeight="1">
      <c r="A49" s="29">
        <v>20</v>
      </c>
      <c r="B49" s="57" t="s">
        <v>35</v>
      </c>
      <c r="C49" s="58" t="s">
        <v>101</v>
      </c>
      <c r="D49" s="57" t="s">
        <v>40</v>
      </c>
      <c r="E49" s="45">
        <v>3059.7</v>
      </c>
      <c r="F49" s="59">
        <f>SUM(E49*2/1000)</f>
        <v>6.1193999999999997</v>
      </c>
      <c r="G49" s="13">
        <v>606.77</v>
      </c>
      <c r="H49" s="60">
        <f t="shared" si="7"/>
        <v>3.7130683379999998</v>
      </c>
      <c r="I49" s="13">
        <f>F49/2*G49</f>
        <v>1856.5341689999998</v>
      </c>
      <c r="J49" s="23"/>
      <c r="L49" s="19"/>
      <c r="M49" s="20"/>
      <c r="N49" s="21"/>
    </row>
    <row r="50" spans="1:22" ht="15.75" hidden="1" customHeight="1">
      <c r="A50" s="29">
        <v>21</v>
      </c>
      <c r="B50" s="57" t="s">
        <v>53</v>
      </c>
      <c r="C50" s="58" t="s">
        <v>101</v>
      </c>
      <c r="D50" s="57" t="s">
        <v>127</v>
      </c>
      <c r="E50" s="45">
        <v>1150.5999999999999</v>
      </c>
      <c r="F50" s="59">
        <f>SUM(E50*5/1000)</f>
        <v>5.7530000000000001</v>
      </c>
      <c r="G50" s="13">
        <v>1213.55</v>
      </c>
      <c r="H50" s="60">
        <f t="shared" si="7"/>
        <v>6.9815531499999999</v>
      </c>
      <c r="I50" s="13">
        <f>F50/5*G50</f>
        <v>1396.3106299999999</v>
      </c>
      <c r="J50" s="23"/>
      <c r="L50" s="19"/>
      <c r="M50" s="20"/>
      <c r="N50" s="21"/>
    </row>
    <row r="51" spans="1:22" ht="31.5" hidden="1" customHeight="1">
      <c r="A51" s="29">
        <v>14</v>
      </c>
      <c r="B51" s="57" t="s">
        <v>109</v>
      </c>
      <c r="C51" s="58" t="s">
        <v>101</v>
      </c>
      <c r="D51" s="57" t="s">
        <v>40</v>
      </c>
      <c r="E51" s="45">
        <v>1150.5999999999999</v>
      </c>
      <c r="F51" s="59">
        <f>SUM(E51*2/1000)</f>
        <v>2.3011999999999997</v>
      </c>
      <c r="G51" s="13">
        <v>1213.55</v>
      </c>
      <c r="H51" s="60">
        <f t="shared" si="7"/>
        <v>2.7926212599999993</v>
      </c>
      <c r="I51" s="13">
        <f>F51/2*G51</f>
        <v>1396.3106299999997</v>
      </c>
      <c r="J51" s="23"/>
      <c r="L51" s="19"/>
      <c r="M51" s="20"/>
      <c r="N51" s="21"/>
    </row>
    <row r="52" spans="1:22" ht="31.5" hidden="1" customHeight="1">
      <c r="A52" s="29">
        <v>15</v>
      </c>
      <c r="B52" s="57" t="s">
        <v>110</v>
      </c>
      <c r="C52" s="58" t="s">
        <v>36</v>
      </c>
      <c r="D52" s="57" t="s">
        <v>40</v>
      </c>
      <c r="E52" s="45">
        <v>30</v>
      </c>
      <c r="F52" s="59">
        <f>SUM(E52*2/100)</f>
        <v>0.6</v>
      </c>
      <c r="G52" s="13">
        <v>2730.49</v>
      </c>
      <c r="H52" s="60">
        <f t="shared" si="7"/>
        <v>1.6382939999999999</v>
      </c>
      <c r="I52" s="13">
        <f>F52/2*G52</f>
        <v>819.14699999999993</v>
      </c>
      <c r="J52" s="23"/>
      <c r="L52" s="19"/>
      <c r="M52" s="20"/>
      <c r="N52" s="21"/>
    </row>
    <row r="53" spans="1:22" ht="15.75" hidden="1" customHeight="1">
      <c r="A53" s="29">
        <v>14</v>
      </c>
      <c r="B53" s="57" t="s">
        <v>37</v>
      </c>
      <c r="C53" s="58" t="s">
        <v>38</v>
      </c>
      <c r="D53" s="57" t="s">
        <v>40</v>
      </c>
      <c r="E53" s="45">
        <v>1</v>
      </c>
      <c r="F53" s="59">
        <v>0.02</v>
      </c>
      <c r="G53" s="13">
        <v>5652.13</v>
      </c>
      <c r="H53" s="60">
        <f t="shared" si="7"/>
        <v>0.11304260000000001</v>
      </c>
      <c r="I53" s="13">
        <f>F53/2*G53</f>
        <v>56.521300000000004</v>
      </c>
      <c r="J53" s="23"/>
      <c r="L53" s="19"/>
      <c r="M53" s="20"/>
      <c r="N53" s="21"/>
    </row>
    <row r="54" spans="1:22" ht="15.75" hidden="1" customHeight="1">
      <c r="A54" s="29">
        <v>12</v>
      </c>
      <c r="B54" s="57" t="s">
        <v>39</v>
      </c>
      <c r="C54" s="58" t="s">
        <v>111</v>
      </c>
      <c r="D54" s="57" t="s">
        <v>68</v>
      </c>
      <c r="E54" s="45">
        <v>158</v>
      </c>
      <c r="F54" s="59">
        <f>SUM(E54)*3</f>
        <v>474</v>
      </c>
      <c r="G54" s="13">
        <v>65.67</v>
      </c>
      <c r="H54" s="60">
        <f t="shared" si="7"/>
        <v>31.127580000000002</v>
      </c>
      <c r="I54" s="13">
        <f>E54*G54</f>
        <v>10375.86</v>
      </c>
      <c r="J54" s="23"/>
      <c r="L54" s="19"/>
      <c r="M54" s="20"/>
      <c r="N54" s="21"/>
    </row>
    <row r="55" spans="1:22" ht="15.75" customHeight="1">
      <c r="A55" s="214" t="s">
        <v>144</v>
      </c>
      <c r="B55" s="215"/>
      <c r="C55" s="215"/>
      <c r="D55" s="215"/>
      <c r="E55" s="215"/>
      <c r="F55" s="215"/>
      <c r="G55" s="215"/>
      <c r="H55" s="215"/>
      <c r="I55" s="216"/>
      <c r="J55" s="23"/>
      <c r="L55" s="19"/>
      <c r="M55" s="20"/>
      <c r="N55" s="21"/>
    </row>
    <row r="56" spans="1:22" ht="15.75" hidden="1" customHeight="1">
      <c r="A56" s="29"/>
      <c r="B56" s="76" t="s">
        <v>41</v>
      </c>
      <c r="C56" s="58"/>
      <c r="D56" s="57"/>
      <c r="E56" s="45"/>
      <c r="F56" s="59"/>
      <c r="G56" s="59"/>
      <c r="H56" s="60"/>
      <c r="I56" s="13"/>
      <c r="J56" s="23"/>
      <c r="L56" s="19"/>
      <c r="M56" s="20"/>
      <c r="N56" s="21"/>
    </row>
    <row r="57" spans="1:22" ht="31.5" hidden="1" customHeight="1">
      <c r="A57" s="29">
        <v>16</v>
      </c>
      <c r="B57" s="57" t="s">
        <v>135</v>
      </c>
      <c r="C57" s="58" t="s">
        <v>93</v>
      </c>
      <c r="D57" s="57" t="s">
        <v>136</v>
      </c>
      <c r="E57" s="85">
        <v>6</v>
      </c>
      <c r="F57" s="13">
        <f>E57*8/100</f>
        <v>0.48</v>
      </c>
      <c r="G57" s="59">
        <v>1547.28</v>
      </c>
      <c r="H57" s="60">
        <f>SUM(F57*G57/1000)</f>
        <v>0.74269439999999998</v>
      </c>
      <c r="I57" s="13">
        <f>F57/6*G57</f>
        <v>123.7824</v>
      </c>
      <c r="J57" s="23"/>
      <c r="L57" s="19"/>
      <c r="M57" s="20"/>
      <c r="N57" s="21"/>
    </row>
    <row r="58" spans="1:22" ht="15.75" hidden="1" customHeight="1">
      <c r="A58" s="86"/>
      <c r="B58" s="57" t="s">
        <v>90</v>
      </c>
      <c r="C58" s="58" t="s">
        <v>91</v>
      </c>
      <c r="D58" s="57" t="s">
        <v>40</v>
      </c>
      <c r="E58" s="45">
        <v>6</v>
      </c>
      <c r="F58" s="59">
        <v>12</v>
      </c>
      <c r="G58" s="65">
        <v>180.78</v>
      </c>
      <c r="H58" s="60">
        <f t="shared" ref="H58" si="9">SUM(F58*G58/1000)</f>
        <v>2.1693600000000002</v>
      </c>
      <c r="I58" s="13">
        <v>0</v>
      </c>
      <c r="J58" s="23"/>
      <c r="L58" s="19"/>
      <c r="M58" s="20"/>
      <c r="N58" s="21"/>
    </row>
    <row r="59" spans="1:22" ht="15.75" customHeight="1">
      <c r="A59" s="29"/>
      <c r="B59" s="77" t="s">
        <v>42</v>
      </c>
      <c r="C59" s="66"/>
      <c r="D59" s="67"/>
      <c r="E59" s="68"/>
      <c r="F59" s="70"/>
      <c r="G59" s="13"/>
      <c r="H59" s="71"/>
      <c r="I59" s="13"/>
      <c r="J59" s="23"/>
      <c r="L59" s="19"/>
      <c r="M59" s="20"/>
      <c r="N59" s="21"/>
    </row>
    <row r="60" spans="1:22" ht="15.75" customHeight="1">
      <c r="A60" s="29">
        <v>9</v>
      </c>
      <c r="B60" s="67" t="s">
        <v>87</v>
      </c>
      <c r="C60" s="66" t="s">
        <v>25</v>
      </c>
      <c r="D60" s="67"/>
      <c r="E60" s="68">
        <v>232.6</v>
      </c>
      <c r="F60" s="69">
        <v>2400</v>
      </c>
      <c r="G60" s="87">
        <v>1.4</v>
      </c>
      <c r="H60" s="70">
        <f>G60*F60</f>
        <v>3360</v>
      </c>
      <c r="I60" s="13">
        <f>F60/12*G60</f>
        <v>280</v>
      </c>
      <c r="J60" s="23"/>
      <c r="L60" s="19"/>
    </row>
    <row r="61" spans="1:22" ht="15.75" hidden="1" customHeight="1">
      <c r="A61" s="29">
        <v>10</v>
      </c>
      <c r="B61" s="103" t="s">
        <v>177</v>
      </c>
      <c r="C61" s="104" t="s">
        <v>50</v>
      </c>
      <c r="D61" s="103" t="s">
        <v>180</v>
      </c>
      <c r="E61" s="105">
        <v>200</v>
      </c>
      <c r="F61" s="108">
        <f>E61*1/100</f>
        <v>2</v>
      </c>
      <c r="G61" s="98">
        <v>1137.68</v>
      </c>
      <c r="H61" s="70"/>
      <c r="I61" s="13">
        <f>G61*2</f>
        <v>2275.36</v>
      </c>
      <c r="J61" s="23"/>
      <c r="L61" s="19"/>
    </row>
    <row r="62" spans="1:22" ht="17.25" customHeight="1">
      <c r="A62" s="29"/>
      <c r="B62" s="77" t="s">
        <v>43</v>
      </c>
      <c r="C62" s="66"/>
      <c r="D62" s="67"/>
      <c r="E62" s="68"/>
      <c r="F62" s="69"/>
      <c r="G62" s="69"/>
      <c r="H62" s="70" t="s">
        <v>118</v>
      </c>
      <c r="I62" s="1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9"/>
    </row>
    <row r="63" spans="1:22" ht="18.75" hidden="1" customHeight="1">
      <c r="A63" s="29">
        <v>15</v>
      </c>
      <c r="B63" s="152" t="s">
        <v>44</v>
      </c>
      <c r="C63" s="113" t="s">
        <v>111</v>
      </c>
      <c r="D63" s="100" t="s">
        <v>179</v>
      </c>
      <c r="E63" s="17">
        <v>18</v>
      </c>
      <c r="F63" s="112">
        <f>E63*1</f>
        <v>18</v>
      </c>
      <c r="G63" s="98">
        <v>318.82</v>
      </c>
      <c r="H63" s="72">
        <f t="shared" ref="H63:H70" si="10">SUM(F63*G63/1000)</f>
        <v>5.7387600000000001</v>
      </c>
      <c r="I63" s="13">
        <f>G63*4</f>
        <v>1275.28</v>
      </c>
      <c r="J63" s="25"/>
      <c r="K63" s="25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2" ht="25.5" hidden="1" customHeight="1">
      <c r="A64" s="29"/>
      <c r="B64" s="14" t="s">
        <v>45</v>
      </c>
      <c r="C64" s="16" t="s">
        <v>111</v>
      </c>
      <c r="D64" s="14" t="s">
        <v>63</v>
      </c>
      <c r="E64" s="18">
        <v>5</v>
      </c>
      <c r="F64" s="59">
        <v>5</v>
      </c>
      <c r="G64" s="13">
        <v>71.790000000000006</v>
      </c>
      <c r="H64" s="72">
        <f t="shared" si="10"/>
        <v>0.35895000000000005</v>
      </c>
      <c r="I64" s="13">
        <v>0</v>
      </c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</row>
    <row r="65" spans="1:21" ht="18" customHeight="1">
      <c r="A65" s="29">
        <v>10</v>
      </c>
      <c r="B65" s="152" t="s">
        <v>46</v>
      </c>
      <c r="C65" s="153" t="s">
        <v>112</v>
      </c>
      <c r="D65" s="100"/>
      <c r="E65" s="123">
        <v>18281</v>
      </c>
      <c r="F65" s="151">
        <f>SUM(E65/100)</f>
        <v>182.81</v>
      </c>
      <c r="G65" s="98">
        <v>304.13</v>
      </c>
      <c r="H65" s="72">
        <f t="shared" si="10"/>
        <v>55.598005299999997</v>
      </c>
      <c r="I65" s="13">
        <f>F65*G65</f>
        <v>55598.005299999997</v>
      </c>
      <c r="J65" s="5"/>
      <c r="K65" s="5"/>
      <c r="L65" s="5"/>
      <c r="M65" s="5"/>
      <c r="N65" s="5"/>
      <c r="O65" s="5"/>
      <c r="P65" s="5"/>
      <c r="Q65" s="5"/>
      <c r="R65" s="210"/>
      <c r="S65" s="210"/>
      <c r="T65" s="210"/>
      <c r="U65" s="210"/>
    </row>
    <row r="66" spans="1:21" ht="14.25" customHeight="1">
      <c r="A66" s="29">
        <v>11</v>
      </c>
      <c r="B66" s="152" t="s">
        <v>47</v>
      </c>
      <c r="C66" s="113" t="s">
        <v>113</v>
      </c>
      <c r="D66" s="100"/>
      <c r="E66" s="123">
        <v>18281</v>
      </c>
      <c r="F66" s="98">
        <f>SUM(E66/1000)</f>
        <v>18.280999999999999</v>
      </c>
      <c r="G66" s="98">
        <v>236.84</v>
      </c>
      <c r="H66" s="72">
        <f t="shared" si="10"/>
        <v>4.3296720399999993</v>
      </c>
      <c r="I66" s="13">
        <f t="shared" ref="I66:I69" si="11">F66*G66</f>
        <v>4329.6720399999995</v>
      </c>
    </row>
    <row r="67" spans="1:21" ht="16.5" customHeight="1">
      <c r="A67" s="29">
        <v>12</v>
      </c>
      <c r="B67" s="152" t="s">
        <v>48</v>
      </c>
      <c r="C67" s="113" t="s">
        <v>72</v>
      </c>
      <c r="D67" s="100"/>
      <c r="E67" s="123">
        <v>2730</v>
      </c>
      <c r="F67" s="98">
        <f>SUM(E67/100)</f>
        <v>27.3</v>
      </c>
      <c r="G67" s="98">
        <v>2974.1</v>
      </c>
      <c r="H67" s="72">
        <f t="shared" si="10"/>
        <v>81.19292999999999</v>
      </c>
      <c r="I67" s="13">
        <f t="shared" si="11"/>
        <v>81192.929999999993</v>
      </c>
    </row>
    <row r="68" spans="1:21" ht="21" customHeight="1">
      <c r="A68" s="29">
        <v>13</v>
      </c>
      <c r="B68" s="154" t="s">
        <v>114</v>
      </c>
      <c r="C68" s="113" t="s">
        <v>32</v>
      </c>
      <c r="D68" s="100"/>
      <c r="E68" s="123">
        <v>16.2</v>
      </c>
      <c r="F68" s="98">
        <f>SUM(E68)</f>
        <v>16.2</v>
      </c>
      <c r="G68" s="98">
        <v>47.98</v>
      </c>
      <c r="H68" s="72">
        <f t="shared" si="10"/>
        <v>0.77727599999999997</v>
      </c>
      <c r="I68" s="13">
        <f t="shared" si="11"/>
        <v>777.27599999999995</v>
      </c>
    </row>
    <row r="69" spans="1:21" ht="16.5" customHeight="1">
      <c r="A69" s="29">
        <v>14</v>
      </c>
      <c r="B69" s="154" t="s">
        <v>115</v>
      </c>
      <c r="C69" s="113" t="s">
        <v>32</v>
      </c>
      <c r="D69" s="100"/>
      <c r="E69" s="123">
        <v>16.2</v>
      </c>
      <c r="F69" s="98">
        <f>SUM(E69)</f>
        <v>16.2</v>
      </c>
      <c r="G69" s="98">
        <v>51.75</v>
      </c>
      <c r="H69" s="72">
        <f t="shared" si="10"/>
        <v>0.83834999999999993</v>
      </c>
      <c r="I69" s="13">
        <f t="shared" si="11"/>
        <v>838.34999999999991</v>
      </c>
    </row>
    <row r="70" spans="1:21" ht="24.75" hidden="1" customHeight="1">
      <c r="A70" s="29">
        <v>14</v>
      </c>
      <c r="B70" s="14" t="s">
        <v>54</v>
      </c>
      <c r="C70" s="16" t="s">
        <v>55</v>
      </c>
      <c r="D70" s="14" t="s">
        <v>51</v>
      </c>
      <c r="E70" s="18">
        <v>7</v>
      </c>
      <c r="F70" s="59">
        <f>SUM(E70)</f>
        <v>7</v>
      </c>
      <c r="G70" s="13">
        <v>46.97</v>
      </c>
      <c r="H70" s="72">
        <f t="shared" si="10"/>
        <v>0.32878999999999997</v>
      </c>
      <c r="I70" s="13">
        <f>G70*F70</f>
        <v>328.78999999999996</v>
      </c>
    </row>
    <row r="71" spans="1:21" ht="24.75" customHeight="1">
      <c r="A71" s="29"/>
      <c r="B71" s="135" t="s">
        <v>166</v>
      </c>
      <c r="C71" s="113"/>
      <c r="D71" s="100"/>
      <c r="E71" s="17"/>
      <c r="F71" s="98"/>
      <c r="G71" s="98"/>
      <c r="H71" s="72"/>
      <c r="I71" s="13"/>
    </row>
    <row r="72" spans="1:21" ht="32.25" customHeight="1">
      <c r="A72" s="29">
        <v>15</v>
      </c>
      <c r="B72" s="100" t="s">
        <v>167</v>
      </c>
      <c r="C72" s="35" t="s">
        <v>168</v>
      </c>
      <c r="D72" s="100"/>
      <c r="E72" s="17">
        <v>4224.3999999999996</v>
      </c>
      <c r="F72" s="98">
        <f>E72*12</f>
        <v>50692.799999999996</v>
      </c>
      <c r="G72" s="98">
        <v>2.4900000000000002</v>
      </c>
      <c r="H72" s="72"/>
      <c r="I72" s="13">
        <f>G72*F72/12</f>
        <v>10518.755999999999</v>
      </c>
    </row>
    <row r="73" spans="1:21" ht="18.75" customHeight="1">
      <c r="A73" s="29"/>
      <c r="B73" s="160" t="s">
        <v>69</v>
      </c>
      <c r="C73" s="16"/>
      <c r="D73" s="14"/>
      <c r="E73" s="18"/>
      <c r="F73" s="13"/>
      <c r="G73" s="13"/>
      <c r="H73" s="72" t="s">
        <v>118</v>
      </c>
      <c r="I73" s="13"/>
    </row>
    <row r="74" spans="1:21" ht="23.25" hidden="1" customHeight="1">
      <c r="A74" s="29"/>
      <c r="B74" s="14" t="s">
        <v>80</v>
      </c>
      <c r="C74" s="16" t="s">
        <v>30</v>
      </c>
      <c r="D74" s="14"/>
      <c r="E74" s="18">
        <v>1</v>
      </c>
      <c r="F74" s="59">
        <f>SUM(E74)</f>
        <v>1</v>
      </c>
      <c r="G74" s="13">
        <v>337.58</v>
      </c>
      <c r="H74" s="72">
        <f t="shared" ref="H74" si="12">SUM(F74*G74/1000)</f>
        <v>0.33757999999999999</v>
      </c>
      <c r="I74" s="13">
        <v>0</v>
      </c>
    </row>
    <row r="75" spans="1:21" ht="27.75" hidden="1" customHeight="1">
      <c r="A75" s="29"/>
      <c r="B75" s="14" t="s">
        <v>70</v>
      </c>
      <c r="C75" s="16" t="s">
        <v>30</v>
      </c>
      <c r="D75" s="14"/>
      <c r="E75" s="18">
        <v>2</v>
      </c>
      <c r="F75" s="13">
        <v>2</v>
      </c>
      <c r="G75" s="13">
        <v>803.19</v>
      </c>
      <c r="H75" s="72">
        <f>F75*G75/1000</f>
        <v>1.6063800000000001</v>
      </c>
      <c r="I75" s="13">
        <v>0</v>
      </c>
    </row>
    <row r="76" spans="1:21" ht="32.25" customHeight="1">
      <c r="A76" s="29">
        <v>16</v>
      </c>
      <c r="B76" s="95" t="s">
        <v>169</v>
      </c>
      <c r="C76" s="96" t="s">
        <v>111</v>
      </c>
      <c r="D76" s="100" t="s">
        <v>180</v>
      </c>
      <c r="E76" s="17">
        <v>2</v>
      </c>
      <c r="F76" s="98">
        <f>E76*12</f>
        <v>24</v>
      </c>
      <c r="G76" s="98">
        <v>404</v>
      </c>
      <c r="H76" s="72"/>
      <c r="I76" s="13">
        <f>G76*F76/12</f>
        <v>808</v>
      </c>
    </row>
    <row r="77" spans="1:21" ht="23.25" hidden="1" customHeight="1">
      <c r="A77" s="29"/>
      <c r="B77" s="74" t="s">
        <v>71</v>
      </c>
      <c r="C77" s="16"/>
      <c r="D77" s="14"/>
      <c r="E77" s="18"/>
      <c r="F77" s="13"/>
      <c r="G77" s="13" t="s">
        <v>118</v>
      </c>
      <c r="H77" s="72" t="s">
        <v>118</v>
      </c>
      <c r="I77" s="13"/>
    </row>
    <row r="78" spans="1:21" ht="21" hidden="1" customHeight="1">
      <c r="A78" s="29"/>
      <c r="B78" s="42" t="s">
        <v>119</v>
      </c>
      <c r="C78" s="16" t="s">
        <v>72</v>
      </c>
      <c r="D78" s="14"/>
      <c r="E78" s="18"/>
      <c r="F78" s="13">
        <v>1.35</v>
      </c>
      <c r="G78" s="13">
        <v>2494</v>
      </c>
      <c r="H78" s="72">
        <f t="shared" ref="H78" si="13">SUM(F78*G78/1000)</f>
        <v>3.3669000000000002</v>
      </c>
      <c r="I78" s="13">
        <v>0</v>
      </c>
    </row>
    <row r="79" spans="1:21" ht="21" hidden="1" customHeight="1">
      <c r="A79" s="29"/>
      <c r="B79" s="61" t="s">
        <v>116</v>
      </c>
      <c r="C79" s="74"/>
      <c r="D79" s="31"/>
      <c r="E79" s="32"/>
      <c r="F79" s="62"/>
      <c r="G79" s="62"/>
      <c r="H79" s="75">
        <f>SUM(H57:H78)</f>
        <v>3517.38564774</v>
      </c>
      <c r="I79" s="62"/>
    </row>
    <row r="80" spans="1:21" ht="18.75" hidden="1" customHeight="1">
      <c r="A80" s="29">
        <v>29</v>
      </c>
      <c r="B80" s="57" t="s">
        <v>117</v>
      </c>
      <c r="C80" s="16"/>
      <c r="D80" s="14"/>
      <c r="E80" s="52"/>
      <c r="F80" s="13">
        <v>1</v>
      </c>
      <c r="G80" s="13">
        <v>17359.8</v>
      </c>
      <c r="H80" s="72">
        <f>G80*F80/1000</f>
        <v>17.3598</v>
      </c>
      <c r="I80" s="13">
        <f>G80</f>
        <v>17359.8</v>
      </c>
    </row>
    <row r="81" spans="1:9" ht="15.75" customHeight="1">
      <c r="A81" s="223" t="s">
        <v>145</v>
      </c>
      <c r="B81" s="224"/>
      <c r="C81" s="224"/>
      <c r="D81" s="224"/>
      <c r="E81" s="224"/>
      <c r="F81" s="224"/>
      <c r="G81" s="224"/>
      <c r="H81" s="224"/>
      <c r="I81" s="225"/>
    </row>
    <row r="82" spans="1:9" ht="15.75" customHeight="1">
      <c r="A82" s="29">
        <v>17</v>
      </c>
      <c r="B82" s="100" t="s">
        <v>120</v>
      </c>
      <c r="C82" s="113" t="s">
        <v>52</v>
      </c>
      <c r="D82" s="136"/>
      <c r="E82" s="98">
        <v>4224.3999999999996</v>
      </c>
      <c r="F82" s="98">
        <f>SUM(E82*12)</f>
        <v>50692.799999999996</v>
      </c>
      <c r="G82" s="98">
        <v>3.38</v>
      </c>
      <c r="H82" s="13">
        <f>SUM(F82*G82/1000)</f>
        <v>171.34166399999998</v>
      </c>
      <c r="I82" s="13">
        <f>F82/12*G82</f>
        <v>14278.471999999998</v>
      </c>
    </row>
    <row r="83" spans="1:9" ht="31.5" customHeight="1">
      <c r="A83" s="29">
        <v>18</v>
      </c>
      <c r="B83" s="155" t="s">
        <v>170</v>
      </c>
      <c r="C83" s="138" t="s">
        <v>52</v>
      </c>
      <c r="D83" s="139"/>
      <c r="E83" s="140">
        <f>E82</f>
        <v>4224.3999999999996</v>
      </c>
      <c r="F83" s="141">
        <f>E83*12</f>
        <v>50692.799999999996</v>
      </c>
      <c r="G83" s="141">
        <v>3.05</v>
      </c>
      <c r="H83" s="156">
        <f>F83*G83/1000</f>
        <v>154.61303999999998</v>
      </c>
      <c r="I83" s="157">
        <f>F83/12*G83</f>
        <v>12884.419999999998</v>
      </c>
    </row>
    <row r="84" spans="1:9" ht="15.75" customHeight="1">
      <c r="A84" s="159"/>
      <c r="B84" s="34" t="s">
        <v>74</v>
      </c>
      <c r="C84" s="35"/>
      <c r="D84" s="15"/>
      <c r="E84" s="15"/>
      <c r="F84" s="15"/>
      <c r="G84" s="18"/>
      <c r="H84" s="18"/>
      <c r="I84" s="32">
        <f>I83+I82+I76+I72+I69+I68+I67+I66+I65+I60+I33+I30+I29+I21+I20+I19+I18+I17</f>
        <v>207951.90358879999</v>
      </c>
    </row>
    <row r="85" spans="1:9" ht="15.75" customHeight="1">
      <c r="A85" s="220" t="s">
        <v>57</v>
      </c>
      <c r="B85" s="221"/>
      <c r="C85" s="221"/>
      <c r="D85" s="221"/>
      <c r="E85" s="221"/>
      <c r="F85" s="221"/>
      <c r="G85" s="221"/>
      <c r="H85" s="221"/>
      <c r="I85" s="222"/>
    </row>
    <row r="86" spans="1:9" ht="18.75" customHeight="1">
      <c r="A86" s="29">
        <v>19</v>
      </c>
      <c r="B86" s="100" t="s">
        <v>282</v>
      </c>
      <c r="C86" s="113" t="s">
        <v>283</v>
      </c>
      <c r="E86" s="98"/>
      <c r="F86" s="98">
        <v>1</v>
      </c>
      <c r="G86" s="98">
        <v>1280</v>
      </c>
      <c r="H86" s="72"/>
      <c r="I86" s="13">
        <f>G86*1</f>
        <v>1280</v>
      </c>
    </row>
    <row r="87" spans="1:9" ht="16.5" customHeight="1">
      <c r="A87" s="29">
        <v>20</v>
      </c>
      <c r="B87" s="115" t="s">
        <v>284</v>
      </c>
      <c r="C87" s="116" t="s">
        <v>111</v>
      </c>
      <c r="D87" s="97" t="s">
        <v>286</v>
      </c>
      <c r="E87" s="98"/>
      <c r="F87" s="98">
        <v>1</v>
      </c>
      <c r="G87" s="98">
        <v>149.94</v>
      </c>
      <c r="H87" s="72"/>
      <c r="I87" s="13">
        <f>G87*1</f>
        <v>149.94</v>
      </c>
    </row>
    <row r="88" spans="1:9" ht="15.75" customHeight="1">
      <c r="A88" s="29">
        <v>21</v>
      </c>
      <c r="B88" s="95" t="s">
        <v>75</v>
      </c>
      <c r="C88" s="96" t="s">
        <v>111</v>
      </c>
      <c r="D88" s="97"/>
      <c r="E88" s="98"/>
      <c r="F88" s="98">
        <v>7</v>
      </c>
      <c r="G88" s="98">
        <v>224.48</v>
      </c>
      <c r="H88" s="72"/>
      <c r="I88" s="13">
        <f>G88*1</f>
        <v>224.48</v>
      </c>
    </row>
    <row r="89" spans="1:9" ht="16.5" customHeight="1">
      <c r="A89" s="29">
        <v>22</v>
      </c>
      <c r="B89" s="100" t="s">
        <v>152</v>
      </c>
      <c r="C89" s="113" t="s">
        <v>157</v>
      </c>
      <c r="D89" s="97" t="s">
        <v>225</v>
      </c>
      <c r="E89" s="98"/>
      <c r="F89" s="98">
        <v>55</v>
      </c>
      <c r="G89" s="98">
        <v>295.36</v>
      </c>
      <c r="H89" s="72"/>
      <c r="I89" s="13">
        <v>0</v>
      </c>
    </row>
    <row r="90" spans="1:9" ht="21.75" customHeight="1">
      <c r="A90" s="29">
        <v>23</v>
      </c>
      <c r="B90" s="95" t="s">
        <v>285</v>
      </c>
      <c r="C90" s="96" t="s">
        <v>157</v>
      </c>
      <c r="D90" s="97"/>
      <c r="E90" s="98"/>
      <c r="F90" s="98">
        <v>0.5</v>
      </c>
      <c r="G90" s="98">
        <v>104.2</v>
      </c>
      <c r="H90" s="72"/>
      <c r="I90" s="13">
        <f>G90*0.5</f>
        <v>52.1</v>
      </c>
    </row>
    <row r="91" spans="1:9" ht="30" customHeight="1">
      <c r="A91" s="29">
        <v>24</v>
      </c>
      <c r="B91" s="95" t="s">
        <v>206</v>
      </c>
      <c r="C91" s="96" t="s">
        <v>207</v>
      </c>
      <c r="D91" s="97" t="s">
        <v>287</v>
      </c>
      <c r="E91" s="98"/>
      <c r="F91" s="98">
        <v>1</v>
      </c>
      <c r="G91" s="98">
        <v>64.040000000000006</v>
      </c>
      <c r="H91" s="72"/>
      <c r="I91" s="13">
        <f>G91*1</f>
        <v>64.040000000000006</v>
      </c>
    </row>
    <row r="92" spans="1:9" ht="15.75" customHeight="1">
      <c r="A92" s="29">
        <v>25</v>
      </c>
      <c r="B92" s="95" t="s">
        <v>200</v>
      </c>
      <c r="C92" s="96" t="s">
        <v>38</v>
      </c>
      <c r="D92" s="97" t="s">
        <v>178</v>
      </c>
      <c r="E92" s="98"/>
      <c r="F92" s="98">
        <v>0.03</v>
      </c>
      <c r="G92" s="98">
        <v>28224.75</v>
      </c>
      <c r="H92" s="72"/>
      <c r="I92" s="13">
        <v>0</v>
      </c>
    </row>
    <row r="93" spans="1:9" ht="15.75" customHeight="1">
      <c r="A93" s="29"/>
      <c r="B93" s="40" t="s">
        <v>49</v>
      </c>
      <c r="C93" s="36"/>
      <c r="D93" s="43"/>
      <c r="E93" s="36">
        <v>1</v>
      </c>
      <c r="F93" s="36"/>
      <c r="G93" s="36"/>
      <c r="H93" s="36"/>
      <c r="I93" s="32">
        <f>SUM(I86:I92)</f>
        <v>1770.56</v>
      </c>
    </row>
    <row r="94" spans="1:9" ht="15.75" customHeight="1">
      <c r="A94" s="29"/>
      <c r="B94" s="42" t="s">
        <v>73</v>
      </c>
      <c r="C94" s="15"/>
      <c r="D94" s="15"/>
      <c r="E94" s="37"/>
      <c r="F94" s="37"/>
      <c r="G94" s="38"/>
      <c r="H94" s="38"/>
      <c r="I94" s="17">
        <v>0</v>
      </c>
    </row>
    <row r="95" spans="1:9" ht="15.75" customHeight="1">
      <c r="A95" s="44"/>
      <c r="B95" s="41" t="s">
        <v>129</v>
      </c>
      <c r="C95" s="33"/>
      <c r="D95" s="33"/>
      <c r="E95" s="33"/>
      <c r="F95" s="33"/>
      <c r="G95" s="33"/>
      <c r="H95" s="33"/>
      <c r="I95" s="39">
        <f>I84+I93</f>
        <v>209722.46358879999</v>
      </c>
    </row>
    <row r="96" spans="1:9" ht="15.75" customHeight="1">
      <c r="A96" s="217" t="s">
        <v>288</v>
      </c>
      <c r="B96" s="217"/>
      <c r="C96" s="217"/>
      <c r="D96" s="217"/>
      <c r="E96" s="217"/>
      <c r="F96" s="217"/>
      <c r="G96" s="217"/>
      <c r="H96" s="217"/>
      <c r="I96" s="217"/>
    </row>
    <row r="97" spans="1:9" ht="15.75" customHeight="1">
      <c r="A97" s="51"/>
      <c r="B97" s="218" t="s">
        <v>289</v>
      </c>
      <c r="C97" s="218"/>
      <c r="D97" s="218"/>
      <c r="E97" s="218"/>
      <c r="F97" s="218"/>
      <c r="G97" s="218"/>
      <c r="H97" s="56"/>
      <c r="I97" s="3"/>
    </row>
    <row r="98" spans="1:9" ht="15.75" customHeight="1">
      <c r="A98" s="80"/>
      <c r="B98" s="208" t="s">
        <v>6</v>
      </c>
      <c r="C98" s="208"/>
      <c r="D98" s="208"/>
      <c r="E98" s="208"/>
      <c r="F98" s="208"/>
      <c r="G98" s="208"/>
      <c r="H98" s="24"/>
      <c r="I98" s="5"/>
    </row>
    <row r="99" spans="1:9" ht="15.75" customHeight="1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5.75" customHeight="1">
      <c r="A100" s="219" t="s">
        <v>7</v>
      </c>
      <c r="B100" s="219"/>
      <c r="C100" s="219"/>
      <c r="D100" s="219"/>
      <c r="E100" s="219"/>
      <c r="F100" s="219"/>
      <c r="G100" s="219"/>
      <c r="H100" s="219"/>
      <c r="I100" s="219"/>
    </row>
    <row r="101" spans="1:9" ht="15.75" customHeight="1">
      <c r="A101" s="219" t="s">
        <v>8</v>
      </c>
      <c r="B101" s="219"/>
      <c r="C101" s="219"/>
      <c r="D101" s="219"/>
      <c r="E101" s="219"/>
      <c r="F101" s="219"/>
      <c r="G101" s="219"/>
      <c r="H101" s="219"/>
      <c r="I101" s="219"/>
    </row>
    <row r="102" spans="1:9" ht="15.75" customHeight="1">
      <c r="A102" s="212" t="s">
        <v>58</v>
      </c>
      <c r="B102" s="212"/>
      <c r="C102" s="212"/>
      <c r="D102" s="212"/>
      <c r="E102" s="212"/>
      <c r="F102" s="212"/>
      <c r="G102" s="212"/>
      <c r="H102" s="212"/>
      <c r="I102" s="212"/>
    </row>
    <row r="103" spans="1:9" ht="15.75" customHeight="1">
      <c r="A103" s="11"/>
    </row>
    <row r="104" spans="1:9" ht="15.75" customHeight="1">
      <c r="A104" s="206" t="s">
        <v>9</v>
      </c>
      <c r="B104" s="206"/>
      <c r="C104" s="206"/>
      <c r="D104" s="206"/>
      <c r="E104" s="206"/>
      <c r="F104" s="206"/>
      <c r="G104" s="206"/>
      <c r="H104" s="206"/>
      <c r="I104" s="206"/>
    </row>
    <row r="105" spans="1:9" ht="15.75" customHeight="1">
      <c r="A105" s="4"/>
    </row>
    <row r="106" spans="1:9" ht="15.75" customHeight="1">
      <c r="B106" s="81" t="s">
        <v>10</v>
      </c>
      <c r="C106" s="207" t="s">
        <v>217</v>
      </c>
      <c r="D106" s="207"/>
      <c r="E106" s="207"/>
      <c r="F106" s="54"/>
      <c r="I106" s="79"/>
    </row>
    <row r="107" spans="1:9" ht="15.75" customHeight="1">
      <c r="A107" s="80"/>
      <c r="C107" s="208" t="s">
        <v>11</v>
      </c>
      <c r="D107" s="208"/>
      <c r="E107" s="208"/>
      <c r="F107" s="24"/>
      <c r="I107" s="78" t="s">
        <v>12</v>
      </c>
    </row>
    <row r="108" spans="1:9" ht="15.75" customHeight="1">
      <c r="A108" s="25"/>
      <c r="C108" s="12"/>
      <c r="D108" s="12"/>
      <c r="G108" s="12"/>
      <c r="H108" s="12"/>
    </row>
    <row r="109" spans="1:9" ht="15.75" customHeight="1">
      <c r="B109" s="81" t="s">
        <v>13</v>
      </c>
      <c r="C109" s="209"/>
      <c r="D109" s="209"/>
      <c r="E109" s="209"/>
      <c r="F109" s="55"/>
      <c r="I109" s="79"/>
    </row>
    <row r="110" spans="1:9" ht="15.75" customHeight="1">
      <c r="A110" s="80"/>
      <c r="C110" s="210" t="s">
        <v>11</v>
      </c>
      <c r="D110" s="210"/>
      <c r="E110" s="210"/>
      <c r="F110" s="80"/>
      <c r="I110" s="78" t="s">
        <v>12</v>
      </c>
    </row>
    <row r="111" spans="1:9" ht="15.75" customHeight="1">
      <c r="A111" s="4" t="s">
        <v>14</v>
      </c>
    </row>
    <row r="112" spans="1:9" ht="15.75" customHeight="1">
      <c r="A112" s="211" t="s">
        <v>15</v>
      </c>
      <c r="B112" s="211"/>
      <c r="C112" s="211"/>
      <c r="D112" s="211"/>
      <c r="E112" s="211"/>
      <c r="F112" s="211"/>
      <c r="G112" s="211"/>
      <c r="H112" s="211"/>
      <c r="I112" s="211"/>
    </row>
    <row r="113" spans="1:9" ht="45" customHeight="1">
      <c r="A113" s="205" t="s">
        <v>16</v>
      </c>
      <c r="B113" s="205"/>
      <c r="C113" s="205"/>
      <c r="D113" s="205"/>
      <c r="E113" s="205"/>
      <c r="F113" s="205"/>
      <c r="G113" s="205"/>
      <c r="H113" s="205"/>
      <c r="I113" s="205"/>
    </row>
    <row r="114" spans="1:9" ht="30" customHeight="1">
      <c r="A114" s="205" t="s">
        <v>17</v>
      </c>
      <c r="B114" s="205"/>
      <c r="C114" s="205"/>
      <c r="D114" s="205"/>
      <c r="E114" s="205"/>
      <c r="F114" s="205"/>
      <c r="G114" s="205"/>
      <c r="H114" s="205"/>
      <c r="I114" s="205"/>
    </row>
    <row r="115" spans="1:9" ht="30" customHeight="1">
      <c r="A115" s="205" t="s">
        <v>21</v>
      </c>
      <c r="B115" s="205"/>
      <c r="C115" s="205"/>
      <c r="D115" s="205"/>
      <c r="E115" s="205"/>
      <c r="F115" s="205"/>
      <c r="G115" s="205"/>
      <c r="H115" s="205"/>
      <c r="I115" s="205"/>
    </row>
    <row r="116" spans="1:9" ht="15" customHeight="1">
      <c r="A116" s="205" t="s">
        <v>20</v>
      </c>
      <c r="B116" s="205"/>
      <c r="C116" s="205"/>
      <c r="D116" s="205"/>
      <c r="E116" s="205"/>
      <c r="F116" s="205"/>
      <c r="G116" s="205"/>
      <c r="H116" s="205"/>
      <c r="I116" s="205"/>
    </row>
  </sheetData>
  <autoFilter ref="I12:I60"/>
  <mergeCells count="29">
    <mergeCell ref="A14:I14"/>
    <mergeCell ref="A15:I15"/>
    <mergeCell ref="A27:I27"/>
    <mergeCell ref="A45:I45"/>
    <mergeCell ref="A55:I55"/>
    <mergeCell ref="A3:I3"/>
    <mergeCell ref="A4:I4"/>
    <mergeCell ref="A5:I5"/>
    <mergeCell ref="A8:I8"/>
    <mergeCell ref="A10:I10"/>
    <mergeCell ref="R65:U65"/>
    <mergeCell ref="C110:E110"/>
    <mergeCell ref="A85:I85"/>
    <mergeCell ref="A96:I96"/>
    <mergeCell ref="B97:G97"/>
    <mergeCell ref="B98:G98"/>
    <mergeCell ref="A100:I100"/>
    <mergeCell ref="A101:I101"/>
    <mergeCell ref="A102:I102"/>
    <mergeCell ref="A104:I104"/>
    <mergeCell ref="C106:E106"/>
    <mergeCell ref="C107:E107"/>
    <mergeCell ref="C109:E109"/>
    <mergeCell ref="A81:I81"/>
    <mergeCell ref="A112:I112"/>
    <mergeCell ref="A113:I113"/>
    <mergeCell ref="A114:I114"/>
    <mergeCell ref="A115:I115"/>
    <mergeCell ref="A116:I116"/>
  </mergeCells>
  <pageMargins left="0.70866141732283472" right="0.23622047244094491" top="0.27559055118110237" bottom="0.27559055118110237" header="0.31496062992125984" footer="0.31496062992125984"/>
  <pageSetup paperSize="9" scale="62" orientation="portrait" r:id="rId1"/>
  <rowBreaks count="1" manualBreakCount="1">
    <brk id="110" max="8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8"/>
  <sheetViews>
    <sheetView view="pageBreakPreview" topLeftCell="A69" zoomScale="60" zoomScaleNormal="100" workbookViewId="0">
      <selection activeCell="A94" sqref="A94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1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143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290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44408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218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15.75" customHeight="1">
      <c r="A16" s="29">
        <v>1</v>
      </c>
      <c r="B16" s="101" t="s">
        <v>158</v>
      </c>
      <c r="C16" s="102" t="s">
        <v>93</v>
      </c>
      <c r="D16" s="101" t="s">
        <v>185</v>
      </c>
      <c r="E16" s="123">
        <v>591.70000000000005</v>
      </c>
      <c r="F16" s="112">
        <f>SUM(E16*48/100)</f>
        <v>284.01600000000002</v>
      </c>
      <c r="G16" s="112">
        <v>322.51</v>
      </c>
      <c r="H16" s="60">
        <f t="shared" ref="H16:H20" si="0">SUM(F16*G16/1000)</f>
        <v>91.598000160000012</v>
      </c>
      <c r="I16" s="13">
        <f>F16/6*G16</f>
        <v>15266.333360000001</v>
      </c>
      <c r="J16" s="22"/>
      <c r="K16" s="8"/>
      <c r="L16" s="8"/>
      <c r="M16" s="8"/>
    </row>
    <row r="17" spans="1:13" ht="15.75" customHeight="1">
      <c r="A17" s="29">
        <v>2</v>
      </c>
      <c r="B17" s="101" t="s">
        <v>85</v>
      </c>
      <c r="C17" s="102" t="s">
        <v>93</v>
      </c>
      <c r="D17" s="101" t="s">
        <v>190</v>
      </c>
      <c r="E17" s="123">
        <v>591.70000000000005</v>
      </c>
      <c r="F17" s="112">
        <f>SUM(E17*18/100)</f>
        <v>106.506</v>
      </c>
      <c r="G17" s="112">
        <v>723.23</v>
      </c>
      <c r="H17" s="60">
        <f t="shared" si="0"/>
        <v>77.028334380000004</v>
      </c>
      <c r="I17" s="13">
        <f>F17/18*2*G17</f>
        <v>8558.7038200000006</v>
      </c>
      <c r="J17" s="22"/>
      <c r="K17" s="8"/>
      <c r="L17" s="8"/>
      <c r="M17" s="8"/>
    </row>
    <row r="18" spans="1:13" ht="15.75" hidden="1" customHeight="1">
      <c r="A18" s="29">
        <v>4</v>
      </c>
      <c r="B18" s="101" t="s">
        <v>95</v>
      </c>
      <c r="C18" s="102" t="s">
        <v>96</v>
      </c>
      <c r="D18" s="101" t="s">
        <v>97</v>
      </c>
      <c r="E18" s="45">
        <v>38.4</v>
      </c>
      <c r="F18" s="59">
        <f>SUM(E18/10)</f>
        <v>3.84</v>
      </c>
      <c r="G18" s="59">
        <v>170.16</v>
      </c>
      <c r="H18" s="60">
        <f t="shared" si="0"/>
        <v>0.65341439999999995</v>
      </c>
      <c r="I18" s="13">
        <f>F18/2*G18</f>
        <v>326.7072</v>
      </c>
      <c r="J18" s="22"/>
      <c r="K18" s="8"/>
      <c r="L18" s="8"/>
      <c r="M18" s="8"/>
    </row>
    <row r="19" spans="1:13" ht="15.75" customHeight="1">
      <c r="A19" s="29">
        <v>3</v>
      </c>
      <c r="B19" s="101" t="s">
        <v>88</v>
      </c>
      <c r="C19" s="102" t="s">
        <v>93</v>
      </c>
      <c r="D19" s="101" t="s">
        <v>180</v>
      </c>
      <c r="E19" s="123">
        <v>43.2</v>
      </c>
      <c r="F19" s="112">
        <f>SUM(E19*12/100)</f>
        <v>5.1840000000000011</v>
      </c>
      <c r="G19" s="112">
        <v>312.35000000000002</v>
      </c>
      <c r="H19" s="60">
        <f t="shared" si="0"/>
        <v>1.6192224000000004</v>
      </c>
      <c r="I19" s="13">
        <f>F19/12*G19</f>
        <v>134.93520000000004</v>
      </c>
      <c r="J19" s="22"/>
      <c r="K19" s="8"/>
      <c r="L19" s="8"/>
      <c r="M19" s="8"/>
    </row>
    <row r="20" spans="1:13" ht="15.75" customHeight="1">
      <c r="A20" s="29">
        <v>4</v>
      </c>
      <c r="B20" s="101" t="s">
        <v>89</v>
      </c>
      <c r="C20" s="102" t="s">
        <v>93</v>
      </c>
      <c r="D20" s="101" t="s">
        <v>178</v>
      </c>
      <c r="E20" s="123">
        <v>10.08</v>
      </c>
      <c r="F20" s="112">
        <f>SUM(E20*12/100)</f>
        <v>1.2096</v>
      </c>
      <c r="G20" s="112">
        <v>309.81</v>
      </c>
      <c r="H20" s="60">
        <f t="shared" si="0"/>
        <v>0.37474617599999999</v>
      </c>
      <c r="I20" s="13">
        <f>F20/12*G20</f>
        <v>31.228847999999999</v>
      </c>
      <c r="J20" s="22"/>
      <c r="K20" s="8"/>
      <c r="L20" s="8"/>
      <c r="M20" s="8"/>
    </row>
    <row r="21" spans="1:13" ht="15.75" customHeight="1">
      <c r="A21" s="29">
        <v>5</v>
      </c>
      <c r="B21" s="101" t="s">
        <v>98</v>
      </c>
      <c r="C21" s="102" t="s">
        <v>50</v>
      </c>
      <c r="D21" s="101" t="s">
        <v>186</v>
      </c>
      <c r="E21" s="123">
        <v>462.7</v>
      </c>
      <c r="F21" s="112">
        <f>SUM(E21/100)</f>
        <v>4.6269999999999998</v>
      </c>
      <c r="G21" s="112">
        <v>386</v>
      </c>
      <c r="H21" s="60">
        <f t="shared" ref="H21:H24" si="1">SUM(F21*G21/1000)</f>
        <v>1.786022</v>
      </c>
      <c r="I21" s="13">
        <f>F21*G21</f>
        <v>1786.0219999999999</v>
      </c>
      <c r="J21" s="22"/>
      <c r="K21" s="8"/>
      <c r="L21" s="8"/>
      <c r="M21" s="8"/>
    </row>
    <row r="22" spans="1:13" ht="15.75" customHeight="1">
      <c r="A22" s="29">
        <v>6</v>
      </c>
      <c r="B22" s="101" t="s">
        <v>99</v>
      </c>
      <c r="C22" s="102" t="s">
        <v>50</v>
      </c>
      <c r="D22" s="101" t="s">
        <v>178</v>
      </c>
      <c r="E22" s="150">
        <v>70.56</v>
      </c>
      <c r="F22" s="112">
        <f>SUM(E22/100)</f>
        <v>0.7056</v>
      </c>
      <c r="G22" s="112">
        <v>63.49</v>
      </c>
      <c r="H22" s="60">
        <f t="shared" si="1"/>
        <v>4.4798544000000003E-2</v>
      </c>
      <c r="I22" s="13">
        <f t="shared" ref="I22:I23" si="2">F22*G22</f>
        <v>44.798544</v>
      </c>
      <c r="J22" s="22"/>
      <c r="K22" s="8"/>
      <c r="L22" s="8"/>
      <c r="M22" s="8"/>
    </row>
    <row r="23" spans="1:13" ht="15.75" customHeight="1">
      <c r="A23" s="29">
        <v>7</v>
      </c>
      <c r="B23" s="101" t="s">
        <v>161</v>
      </c>
      <c r="C23" s="102" t="s">
        <v>50</v>
      </c>
      <c r="D23" s="124" t="s">
        <v>180</v>
      </c>
      <c r="E23" s="17">
        <v>23.63</v>
      </c>
      <c r="F23" s="125">
        <f>E23*1/100</f>
        <v>0.23629999999999998</v>
      </c>
      <c r="G23" s="112">
        <v>309.81</v>
      </c>
      <c r="H23" s="60">
        <f t="shared" si="1"/>
        <v>7.3208102999999997E-2</v>
      </c>
      <c r="I23" s="13">
        <f t="shared" si="2"/>
        <v>73.208102999999994</v>
      </c>
      <c r="J23" s="22"/>
      <c r="K23" s="8"/>
      <c r="L23" s="8"/>
      <c r="M23" s="8"/>
    </row>
    <row r="24" spans="1:13" ht="15.75" customHeight="1">
      <c r="A24" s="29">
        <v>8</v>
      </c>
      <c r="B24" s="101" t="s">
        <v>92</v>
      </c>
      <c r="C24" s="102" t="s">
        <v>50</v>
      </c>
      <c r="D24" s="101" t="s">
        <v>97</v>
      </c>
      <c r="E24" s="140">
        <v>28.22</v>
      </c>
      <c r="F24" s="112">
        <f>SUM(E24/100)</f>
        <v>0.28220000000000001</v>
      </c>
      <c r="G24" s="112">
        <v>746.6</v>
      </c>
      <c r="H24" s="60">
        <f t="shared" si="1"/>
        <v>0.21069052000000002</v>
      </c>
      <c r="I24" s="13">
        <f>F24/1*G24</f>
        <v>210.69052000000002</v>
      </c>
      <c r="J24" s="23"/>
    </row>
    <row r="25" spans="1:13" ht="15.75" customHeight="1">
      <c r="A25" s="213" t="s">
        <v>78</v>
      </c>
      <c r="B25" s="213"/>
      <c r="C25" s="213"/>
      <c r="D25" s="213"/>
      <c r="E25" s="213"/>
      <c r="F25" s="213"/>
      <c r="G25" s="213"/>
      <c r="H25" s="213"/>
      <c r="I25" s="213"/>
      <c r="J25" s="22"/>
      <c r="K25" s="8"/>
      <c r="L25" s="8"/>
      <c r="M25" s="8"/>
    </row>
    <row r="26" spans="1:13" ht="15.75" customHeight="1">
      <c r="A26" s="29"/>
      <c r="B26" s="76" t="s">
        <v>28</v>
      </c>
      <c r="C26" s="58"/>
      <c r="D26" s="57"/>
      <c r="E26" s="45"/>
      <c r="F26" s="59"/>
      <c r="G26" s="59"/>
      <c r="H26" s="60"/>
      <c r="I26" s="13"/>
      <c r="J26" s="22"/>
      <c r="K26" s="8"/>
      <c r="L26" s="8"/>
      <c r="M26" s="8"/>
    </row>
    <row r="27" spans="1:13" ht="15.75" customHeight="1">
      <c r="A27" s="29">
        <v>9</v>
      </c>
      <c r="B27" s="101" t="s">
        <v>100</v>
      </c>
      <c r="C27" s="102" t="s">
        <v>101</v>
      </c>
      <c r="D27" s="101" t="s">
        <v>179</v>
      </c>
      <c r="E27" s="112">
        <v>360.3</v>
      </c>
      <c r="F27" s="112">
        <f>SUM(E27*24/1000)</f>
        <v>8.6472000000000016</v>
      </c>
      <c r="G27" s="112">
        <v>223.46</v>
      </c>
      <c r="H27" s="60">
        <f t="shared" ref="H27:H33" si="3">SUM(F27*G27/1000)</f>
        <v>1.9323033120000004</v>
      </c>
      <c r="I27" s="13">
        <f>F27/6*G27</f>
        <v>322.0505520000001</v>
      </c>
      <c r="J27" s="22"/>
      <c r="K27" s="8"/>
      <c r="L27" s="8"/>
      <c r="M27" s="8"/>
    </row>
    <row r="28" spans="1:13" ht="31.5" customHeight="1">
      <c r="A28" s="29">
        <v>10</v>
      </c>
      <c r="B28" s="101" t="s">
        <v>126</v>
      </c>
      <c r="C28" s="102" t="s">
        <v>101</v>
      </c>
      <c r="D28" s="101" t="s">
        <v>179</v>
      </c>
      <c r="E28" s="112">
        <v>202.36</v>
      </c>
      <c r="F28" s="112">
        <f>SUM(E28*24/1000)</f>
        <v>4.8566400000000005</v>
      </c>
      <c r="G28" s="112">
        <v>370.77</v>
      </c>
      <c r="H28" s="60">
        <f t="shared" si="3"/>
        <v>1.8006964128000003</v>
      </c>
      <c r="I28" s="13">
        <f t="shared" ref="I28:I31" si="4">F28/6*G28</f>
        <v>300.11606879999999</v>
      </c>
      <c r="J28" s="22"/>
      <c r="K28" s="8"/>
      <c r="L28" s="8"/>
      <c r="M28" s="8"/>
    </row>
    <row r="29" spans="1:13" ht="15.75" hidden="1" customHeight="1">
      <c r="A29" s="29">
        <v>14</v>
      </c>
      <c r="B29" s="101" t="s">
        <v>130</v>
      </c>
      <c r="C29" s="102" t="s">
        <v>101</v>
      </c>
      <c r="D29" s="101" t="s">
        <v>82</v>
      </c>
      <c r="E29" s="123">
        <v>143.20000000000002</v>
      </c>
      <c r="F29" s="112">
        <v>0</v>
      </c>
      <c r="G29" s="112">
        <v>293.27999999999997</v>
      </c>
      <c r="H29" s="60">
        <f t="shared" si="3"/>
        <v>0</v>
      </c>
      <c r="I29" s="13">
        <f>F29*G29</f>
        <v>0</v>
      </c>
      <c r="J29" s="22"/>
      <c r="K29" s="8"/>
      <c r="L29" s="8"/>
      <c r="M29" s="8"/>
    </row>
    <row r="30" spans="1:13" ht="15.75" hidden="1" customHeight="1">
      <c r="A30" s="29">
        <v>10</v>
      </c>
      <c r="B30" s="101" t="s">
        <v>27</v>
      </c>
      <c r="C30" s="102" t="s">
        <v>101</v>
      </c>
      <c r="D30" s="101" t="s">
        <v>51</v>
      </c>
      <c r="E30" s="112">
        <v>360.3</v>
      </c>
      <c r="F30" s="112">
        <f>SUM(E30/1000)</f>
        <v>0.36030000000000001</v>
      </c>
      <c r="G30" s="112">
        <v>4329.78</v>
      </c>
      <c r="H30" s="60">
        <f t="shared" si="3"/>
        <v>1.5600197339999999</v>
      </c>
      <c r="I30" s="13">
        <f t="shared" si="4"/>
        <v>260.003289</v>
      </c>
      <c r="J30" s="22"/>
      <c r="K30" s="8"/>
      <c r="L30" s="8"/>
      <c r="M30" s="8"/>
    </row>
    <row r="31" spans="1:13" ht="15.75" customHeight="1">
      <c r="A31" s="29">
        <v>11</v>
      </c>
      <c r="B31" s="101" t="s">
        <v>104</v>
      </c>
      <c r="C31" s="102" t="s">
        <v>38</v>
      </c>
      <c r="D31" s="101" t="s">
        <v>185</v>
      </c>
      <c r="E31" s="112">
        <v>6</v>
      </c>
      <c r="F31" s="112">
        <f>SUM(E31*48/100)</f>
        <v>2.88</v>
      </c>
      <c r="G31" s="112">
        <v>1866.51</v>
      </c>
      <c r="H31" s="60">
        <f t="shared" si="3"/>
        <v>5.3755487999999998</v>
      </c>
      <c r="I31" s="13">
        <f t="shared" si="4"/>
        <v>895.9248</v>
      </c>
      <c r="J31" s="22"/>
      <c r="K31" s="8"/>
    </row>
    <row r="32" spans="1:13" ht="15.75" hidden="1" customHeight="1">
      <c r="A32" s="29">
        <v>9</v>
      </c>
      <c r="B32" s="101" t="s">
        <v>61</v>
      </c>
      <c r="C32" s="102" t="s">
        <v>32</v>
      </c>
      <c r="D32" s="101" t="s">
        <v>178</v>
      </c>
      <c r="E32" s="123"/>
      <c r="F32" s="112">
        <v>1</v>
      </c>
      <c r="G32" s="112">
        <v>274.26</v>
      </c>
      <c r="H32" s="60">
        <f t="shared" si="3"/>
        <v>0.27426</v>
      </c>
      <c r="I32" s="13">
        <f>G32*1</f>
        <v>274.26</v>
      </c>
      <c r="J32" s="23"/>
    </row>
    <row r="33" spans="1:14" ht="15.75" hidden="1" customHeight="1">
      <c r="A33" s="29"/>
      <c r="B33" s="57" t="s">
        <v>62</v>
      </c>
      <c r="C33" s="58" t="s">
        <v>31</v>
      </c>
      <c r="D33" s="57" t="s">
        <v>63</v>
      </c>
      <c r="E33" s="45"/>
      <c r="F33" s="59">
        <v>3</v>
      </c>
      <c r="G33" s="59">
        <v>1136.33</v>
      </c>
      <c r="H33" s="60">
        <f t="shared" si="3"/>
        <v>3.4089899999999997</v>
      </c>
      <c r="I33" s="13">
        <v>0</v>
      </c>
      <c r="J33" s="23"/>
    </row>
    <row r="34" spans="1:14" ht="15.75" hidden="1" customHeight="1">
      <c r="A34" s="29"/>
      <c r="B34" s="76" t="s">
        <v>5</v>
      </c>
      <c r="C34" s="58"/>
      <c r="D34" s="57"/>
      <c r="E34" s="45"/>
      <c r="F34" s="59"/>
      <c r="G34" s="59"/>
      <c r="H34" s="60" t="s">
        <v>118</v>
      </c>
      <c r="I34" s="13"/>
      <c r="J34" s="23"/>
    </row>
    <row r="35" spans="1:14" ht="15.75" hidden="1" customHeight="1">
      <c r="A35" s="29">
        <v>8</v>
      </c>
      <c r="B35" s="57" t="s">
        <v>26</v>
      </c>
      <c r="C35" s="58" t="s">
        <v>31</v>
      </c>
      <c r="D35" s="57"/>
      <c r="E35" s="45"/>
      <c r="F35" s="59">
        <v>20</v>
      </c>
      <c r="G35" s="59">
        <v>1527.22</v>
      </c>
      <c r="H35" s="60">
        <f t="shared" ref="H35:H41" si="5">SUM(F35*G35/1000)</f>
        <v>30.544400000000003</v>
      </c>
      <c r="I35" s="13">
        <f>F35/6*G35</f>
        <v>5090.7333333333336</v>
      </c>
      <c r="J35" s="23"/>
    </row>
    <row r="36" spans="1:14" ht="15.75" hidden="1" customHeight="1">
      <c r="A36" s="29">
        <v>9</v>
      </c>
      <c r="B36" s="57" t="s">
        <v>64</v>
      </c>
      <c r="C36" s="58" t="s">
        <v>29</v>
      </c>
      <c r="D36" s="57" t="s">
        <v>131</v>
      </c>
      <c r="E36" s="59">
        <v>632.4</v>
      </c>
      <c r="F36" s="59">
        <f>SUM(E36*50/1000)</f>
        <v>31.62</v>
      </c>
      <c r="G36" s="59">
        <v>2102.71</v>
      </c>
      <c r="H36" s="60">
        <f t="shared" si="5"/>
        <v>66.487690200000003</v>
      </c>
      <c r="I36" s="13">
        <f>F36/6*G36</f>
        <v>11081.281700000001</v>
      </c>
      <c r="J36" s="23"/>
      <c r="L36" s="19"/>
      <c r="M36" s="20"/>
      <c r="N36" s="21"/>
    </row>
    <row r="37" spans="1:14" ht="15.75" hidden="1" customHeight="1">
      <c r="A37" s="29"/>
      <c r="B37" s="57" t="s">
        <v>86</v>
      </c>
      <c r="C37" s="58" t="s">
        <v>106</v>
      </c>
      <c r="D37" s="57" t="s">
        <v>63</v>
      </c>
      <c r="E37" s="45"/>
      <c r="F37" s="59">
        <v>30</v>
      </c>
      <c r="G37" s="59">
        <v>213.2</v>
      </c>
      <c r="H37" s="60">
        <f t="shared" si="5"/>
        <v>6.3959999999999999</v>
      </c>
      <c r="I37" s="13">
        <f>0</f>
        <v>0</v>
      </c>
      <c r="J37" s="23"/>
      <c r="L37" s="19"/>
      <c r="M37" s="20"/>
      <c r="N37" s="21"/>
    </row>
    <row r="38" spans="1:14" ht="15.75" hidden="1" customHeight="1">
      <c r="A38" s="29">
        <v>10</v>
      </c>
      <c r="B38" s="57" t="s">
        <v>65</v>
      </c>
      <c r="C38" s="58" t="s">
        <v>29</v>
      </c>
      <c r="D38" s="57" t="s">
        <v>107</v>
      </c>
      <c r="E38" s="59">
        <v>106</v>
      </c>
      <c r="F38" s="59">
        <f>SUM(E38*155/1000)</f>
        <v>16.43</v>
      </c>
      <c r="G38" s="59">
        <v>350.75</v>
      </c>
      <c r="H38" s="60">
        <f t="shared" si="5"/>
        <v>5.7628225000000004</v>
      </c>
      <c r="I38" s="13">
        <f>F38/6*G38</f>
        <v>960.47041666666667</v>
      </c>
      <c r="J38" s="23"/>
      <c r="L38" s="19"/>
      <c r="M38" s="20"/>
      <c r="N38" s="21"/>
    </row>
    <row r="39" spans="1:14" ht="47.25" hidden="1" customHeight="1">
      <c r="A39" s="29">
        <v>11</v>
      </c>
      <c r="B39" s="57" t="s">
        <v>76</v>
      </c>
      <c r="C39" s="58" t="s">
        <v>101</v>
      </c>
      <c r="D39" s="57" t="s">
        <v>132</v>
      </c>
      <c r="E39" s="59">
        <v>106</v>
      </c>
      <c r="F39" s="59">
        <f>SUM(E39*70/1000)</f>
        <v>7.42</v>
      </c>
      <c r="G39" s="59">
        <v>5803.28</v>
      </c>
      <c r="H39" s="60">
        <f t="shared" si="5"/>
        <v>43.060337599999997</v>
      </c>
      <c r="I39" s="13">
        <f>F39/6*G39</f>
        <v>7176.7229333333325</v>
      </c>
      <c r="J39" s="23"/>
      <c r="L39" s="19"/>
      <c r="M39" s="20"/>
      <c r="N39" s="21"/>
    </row>
    <row r="40" spans="1:14" ht="15.75" hidden="1" customHeight="1">
      <c r="A40" s="29">
        <v>12</v>
      </c>
      <c r="B40" s="57" t="s">
        <v>108</v>
      </c>
      <c r="C40" s="58" t="s">
        <v>101</v>
      </c>
      <c r="D40" s="57" t="s">
        <v>66</v>
      </c>
      <c r="E40" s="59">
        <v>106</v>
      </c>
      <c r="F40" s="59">
        <f>SUM(E40*45/1000)</f>
        <v>4.7699999999999996</v>
      </c>
      <c r="G40" s="59">
        <v>428.7</v>
      </c>
      <c r="H40" s="60">
        <f t="shared" si="5"/>
        <v>2.0448989999999996</v>
      </c>
      <c r="I40" s="13">
        <f>F40/6*G40</f>
        <v>340.81649999999996</v>
      </c>
      <c r="J40" s="23"/>
      <c r="L40" s="19"/>
      <c r="M40" s="20"/>
      <c r="N40" s="21"/>
    </row>
    <row r="41" spans="1:14" ht="15.75" hidden="1" customHeight="1">
      <c r="A41" s="29">
        <v>13</v>
      </c>
      <c r="B41" s="57" t="s">
        <v>67</v>
      </c>
      <c r="C41" s="58" t="s">
        <v>32</v>
      </c>
      <c r="D41" s="57"/>
      <c r="E41" s="45"/>
      <c r="F41" s="59">
        <v>0.9</v>
      </c>
      <c r="G41" s="59">
        <v>798</v>
      </c>
      <c r="H41" s="60">
        <f t="shared" si="5"/>
        <v>0.71820000000000006</v>
      </c>
      <c r="I41" s="13">
        <f>F41/6*G41</f>
        <v>119.69999999999999</v>
      </c>
      <c r="J41" s="23"/>
      <c r="L41" s="19"/>
      <c r="M41" s="20"/>
      <c r="N41" s="21"/>
    </row>
    <row r="42" spans="1:14" ht="15.75" hidden="1" customHeight="1">
      <c r="A42" s="214" t="s">
        <v>121</v>
      </c>
      <c r="B42" s="215"/>
      <c r="C42" s="215"/>
      <c r="D42" s="215"/>
      <c r="E42" s="215"/>
      <c r="F42" s="215"/>
      <c r="G42" s="215"/>
      <c r="H42" s="215"/>
      <c r="I42" s="216"/>
      <c r="J42" s="23"/>
      <c r="L42" s="19"/>
      <c r="M42" s="20"/>
      <c r="N42" s="21"/>
    </row>
    <row r="43" spans="1:14" ht="15.75" hidden="1" customHeight="1">
      <c r="A43" s="29">
        <v>17</v>
      </c>
      <c r="B43" s="57" t="s">
        <v>133</v>
      </c>
      <c r="C43" s="58" t="s">
        <v>101</v>
      </c>
      <c r="D43" s="57" t="s">
        <v>40</v>
      </c>
      <c r="E43" s="45">
        <v>1150.5999999999999</v>
      </c>
      <c r="F43" s="59">
        <f>SUM(E43*2/1000)</f>
        <v>2.3011999999999997</v>
      </c>
      <c r="G43" s="13">
        <v>849.49</v>
      </c>
      <c r="H43" s="60">
        <f t="shared" ref="H43:H51" si="6">SUM(F43*G43/1000)</f>
        <v>1.9548463879999998</v>
      </c>
      <c r="I43" s="13">
        <f t="shared" ref="I43:I45" si="7">F43/2*G43</f>
        <v>977.42319399999985</v>
      </c>
      <c r="J43" s="23"/>
      <c r="L43" s="19"/>
      <c r="M43" s="20"/>
      <c r="N43" s="21"/>
    </row>
    <row r="44" spans="1:14" ht="15.75" hidden="1" customHeight="1">
      <c r="A44" s="29">
        <v>18</v>
      </c>
      <c r="B44" s="57" t="s">
        <v>33</v>
      </c>
      <c r="C44" s="58" t="s">
        <v>101</v>
      </c>
      <c r="D44" s="57" t="s">
        <v>40</v>
      </c>
      <c r="E44" s="45">
        <v>108.96</v>
      </c>
      <c r="F44" s="59">
        <f>SUM(E44*2/1000)</f>
        <v>0.21791999999999997</v>
      </c>
      <c r="G44" s="13">
        <v>579.48</v>
      </c>
      <c r="H44" s="60">
        <f t="shared" si="6"/>
        <v>0.12628028159999999</v>
      </c>
      <c r="I44" s="13">
        <f t="shared" si="7"/>
        <v>63.140140799999998</v>
      </c>
      <c r="J44" s="23"/>
      <c r="L44" s="19"/>
      <c r="M44" s="20"/>
      <c r="N44" s="21"/>
    </row>
    <row r="45" spans="1:14" ht="15.75" hidden="1" customHeight="1">
      <c r="A45" s="29">
        <v>19</v>
      </c>
      <c r="B45" s="57" t="s">
        <v>34</v>
      </c>
      <c r="C45" s="58" t="s">
        <v>101</v>
      </c>
      <c r="D45" s="57" t="s">
        <v>40</v>
      </c>
      <c r="E45" s="45">
        <v>4224.3999999999996</v>
      </c>
      <c r="F45" s="59">
        <f>SUM(E45*2/1000)</f>
        <v>8.4487999999999985</v>
      </c>
      <c r="G45" s="13">
        <v>579.48</v>
      </c>
      <c r="H45" s="60">
        <f t="shared" si="6"/>
        <v>4.895910623999999</v>
      </c>
      <c r="I45" s="13">
        <f t="shared" si="7"/>
        <v>2447.9553119999996</v>
      </c>
      <c r="J45" s="23"/>
      <c r="L45" s="19"/>
      <c r="M45" s="20"/>
      <c r="N45" s="21"/>
    </row>
    <row r="46" spans="1:14" ht="15.75" hidden="1" customHeight="1">
      <c r="A46" s="29">
        <v>20</v>
      </c>
      <c r="B46" s="57" t="s">
        <v>35</v>
      </c>
      <c r="C46" s="58" t="s">
        <v>101</v>
      </c>
      <c r="D46" s="57" t="s">
        <v>40</v>
      </c>
      <c r="E46" s="45">
        <v>3059.7</v>
      </c>
      <c r="F46" s="59">
        <f>SUM(E46*2/1000)</f>
        <v>6.1193999999999997</v>
      </c>
      <c r="G46" s="13">
        <v>606.77</v>
      </c>
      <c r="H46" s="60">
        <f t="shared" si="6"/>
        <v>3.7130683379999998</v>
      </c>
      <c r="I46" s="13">
        <f>F46/2*G46</f>
        <v>1856.5341689999998</v>
      </c>
      <c r="J46" s="23"/>
      <c r="L46" s="19"/>
      <c r="M46" s="20"/>
      <c r="N46" s="21"/>
    </row>
    <row r="47" spans="1:14" ht="15.75" hidden="1" customHeight="1">
      <c r="A47" s="29">
        <v>21</v>
      </c>
      <c r="B47" s="57" t="s">
        <v>53</v>
      </c>
      <c r="C47" s="58" t="s">
        <v>101</v>
      </c>
      <c r="D47" s="57" t="s">
        <v>127</v>
      </c>
      <c r="E47" s="45">
        <v>1150.5999999999999</v>
      </c>
      <c r="F47" s="59">
        <f>SUM(E47*5/1000)</f>
        <v>5.7530000000000001</v>
      </c>
      <c r="G47" s="13">
        <v>1213.55</v>
      </c>
      <c r="H47" s="60">
        <f t="shared" si="6"/>
        <v>6.9815531499999999</v>
      </c>
      <c r="I47" s="13">
        <f>F47/5*G47</f>
        <v>1396.3106299999999</v>
      </c>
      <c r="J47" s="23"/>
      <c r="L47" s="19"/>
      <c r="M47" s="20"/>
      <c r="N47" s="21"/>
    </row>
    <row r="48" spans="1:14" ht="31.5" hidden="1" customHeight="1">
      <c r="A48" s="29">
        <v>14</v>
      </c>
      <c r="B48" s="57" t="s">
        <v>109</v>
      </c>
      <c r="C48" s="58" t="s">
        <v>101</v>
      </c>
      <c r="D48" s="57" t="s">
        <v>40</v>
      </c>
      <c r="E48" s="45">
        <v>1150.5999999999999</v>
      </c>
      <c r="F48" s="59">
        <f>SUM(E48*2/1000)</f>
        <v>2.3011999999999997</v>
      </c>
      <c r="G48" s="13">
        <v>1213.55</v>
      </c>
      <c r="H48" s="60">
        <f t="shared" si="6"/>
        <v>2.7926212599999993</v>
      </c>
      <c r="I48" s="13">
        <f>F48/2*G48</f>
        <v>1396.3106299999997</v>
      </c>
      <c r="J48" s="23"/>
      <c r="L48" s="19"/>
      <c r="M48" s="20"/>
      <c r="N48" s="21"/>
    </row>
    <row r="49" spans="1:22" ht="31.5" hidden="1" customHeight="1">
      <c r="A49" s="29">
        <v>15</v>
      </c>
      <c r="B49" s="57" t="s">
        <v>110</v>
      </c>
      <c r="C49" s="58" t="s">
        <v>36</v>
      </c>
      <c r="D49" s="57" t="s">
        <v>40</v>
      </c>
      <c r="E49" s="45">
        <v>30</v>
      </c>
      <c r="F49" s="59">
        <f>SUM(E49*2/100)</f>
        <v>0.6</v>
      </c>
      <c r="G49" s="13">
        <v>2730.49</v>
      </c>
      <c r="H49" s="60">
        <f t="shared" si="6"/>
        <v>1.6382939999999999</v>
      </c>
      <c r="I49" s="13">
        <f>F49/2*G49</f>
        <v>819.14699999999993</v>
      </c>
      <c r="J49" s="23"/>
      <c r="L49" s="19"/>
      <c r="M49" s="20"/>
      <c r="N49" s="21"/>
    </row>
    <row r="50" spans="1:22" ht="15.75" hidden="1" customHeight="1">
      <c r="A50" s="29">
        <v>14</v>
      </c>
      <c r="B50" s="57" t="s">
        <v>37</v>
      </c>
      <c r="C50" s="58" t="s">
        <v>38</v>
      </c>
      <c r="D50" s="57" t="s">
        <v>40</v>
      </c>
      <c r="E50" s="45">
        <v>1</v>
      </c>
      <c r="F50" s="59">
        <v>0.02</v>
      </c>
      <c r="G50" s="13">
        <v>5652.13</v>
      </c>
      <c r="H50" s="60">
        <f t="shared" si="6"/>
        <v>0.11304260000000001</v>
      </c>
      <c r="I50" s="13">
        <f>F50/2*G50</f>
        <v>56.521300000000004</v>
      </c>
      <c r="J50" s="23"/>
      <c r="L50" s="19"/>
      <c r="M50" s="20"/>
      <c r="N50" s="21"/>
    </row>
    <row r="51" spans="1:22" ht="0.75" customHeight="1">
      <c r="A51" s="29">
        <v>12</v>
      </c>
      <c r="B51" s="57" t="s">
        <v>39</v>
      </c>
      <c r="C51" s="58" t="s">
        <v>111</v>
      </c>
      <c r="D51" s="57" t="s">
        <v>68</v>
      </c>
      <c r="E51" s="45">
        <v>158</v>
      </c>
      <c r="F51" s="59">
        <f>SUM(E51)*3</f>
        <v>474</v>
      </c>
      <c r="G51" s="13">
        <v>65.67</v>
      </c>
      <c r="H51" s="60">
        <f t="shared" si="6"/>
        <v>31.127580000000002</v>
      </c>
      <c r="I51" s="13">
        <f>E51*G51</f>
        <v>10375.86</v>
      </c>
      <c r="J51" s="23"/>
      <c r="L51" s="19"/>
      <c r="M51" s="20"/>
      <c r="N51" s="21"/>
    </row>
    <row r="52" spans="1:22" ht="15.75" customHeight="1">
      <c r="A52" s="214" t="s">
        <v>144</v>
      </c>
      <c r="B52" s="215"/>
      <c r="C52" s="215"/>
      <c r="D52" s="215"/>
      <c r="E52" s="215"/>
      <c r="F52" s="215"/>
      <c r="G52" s="215"/>
      <c r="H52" s="215"/>
      <c r="I52" s="216"/>
      <c r="J52" s="23"/>
      <c r="L52" s="19"/>
      <c r="M52" s="20"/>
      <c r="N52" s="21"/>
    </row>
    <row r="53" spans="1:22" ht="15.75" hidden="1" customHeight="1">
      <c r="A53" s="29"/>
      <c r="B53" s="76" t="s">
        <v>41</v>
      </c>
      <c r="C53" s="58"/>
      <c r="D53" s="57"/>
      <c r="E53" s="45"/>
      <c r="F53" s="59"/>
      <c r="G53" s="59"/>
      <c r="H53" s="60"/>
      <c r="I53" s="13"/>
      <c r="J53" s="23"/>
      <c r="L53" s="19"/>
      <c r="M53" s="20"/>
      <c r="N53" s="21"/>
    </row>
    <row r="54" spans="1:22" ht="31.5" hidden="1" customHeight="1">
      <c r="A54" s="29">
        <v>16</v>
      </c>
      <c r="B54" s="57" t="s">
        <v>135</v>
      </c>
      <c r="C54" s="58" t="s">
        <v>93</v>
      </c>
      <c r="D54" s="57" t="s">
        <v>136</v>
      </c>
      <c r="E54" s="85">
        <v>6</v>
      </c>
      <c r="F54" s="13">
        <f>E54*8/100</f>
        <v>0.48</v>
      </c>
      <c r="G54" s="59">
        <v>1547.28</v>
      </c>
      <c r="H54" s="60">
        <f>SUM(F54*G54/1000)</f>
        <v>0.74269439999999998</v>
      </c>
      <c r="I54" s="13">
        <f>F54/6*G54</f>
        <v>123.7824</v>
      </c>
      <c r="J54" s="23"/>
      <c r="L54" s="19"/>
      <c r="M54" s="20"/>
      <c r="N54" s="21"/>
    </row>
    <row r="55" spans="1:22" ht="15.75" hidden="1" customHeight="1">
      <c r="A55" s="86"/>
      <c r="B55" s="57" t="s">
        <v>90</v>
      </c>
      <c r="C55" s="58" t="s">
        <v>91</v>
      </c>
      <c r="D55" s="57" t="s">
        <v>40</v>
      </c>
      <c r="E55" s="45">
        <v>6</v>
      </c>
      <c r="F55" s="59">
        <v>12</v>
      </c>
      <c r="G55" s="65">
        <v>180.78</v>
      </c>
      <c r="H55" s="60">
        <f t="shared" ref="H55" si="8">SUM(F55*G55/1000)</f>
        <v>2.1693600000000002</v>
      </c>
      <c r="I55" s="13">
        <v>0</v>
      </c>
      <c r="J55" s="23"/>
      <c r="L55" s="19"/>
      <c r="M55" s="20"/>
      <c r="N55" s="21"/>
    </row>
    <row r="56" spans="1:22" ht="15.75" customHeight="1">
      <c r="A56" s="29"/>
      <c r="B56" s="77" t="s">
        <v>42</v>
      </c>
      <c r="C56" s="66"/>
      <c r="D56" s="67"/>
      <c r="E56" s="68"/>
      <c r="F56" s="70"/>
      <c r="G56" s="13"/>
      <c r="H56" s="71"/>
      <c r="I56" s="13"/>
      <c r="J56" s="23"/>
      <c r="L56" s="19"/>
      <c r="M56" s="20"/>
      <c r="N56" s="21"/>
    </row>
    <row r="57" spans="1:22" ht="15.75" customHeight="1">
      <c r="A57" s="29">
        <v>12</v>
      </c>
      <c r="B57" s="67" t="s">
        <v>87</v>
      </c>
      <c r="C57" s="66" t="s">
        <v>25</v>
      </c>
      <c r="D57" s="67" t="s">
        <v>178</v>
      </c>
      <c r="E57" s="68">
        <v>232.6</v>
      </c>
      <c r="F57" s="69">
        <v>2400</v>
      </c>
      <c r="G57" s="87">
        <v>1.4</v>
      </c>
      <c r="H57" s="70">
        <f>G57*F57</f>
        <v>3360</v>
      </c>
      <c r="I57" s="13">
        <f>F57/12*G57</f>
        <v>280</v>
      </c>
      <c r="J57" s="23"/>
      <c r="L57" s="19"/>
    </row>
    <row r="58" spans="1:22" ht="15.75" customHeight="1">
      <c r="A58" s="29"/>
      <c r="B58" s="77" t="s">
        <v>43</v>
      </c>
      <c r="C58" s="66"/>
      <c r="D58" s="67"/>
      <c r="E58" s="68"/>
      <c r="F58" s="69"/>
      <c r="G58" s="69"/>
      <c r="H58" s="70" t="s">
        <v>118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6.5" customHeight="1">
      <c r="A59" s="29">
        <v>13</v>
      </c>
      <c r="B59" s="152" t="s">
        <v>44</v>
      </c>
      <c r="C59" s="113" t="s">
        <v>111</v>
      </c>
      <c r="D59" s="100" t="s">
        <v>215</v>
      </c>
      <c r="E59" s="17">
        <v>18</v>
      </c>
      <c r="F59" s="112">
        <f>E59*1</f>
        <v>18</v>
      </c>
      <c r="G59" s="98">
        <v>318.82</v>
      </c>
      <c r="H59" s="72">
        <f t="shared" ref="H59" si="9">SUM(F59*G59/1000)</f>
        <v>5.7387600000000001</v>
      </c>
      <c r="I59" s="13">
        <f>G59*6</f>
        <v>1912.92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6.5" hidden="1" customHeight="1">
      <c r="A60" s="29"/>
      <c r="B60" s="14" t="s">
        <v>45</v>
      </c>
      <c r="C60" s="16" t="s">
        <v>111</v>
      </c>
      <c r="D60" s="14" t="s">
        <v>63</v>
      </c>
      <c r="E60" s="18">
        <v>5</v>
      </c>
      <c r="F60" s="59">
        <v>5</v>
      </c>
      <c r="G60" s="13">
        <v>71.790000000000006</v>
      </c>
      <c r="H60" s="72">
        <f t="shared" ref="H60:H66" si="10">SUM(F60*G60/1000)</f>
        <v>0.35895000000000005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>
        <v>12</v>
      </c>
      <c r="B61" s="152" t="s">
        <v>46</v>
      </c>
      <c r="C61" s="153" t="s">
        <v>112</v>
      </c>
      <c r="D61" s="100"/>
      <c r="E61" s="123">
        <v>18281</v>
      </c>
      <c r="F61" s="151">
        <f>SUM(E61/100)</f>
        <v>182.81</v>
      </c>
      <c r="G61" s="98">
        <v>304.13</v>
      </c>
      <c r="H61" s="72">
        <f t="shared" si="10"/>
        <v>55.598005299999997</v>
      </c>
      <c r="I61" s="13">
        <f>F61*G61</f>
        <v>55598.005299999997</v>
      </c>
      <c r="J61" s="5"/>
      <c r="K61" s="5"/>
      <c r="L61" s="5"/>
      <c r="M61" s="5"/>
      <c r="N61" s="5"/>
      <c r="O61" s="5"/>
      <c r="P61" s="5"/>
      <c r="Q61" s="5"/>
      <c r="R61" s="210"/>
      <c r="S61" s="210"/>
      <c r="T61" s="210"/>
      <c r="U61" s="210"/>
    </row>
    <row r="62" spans="1:22" ht="15.75" hidden="1" customHeight="1">
      <c r="A62" s="29">
        <v>13</v>
      </c>
      <c r="B62" s="152" t="s">
        <v>47</v>
      </c>
      <c r="C62" s="113" t="s">
        <v>113</v>
      </c>
      <c r="D62" s="100"/>
      <c r="E62" s="123">
        <v>18281</v>
      </c>
      <c r="F62" s="98">
        <f>SUM(E62/1000)</f>
        <v>18.280999999999999</v>
      </c>
      <c r="G62" s="98">
        <v>236.84</v>
      </c>
      <c r="H62" s="72">
        <f t="shared" si="10"/>
        <v>4.3296720399999993</v>
      </c>
      <c r="I62" s="13">
        <f t="shared" ref="I62:I65" si="11">F62*G62</f>
        <v>4329.6720399999995</v>
      </c>
    </row>
    <row r="63" spans="1:22" ht="15.75" hidden="1" customHeight="1">
      <c r="A63" s="29">
        <v>14</v>
      </c>
      <c r="B63" s="152" t="s">
        <v>48</v>
      </c>
      <c r="C63" s="113" t="s">
        <v>72</v>
      </c>
      <c r="D63" s="100"/>
      <c r="E63" s="123">
        <v>2730</v>
      </c>
      <c r="F63" s="98">
        <f>SUM(E63/100)</f>
        <v>27.3</v>
      </c>
      <c r="G63" s="98">
        <v>2974.1</v>
      </c>
      <c r="H63" s="72">
        <f t="shared" si="10"/>
        <v>81.19292999999999</v>
      </c>
      <c r="I63" s="13">
        <f t="shared" si="11"/>
        <v>81192.929999999993</v>
      </c>
    </row>
    <row r="64" spans="1:22" ht="15.75" hidden="1" customHeight="1">
      <c r="A64" s="29">
        <v>15</v>
      </c>
      <c r="B64" s="154" t="s">
        <v>114</v>
      </c>
      <c r="C64" s="113" t="s">
        <v>32</v>
      </c>
      <c r="D64" s="100"/>
      <c r="E64" s="123">
        <v>16.2</v>
      </c>
      <c r="F64" s="98">
        <f>SUM(E64)</f>
        <v>16.2</v>
      </c>
      <c r="G64" s="98">
        <v>47.98</v>
      </c>
      <c r="H64" s="72">
        <f t="shared" si="10"/>
        <v>0.77727599999999997</v>
      </c>
      <c r="I64" s="13">
        <f t="shared" si="11"/>
        <v>777.27599999999995</v>
      </c>
    </row>
    <row r="65" spans="1:9" ht="15.75" hidden="1" customHeight="1">
      <c r="A65" s="29">
        <v>16</v>
      </c>
      <c r="B65" s="154" t="s">
        <v>115</v>
      </c>
      <c r="C65" s="113" t="s">
        <v>32</v>
      </c>
      <c r="D65" s="100"/>
      <c r="E65" s="123">
        <v>16.2</v>
      </c>
      <c r="F65" s="98">
        <f>SUM(E65)</f>
        <v>16.2</v>
      </c>
      <c r="G65" s="98">
        <v>51.75</v>
      </c>
      <c r="H65" s="72">
        <f t="shared" si="10"/>
        <v>0.83834999999999993</v>
      </c>
      <c r="I65" s="13">
        <f t="shared" si="11"/>
        <v>838.34999999999991</v>
      </c>
    </row>
    <row r="66" spans="1:9" ht="18.75" hidden="1" customHeight="1">
      <c r="A66" s="29"/>
      <c r="B66" s="14" t="s">
        <v>54</v>
      </c>
      <c r="C66" s="16" t="s">
        <v>55</v>
      </c>
      <c r="D66" s="14" t="s">
        <v>51</v>
      </c>
      <c r="E66" s="18">
        <v>7</v>
      </c>
      <c r="F66" s="59">
        <f>SUM(E66)</f>
        <v>7</v>
      </c>
      <c r="G66" s="13">
        <v>46.97</v>
      </c>
      <c r="H66" s="72">
        <f t="shared" si="10"/>
        <v>0.32878999999999997</v>
      </c>
      <c r="I66" s="13">
        <v>0</v>
      </c>
    </row>
    <row r="67" spans="1:9" ht="18.75" customHeight="1">
      <c r="A67" s="29"/>
      <c r="B67" s="135" t="s">
        <v>166</v>
      </c>
      <c r="C67" s="113"/>
      <c r="D67" s="100"/>
      <c r="E67" s="17"/>
      <c r="F67" s="98"/>
      <c r="G67" s="98"/>
      <c r="H67" s="72"/>
      <c r="I67" s="13"/>
    </row>
    <row r="68" spans="1:9" ht="32.25" customHeight="1">
      <c r="A68" s="29">
        <v>14</v>
      </c>
      <c r="B68" s="100" t="s">
        <v>167</v>
      </c>
      <c r="C68" s="35" t="s">
        <v>168</v>
      </c>
      <c r="D68" s="100"/>
      <c r="E68" s="17">
        <v>4224.3999999999996</v>
      </c>
      <c r="F68" s="98">
        <f>E68*12</f>
        <v>50692.799999999996</v>
      </c>
      <c r="G68" s="98">
        <v>2.4900000000000002</v>
      </c>
      <c r="H68" s="72"/>
      <c r="I68" s="13">
        <f>G68*F68/12</f>
        <v>10518.755999999999</v>
      </c>
    </row>
    <row r="69" spans="1:9" ht="15.75" customHeight="1">
      <c r="A69" s="29"/>
      <c r="B69" s="84" t="s">
        <v>69</v>
      </c>
      <c r="C69" s="16"/>
      <c r="D69" s="14"/>
      <c r="E69" s="18"/>
      <c r="F69" s="13"/>
      <c r="G69" s="13"/>
      <c r="H69" s="72" t="s">
        <v>118</v>
      </c>
      <c r="I69" s="13"/>
    </row>
    <row r="70" spans="1:9" ht="15.75" hidden="1" customHeight="1">
      <c r="A70" s="29"/>
      <c r="B70" s="14" t="s">
        <v>80</v>
      </c>
      <c r="C70" s="16" t="s">
        <v>30</v>
      </c>
      <c r="D70" s="14"/>
      <c r="E70" s="18">
        <v>1</v>
      </c>
      <c r="F70" s="59">
        <f>SUM(E70)</f>
        <v>1</v>
      </c>
      <c r="G70" s="13">
        <v>337.58</v>
      </c>
      <c r="H70" s="72">
        <f t="shared" ref="H70" si="12">SUM(F70*G70/1000)</f>
        <v>0.33757999999999999</v>
      </c>
      <c r="I70" s="13">
        <v>0</v>
      </c>
    </row>
    <row r="71" spans="1:9" ht="15.75" hidden="1" customHeight="1">
      <c r="A71" s="29"/>
      <c r="B71" s="14" t="s">
        <v>70</v>
      </c>
      <c r="C71" s="16" t="s">
        <v>30</v>
      </c>
      <c r="D71" s="14"/>
      <c r="E71" s="18">
        <v>2</v>
      </c>
      <c r="F71" s="13">
        <v>2</v>
      </c>
      <c r="G71" s="13">
        <v>803.19</v>
      </c>
      <c r="H71" s="72">
        <f>F71*G71/1000</f>
        <v>1.6063800000000001</v>
      </c>
      <c r="I71" s="13">
        <v>0</v>
      </c>
    </row>
    <row r="72" spans="1:9" ht="15.75" hidden="1" customHeight="1">
      <c r="A72" s="29">
        <v>18</v>
      </c>
      <c r="B72" s="95" t="s">
        <v>208</v>
      </c>
      <c r="C72" s="96" t="s">
        <v>209</v>
      </c>
      <c r="D72" s="100" t="s">
        <v>210</v>
      </c>
      <c r="E72" s="17">
        <v>6</v>
      </c>
      <c r="F72" s="112">
        <f>SUM(E72)/10</f>
        <v>0.6</v>
      </c>
      <c r="G72" s="98">
        <v>719.08</v>
      </c>
      <c r="H72" s="72"/>
      <c r="I72" s="13">
        <f>G72*0.2</f>
        <v>143.816</v>
      </c>
    </row>
    <row r="73" spans="1:9" ht="29.25" customHeight="1">
      <c r="A73" s="29">
        <v>15</v>
      </c>
      <c r="B73" s="95" t="s">
        <v>169</v>
      </c>
      <c r="C73" s="96" t="s">
        <v>111</v>
      </c>
      <c r="D73" s="100" t="s">
        <v>178</v>
      </c>
      <c r="E73" s="17">
        <v>2</v>
      </c>
      <c r="F73" s="98">
        <f>E73*12</f>
        <v>24</v>
      </c>
      <c r="G73" s="98">
        <v>404</v>
      </c>
      <c r="H73" s="72"/>
      <c r="I73" s="13">
        <f>G73*F73/12</f>
        <v>808</v>
      </c>
    </row>
    <row r="74" spans="1:9" ht="15.75" hidden="1" customHeight="1">
      <c r="A74" s="29"/>
      <c r="B74" s="74" t="s">
        <v>71</v>
      </c>
      <c r="C74" s="16"/>
      <c r="D74" s="14"/>
      <c r="E74" s="18"/>
      <c r="F74" s="13"/>
      <c r="G74" s="13" t="s">
        <v>118</v>
      </c>
      <c r="H74" s="72" t="s">
        <v>118</v>
      </c>
      <c r="I74" s="13"/>
    </row>
    <row r="75" spans="1:9" ht="15" hidden="1" customHeight="1">
      <c r="A75" s="29">
        <v>19</v>
      </c>
      <c r="B75" s="161" t="s">
        <v>119</v>
      </c>
      <c r="C75" s="153" t="s">
        <v>72</v>
      </c>
      <c r="D75" s="152"/>
      <c r="E75" s="162"/>
      <c r="F75" s="151">
        <v>0.65</v>
      </c>
      <c r="G75" s="151">
        <v>10325.85</v>
      </c>
      <c r="H75" s="72">
        <f t="shared" ref="H75" si="13">SUM(F75*G75/1000)</f>
        <v>6.711802500000001</v>
      </c>
      <c r="I75" s="13">
        <f>G75*0.03</f>
        <v>309.77550000000002</v>
      </c>
    </row>
    <row r="76" spans="1:9" ht="17.25" hidden="1" customHeight="1">
      <c r="A76" s="29"/>
      <c r="B76" s="61" t="s">
        <v>116</v>
      </c>
      <c r="C76" s="74"/>
      <c r="D76" s="31"/>
      <c r="E76" s="32"/>
      <c r="F76" s="62"/>
      <c r="G76" s="62"/>
      <c r="H76" s="75">
        <f>SUM(H54:H75)</f>
        <v>3520.73055024</v>
      </c>
      <c r="I76" s="62"/>
    </row>
    <row r="77" spans="1:9" ht="12" hidden="1" customHeight="1">
      <c r="A77" s="29">
        <v>29</v>
      </c>
      <c r="B77" s="57" t="s">
        <v>117</v>
      </c>
      <c r="C77" s="16"/>
      <c r="D77" s="14"/>
      <c r="E77" s="52"/>
      <c r="F77" s="13">
        <v>1</v>
      </c>
      <c r="G77" s="13">
        <v>17359.8</v>
      </c>
      <c r="H77" s="72">
        <f>G77*F77/1000</f>
        <v>17.3598</v>
      </c>
      <c r="I77" s="13">
        <f>G77</f>
        <v>17359.8</v>
      </c>
    </row>
    <row r="78" spans="1:9" ht="15.75" customHeight="1">
      <c r="A78" s="223" t="s">
        <v>145</v>
      </c>
      <c r="B78" s="224"/>
      <c r="C78" s="224"/>
      <c r="D78" s="224"/>
      <c r="E78" s="224"/>
      <c r="F78" s="224"/>
      <c r="G78" s="224"/>
      <c r="H78" s="224"/>
      <c r="I78" s="225"/>
    </row>
    <row r="79" spans="1:9" ht="15.75" customHeight="1">
      <c r="A79" s="29">
        <v>16</v>
      </c>
      <c r="B79" s="100" t="s">
        <v>120</v>
      </c>
      <c r="C79" s="113" t="s">
        <v>52</v>
      </c>
      <c r="D79" s="136"/>
      <c r="E79" s="98">
        <v>4224.3999999999996</v>
      </c>
      <c r="F79" s="98">
        <f>SUM(E79*12)</f>
        <v>50692.799999999996</v>
      </c>
      <c r="G79" s="98">
        <v>3.38</v>
      </c>
      <c r="H79" s="13">
        <f>SUM(F79*G79/1000)</f>
        <v>171.34166399999998</v>
      </c>
      <c r="I79" s="13">
        <f>F79/12*G79</f>
        <v>14278.471999999998</v>
      </c>
    </row>
    <row r="80" spans="1:9" ht="31.5" customHeight="1">
      <c r="A80" s="29">
        <v>17</v>
      </c>
      <c r="B80" s="155" t="s">
        <v>170</v>
      </c>
      <c r="C80" s="138" t="s">
        <v>52</v>
      </c>
      <c r="D80" s="139"/>
      <c r="E80" s="140">
        <f>E79</f>
        <v>4224.3999999999996</v>
      </c>
      <c r="F80" s="141">
        <f>E80*12</f>
        <v>50692.799999999996</v>
      </c>
      <c r="G80" s="141">
        <v>3.05</v>
      </c>
      <c r="H80" s="156">
        <f>F80*G80/1000</f>
        <v>154.61303999999998</v>
      </c>
      <c r="I80" s="157">
        <f>F80/12*G80</f>
        <v>12884.419999999998</v>
      </c>
    </row>
    <row r="81" spans="1:9" ht="15.75" customHeight="1">
      <c r="A81" s="82"/>
      <c r="B81" s="34" t="s">
        <v>74</v>
      </c>
      <c r="C81" s="35"/>
      <c r="D81" s="15"/>
      <c r="E81" s="15"/>
      <c r="F81" s="15"/>
      <c r="G81" s="18"/>
      <c r="H81" s="18"/>
      <c r="I81" s="32">
        <f>I80+I79+I73+I68+I59+I57+I31+I28+I27++I23+I22+I21+I20+I19+I17+I16+I24</f>
        <v>68306.579815799996</v>
      </c>
    </row>
    <row r="82" spans="1:9" ht="15.75" customHeight="1">
      <c r="A82" s="220" t="s">
        <v>57</v>
      </c>
      <c r="B82" s="221"/>
      <c r="C82" s="221"/>
      <c r="D82" s="221"/>
      <c r="E82" s="221"/>
      <c r="F82" s="221"/>
      <c r="G82" s="221"/>
      <c r="H82" s="221"/>
      <c r="I82" s="222"/>
    </row>
    <row r="83" spans="1:9" ht="15.75" customHeight="1">
      <c r="A83" s="29">
        <v>18</v>
      </c>
      <c r="B83" s="100" t="s">
        <v>214</v>
      </c>
      <c r="C83" s="113" t="s">
        <v>189</v>
      </c>
      <c r="D83" s="97" t="s">
        <v>301</v>
      </c>
      <c r="E83" s="98"/>
      <c r="F83" s="98">
        <v>1</v>
      </c>
      <c r="G83" s="98">
        <v>672.88</v>
      </c>
      <c r="H83" s="72"/>
      <c r="I83" s="13">
        <f>G83*0.5</f>
        <v>336.44</v>
      </c>
    </row>
    <row r="84" spans="1:9" ht="21.75" customHeight="1">
      <c r="A84" s="29">
        <v>19</v>
      </c>
      <c r="B84" s="95" t="s">
        <v>291</v>
      </c>
      <c r="C84" s="96" t="s">
        <v>29</v>
      </c>
      <c r="D84" s="97" t="s">
        <v>178</v>
      </c>
      <c r="E84" s="98"/>
      <c r="F84" s="98">
        <v>0.1</v>
      </c>
      <c r="G84" s="98">
        <v>1352.12</v>
      </c>
      <c r="H84" s="72"/>
      <c r="I84" s="13">
        <v>0</v>
      </c>
    </row>
    <row r="85" spans="1:9" ht="15.75" customHeight="1">
      <c r="A85" s="29">
        <v>20</v>
      </c>
      <c r="B85" s="95" t="s">
        <v>292</v>
      </c>
      <c r="C85" s="96" t="s">
        <v>293</v>
      </c>
      <c r="D85" s="97" t="s">
        <v>303</v>
      </c>
      <c r="E85" s="98"/>
      <c r="F85" s="98">
        <v>0.3</v>
      </c>
      <c r="G85" s="98">
        <v>1366.66</v>
      </c>
      <c r="H85" s="72"/>
      <c r="I85" s="13">
        <f>G85*0.3</f>
        <v>409.99799999999999</v>
      </c>
    </row>
    <row r="86" spans="1:9" ht="33" customHeight="1">
      <c r="A86" s="29">
        <v>21</v>
      </c>
      <c r="B86" s="95" t="s">
        <v>206</v>
      </c>
      <c r="C86" s="96" t="s">
        <v>207</v>
      </c>
      <c r="D86" s="97" t="s">
        <v>300</v>
      </c>
      <c r="E86" s="98"/>
      <c r="F86" s="98">
        <v>2</v>
      </c>
      <c r="G86" s="98">
        <v>64.040000000000006</v>
      </c>
      <c r="H86" s="72"/>
      <c r="I86" s="13">
        <f>G86*1</f>
        <v>64.040000000000006</v>
      </c>
    </row>
    <row r="87" spans="1:9" ht="15.75" customHeight="1">
      <c r="A87" s="29">
        <v>22</v>
      </c>
      <c r="B87" s="95" t="s">
        <v>294</v>
      </c>
      <c r="C87" s="116" t="s">
        <v>213</v>
      </c>
      <c r="D87" s="97"/>
      <c r="E87" s="98"/>
      <c r="F87" s="98">
        <v>1</v>
      </c>
      <c r="G87" s="98">
        <v>182.26</v>
      </c>
      <c r="H87" s="72"/>
      <c r="I87" s="13">
        <f>G87*1</f>
        <v>182.26</v>
      </c>
    </row>
    <row r="88" spans="1:9" ht="15.75" customHeight="1">
      <c r="A88" s="29">
        <v>23</v>
      </c>
      <c r="B88" s="95" t="s">
        <v>295</v>
      </c>
      <c r="C88" s="116" t="s">
        <v>111</v>
      </c>
      <c r="D88" s="97" t="s">
        <v>302</v>
      </c>
      <c r="E88" s="98"/>
      <c r="F88" s="98">
        <v>3</v>
      </c>
      <c r="G88" s="98">
        <v>444</v>
      </c>
      <c r="H88" s="72"/>
      <c r="I88" s="13">
        <f>G88*3</f>
        <v>1332</v>
      </c>
    </row>
    <row r="89" spans="1:9" ht="19.5" customHeight="1">
      <c r="A89" s="29">
        <v>24</v>
      </c>
      <c r="B89" s="202" t="s">
        <v>296</v>
      </c>
      <c r="C89" s="35" t="s">
        <v>297</v>
      </c>
      <c r="D89" s="97"/>
      <c r="E89" s="98"/>
      <c r="F89" s="98">
        <v>0.1</v>
      </c>
      <c r="G89" s="98">
        <v>450.52</v>
      </c>
      <c r="H89" s="72"/>
      <c r="I89" s="13">
        <f>G89*0.1</f>
        <v>45.052</v>
      </c>
    </row>
    <row r="90" spans="1:9" ht="21" customHeight="1">
      <c r="A90" s="29">
        <v>25</v>
      </c>
      <c r="B90" s="95" t="s">
        <v>200</v>
      </c>
      <c r="C90" s="96" t="s">
        <v>38</v>
      </c>
      <c r="D90" s="97" t="s">
        <v>190</v>
      </c>
      <c r="E90" s="98"/>
      <c r="F90" s="98">
        <v>0.05</v>
      </c>
      <c r="G90" s="98">
        <v>28224.75</v>
      </c>
      <c r="H90" s="72"/>
      <c r="I90" s="13">
        <v>0</v>
      </c>
    </row>
    <row r="91" spans="1:9" ht="19.5" customHeight="1">
      <c r="A91" s="29">
        <v>26</v>
      </c>
      <c r="B91" s="100" t="s">
        <v>298</v>
      </c>
      <c r="C91" s="113" t="s">
        <v>299</v>
      </c>
      <c r="D91" s="97"/>
      <c r="E91" s="98"/>
      <c r="F91" s="98">
        <v>1</v>
      </c>
      <c r="G91" s="98">
        <v>6091.33</v>
      </c>
      <c r="H91" s="72"/>
      <c r="I91" s="13">
        <f>G91*1</f>
        <v>6091.33</v>
      </c>
    </row>
    <row r="92" spans="1:9" ht="19.5" customHeight="1">
      <c r="A92" s="29">
        <v>27</v>
      </c>
      <c r="B92" s="100" t="s">
        <v>152</v>
      </c>
      <c r="C92" s="113" t="s">
        <v>157</v>
      </c>
      <c r="D92" s="97" t="s">
        <v>304</v>
      </c>
      <c r="E92" s="98"/>
      <c r="F92" s="98">
        <v>60</v>
      </c>
      <c r="G92" s="98">
        <v>295.36</v>
      </c>
      <c r="H92" s="72"/>
      <c r="I92" s="13">
        <v>0</v>
      </c>
    </row>
    <row r="93" spans="1:9" ht="36" customHeight="1">
      <c r="A93" s="29">
        <v>28</v>
      </c>
      <c r="B93" s="95" t="s">
        <v>199</v>
      </c>
      <c r="C93" s="96" t="s">
        <v>36</v>
      </c>
      <c r="D93" s="97" t="s">
        <v>178</v>
      </c>
      <c r="E93" s="98"/>
      <c r="F93" s="98">
        <v>0.05</v>
      </c>
      <c r="G93" s="98">
        <v>4233.72</v>
      </c>
      <c r="H93" s="72"/>
      <c r="I93" s="13">
        <v>0</v>
      </c>
    </row>
    <row r="94" spans="1:9" ht="21" customHeight="1">
      <c r="A94" s="29">
        <v>29</v>
      </c>
      <c r="B94" s="95" t="s">
        <v>326</v>
      </c>
      <c r="C94" s="96" t="s">
        <v>111</v>
      </c>
      <c r="D94" s="97"/>
      <c r="E94" s="98"/>
      <c r="F94" s="98">
        <v>1</v>
      </c>
      <c r="G94" s="98">
        <v>224.48</v>
      </c>
      <c r="H94" s="72"/>
      <c r="I94" s="13">
        <f>G94*1</f>
        <v>224.48</v>
      </c>
    </row>
    <row r="95" spans="1:9" ht="15.75" customHeight="1">
      <c r="A95" s="29"/>
      <c r="B95" s="40" t="s">
        <v>49</v>
      </c>
      <c r="C95" s="36"/>
      <c r="D95" s="43"/>
      <c r="E95" s="36">
        <v>1</v>
      </c>
      <c r="F95" s="36"/>
      <c r="G95" s="36"/>
      <c r="H95" s="36"/>
      <c r="I95" s="32">
        <f>SUM(I83:I94)</f>
        <v>8685.5999999999985</v>
      </c>
    </row>
    <row r="96" spans="1:9" ht="15.75" customHeight="1">
      <c r="A96" s="29"/>
      <c r="B96" s="42" t="s">
        <v>73</v>
      </c>
      <c r="C96" s="15"/>
      <c r="D96" s="15"/>
      <c r="E96" s="37"/>
      <c r="F96" s="37"/>
      <c r="G96" s="38"/>
      <c r="H96" s="38"/>
      <c r="I96" s="17">
        <v>0</v>
      </c>
    </row>
    <row r="97" spans="1:9" ht="15.75" customHeight="1">
      <c r="A97" s="44"/>
      <c r="B97" s="41" t="s">
        <v>129</v>
      </c>
      <c r="C97" s="33"/>
      <c r="D97" s="33"/>
      <c r="E97" s="33"/>
      <c r="F97" s="33"/>
      <c r="G97" s="33"/>
      <c r="H97" s="33"/>
      <c r="I97" s="39">
        <f>I81+I95</f>
        <v>76992.179815799987</v>
      </c>
    </row>
    <row r="98" spans="1:9" ht="15.75" customHeight="1">
      <c r="A98" s="217" t="s">
        <v>327</v>
      </c>
      <c r="B98" s="217"/>
      <c r="C98" s="217"/>
      <c r="D98" s="217"/>
      <c r="E98" s="217"/>
      <c r="F98" s="217"/>
      <c r="G98" s="217"/>
      <c r="H98" s="217"/>
      <c r="I98" s="217"/>
    </row>
    <row r="99" spans="1:9" ht="15.75" customHeight="1">
      <c r="A99" s="51"/>
      <c r="B99" s="218" t="s">
        <v>328</v>
      </c>
      <c r="C99" s="218"/>
      <c r="D99" s="218"/>
      <c r="E99" s="218"/>
      <c r="F99" s="218"/>
      <c r="G99" s="218"/>
      <c r="H99" s="56"/>
      <c r="I99" s="3"/>
    </row>
    <row r="100" spans="1:9" ht="15.75" customHeight="1">
      <c r="A100" s="80"/>
      <c r="B100" s="208" t="s">
        <v>6</v>
      </c>
      <c r="C100" s="208"/>
      <c r="D100" s="208"/>
      <c r="E100" s="208"/>
      <c r="F100" s="208"/>
      <c r="G100" s="208"/>
      <c r="H100" s="24"/>
      <c r="I100" s="5"/>
    </row>
    <row r="101" spans="1:9" ht="15.75" customHeight="1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ht="15.75" customHeight="1">
      <c r="A102" s="219" t="s">
        <v>7</v>
      </c>
      <c r="B102" s="219"/>
      <c r="C102" s="219"/>
      <c r="D102" s="219"/>
      <c r="E102" s="219"/>
      <c r="F102" s="219"/>
      <c r="G102" s="219"/>
      <c r="H102" s="219"/>
      <c r="I102" s="219"/>
    </row>
    <row r="103" spans="1:9" ht="15.75" customHeight="1">
      <c r="A103" s="219" t="s">
        <v>8</v>
      </c>
      <c r="B103" s="219"/>
      <c r="C103" s="219"/>
      <c r="D103" s="219"/>
      <c r="E103" s="219"/>
      <c r="F103" s="219"/>
      <c r="G103" s="219"/>
      <c r="H103" s="219"/>
      <c r="I103" s="219"/>
    </row>
    <row r="104" spans="1:9" ht="15.75" customHeight="1">
      <c r="A104" s="212" t="s">
        <v>58</v>
      </c>
      <c r="B104" s="212"/>
      <c r="C104" s="212"/>
      <c r="D104" s="212"/>
      <c r="E104" s="212"/>
      <c r="F104" s="212"/>
      <c r="G104" s="212"/>
      <c r="H104" s="212"/>
      <c r="I104" s="212"/>
    </row>
    <row r="105" spans="1:9" ht="15.75" customHeight="1">
      <c r="A105" s="11"/>
    </row>
    <row r="106" spans="1:9" ht="15.75" customHeight="1">
      <c r="A106" s="206" t="s">
        <v>9</v>
      </c>
      <c r="B106" s="206"/>
      <c r="C106" s="206"/>
      <c r="D106" s="206"/>
      <c r="E106" s="206"/>
      <c r="F106" s="206"/>
      <c r="G106" s="206"/>
      <c r="H106" s="206"/>
      <c r="I106" s="206"/>
    </row>
    <row r="107" spans="1:9" ht="15.75" customHeight="1">
      <c r="A107" s="4"/>
    </row>
    <row r="108" spans="1:9" ht="15.75" customHeight="1">
      <c r="B108" s="81" t="s">
        <v>10</v>
      </c>
      <c r="C108" s="207" t="s">
        <v>217</v>
      </c>
      <c r="D108" s="207"/>
      <c r="E108" s="207"/>
      <c r="F108" s="54"/>
      <c r="I108" s="79"/>
    </row>
    <row r="109" spans="1:9" ht="15.75" customHeight="1">
      <c r="A109" s="80"/>
      <c r="C109" s="208" t="s">
        <v>11</v>
      </c>
      <c r="D109" s="208"/>
      <c r="E109" s="208"/>
      <c r="F109" s="24"/>
      <c r="I109" s="78" t="s">
        <v>12</v>
      </c>
    </row>
    <row r="110" spans="1:9" ht="15.75" customHeight="1">
      <c r="A110" s="25"/>
      <c r="C110" s="12"/>
      <c r="D110" s="12"/>
      <c r="G110" s="12"/>
      <c r="H110" s="12"/>
    </row>
    <row r="111" spans="1:9" ht="15.75" customHeight="1">
      <c r="B111" s="81" t="s">
        <v>13</v>
      </c>
      <c r="C111" s="209"/>
      <c r="D111" s="209"/>
      <c r="E111" s="209"/>
      <c r="F111" s="55"/>
      <c r="I111" s="79"/>
    </row>
    <row r="112" spans="1:9" ht="15.75" customHeight="1">
      <c r="A112" s="80"/>
      <c r="C112" s="210" t="s">
        <v>11</v>
      </c>
      <c r="D112" s="210"/>
      <c r="E112" s="210"/>
      <c r="F112" s="80"/>
      <c r="I112" s="78" t="s">
        <v>12</v>
      </c>
    </row>
    <row r="113" spans="1:9" ht="15.75" customHeight="1">
      <c r="A113" s="4" t="s">
        <v>14</v>
      </c>
    </row>
    <row r="114" spans="1:9" ht="15.75" customHeight="1">
      <c r="A114" s="211" t="s">
        <v>15</v>
      </c>
      <c r="B114" s="211"/>
      <c r="C114" s="211"/>
      <c r="D114" s="211"/>
      <c r="E114" s="211"/>
      <c r="F114" s="211"/>
      <c r="G114" s="211"/>
      <c r="H114" s="211"/>
      <c r="I114" s="211"/>
    </row>
    <row r="115" spans="1:9" ht="45" customHeight="1">
      <c r="A115" s="205" t="s">
        <v>16</v>
      </c>
      <c r="B115" s="205"/>
      <c r="C115" s="205"/>
      <c r="D115" s="205"/>
      <c r="E115" s="205"/>
      <c r="F115" s="205"/>
      <c r="G115" s="205"/>
      <c r="H115" s="205"/>
      <c r="I115" s="205"/>
    </row>
    <row r="116" spans="1:9" ht="30" customHeight="1">
      <c r="A116" s="205" t="s">
        <v>17</v>
      </c>
      <c r="B116" s="205"/>
      <c r="C116" s="205"/>
      <c r="D116" s="205"/>
      <c r="E116" s="205"/>
      <c r="F116" s="205"/>
      <c r="G116" s="205"/>
      <c r="H116" s="205"/>
      <c r="I116" s="205"/>
    </row>
    <row r="117" spans="1:9" ht="30" customHeight="1">
      <c r="A117" s="205" t="s">
        <v>21</v>
      </c>
      <c r="B117" s="205"/>
      <c r="C117" s="205"/>
      <c r="D117" s="205"/>
      <c r="E117" s="205"/>
      <c r="F117" s="205"/>
      <c r="G117" s="205"/>
      <c r="H117" s="205"/>
      <c r="I117" s="205"/>
    </row>
    <row r="118" spans="1:9" ht="15" customHeight="1">
      <c r="A118" s="205" t="s">
        <v>20</v>
      </c>
      <c r="B118" s="205"/>
      <c r="C118" s="205"/>
      <c r="D118" s="205"/>
      <c r="E118" s="205"/>
      <c r="F118" s="205"/>
      <c r="G118" s="205"/>
      <c r="H118" s="205"/>
      <c r="I118" s="205"/>
    </row>
  </sheetData>
  <autoFilter ref="I12:I57"/>
  <mergeCells count="29">
    <mergeCell ref="A14:I14"/>
    <mergeCell ref="A15:I15"/>
    <mergeCell ref="A25:I25"/>
    <mergeCell ref="A42:I42"/>
    <mergeCell ref="A52:I52"/>
    <mergeCell ref="A3:I3"/>
    <mergeCell ref="A4:I4"/>
    <mergeCell ref="A5:I5"/>
    <mergeCell ref="A8:I8"/>
    <mergeCell ref="A10:I10"/>
    <mergeCell ref="R61:U61"/>
    <mergeCell ref="C112:E112"/>
    <mergeCell ref="A82:I82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78:I78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rowBreaks count="1" manualBreakCount="1">
    <brk id="103" max="8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4"/>
  <sheetViews>
    <sheetView topLeftCell="A72" workbookViewId="0">
      <selection activeCell="A102" sqref="A102:I102"/>
    </sheetView>
  </sheetViews>
  <sheetFormatPr defaultRowHeight="15"/>
  <cols>
    <col min="1" max="1" width="7.5703125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8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146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305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44439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218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15.75" hidden="1" customHeight="1">
      <c r="A16" s="29">
        <v>1</v>
      </c>
      <c r="B16" s="57" t="s">
        <v>79</v>
      </c>
      <c r="C16" s="58" t="s">
        <v>93</v>
      </c>
      <c r="D16" s="57" t="s">
        <v>94</v>
      </c>
      <c r="E16" s="45">
        <v>118.34</v>
      </c>
      <c r="F16" s="59">
        <f>SUM(E16*156/100)</f>
        <v>184.6104</v>
      </c>
      <c r="G16" s="59">
        <v>175.38</v>
      </c>
      <c r="H16" s="60">
        <f t="shared" ref="H16:H25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1</v>
      </c>
      <c r="B17" s="101" t="s">
        <v>158</v>
      </c>
      <c r="C17" s="102" t="s">
        <v>93</v>
      </c>
      <c r="D17" s="101" t="s">
        <v>185</v>
      </c>
      <c r="E17" s="123">
        <v>591.70000000000005</v>
      </c>
      <c r="F17" s="112">
        <f>SUM(E17*48/100)</f>
        <v>284.01600000000002</v>
      </c>
      <c r="G17" s="112">
        <v>322.51</v>
      </c>
      <c r="H17" s="60">
        <f t="shared" si="0"/>
        <v>91.598000160000012</v>
      </c>
      <c r="I17" s="13">
        <f>F17/6*G17</f>
        <v>15266.333360000001</v>
      </c>
      <c r="J17" s="22"/>
      <c r="K17" s="8"/>
      <c r="L17" s="8"/>
      <c r="M17" s="8"/>
    </row>
    <row r="18" spans="1:13" ht="15.75" customHeight="1">
      <c r="A18" s="29">
        <v>2</v>
      </c>
      <c r="B18" s="101" t="s">
        <v>85</v>
      </c>
      <c r="C18" s="102" t="s">
        <v>93</v>
      </c>
      <c r="D18" s="101" t="s">
        <v>190</v>
      </c>
      <c r="E18" s="123">
        <v>591.70000000000005</v>
      </c>
      <c r="F18" s="112">
        <f>SUM(E18*18/100)</f>
        <v>106.506</v>
      </c>
      <c r="G18" s="112">
        <v>723.23</v>
      </c>
      <c r="H18" s="60">
        <f t="shared" si="0"/>
        <v>77.028334380000004</v>
      </c>
      <c r="I18" s="13">
        <f>F18/18*2*G18</f>
        <v>8558.7038200000006</v>
      </c>
      <c r="J18" s="22"/>
      <c r="K18" s="8"/>
      <c r="L18" s="8"/>
      <c r="M18" s="8"/>
    </row>
    <row r="19" spans="1:13" ht="15.75" hidden="1" customHeight="1">
      <c r="A19" s="29">
        <v>4</v>
      </c>
      <c r="B19" s="101" t="s">
        <v>95</v>
      </c>
      <c r="C19" s="102" t="s">
        <v>96</v>
      </c>
      <c r="D19" s="101" t="s">
        <v>97</v>
      </c>
      <c r="E19" s="45">
        <v>38.4</v>
      </c>
      <c r="F19" s="59">
        <f>SUM(E19/10)</f>
        <v>3.84</v>
      </c>
      <c r="G19" s="59">
        <v>170.16</v>
      </c>
      <c r="H19" s="60">
        <f t="shared" si="0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1" t="s">
        <v>88</v>
      </c>
      <c r="C20" s="102" t="s">
        <v>93</v>
      </c>
      <c r="D20" s="101" t="s">
        <v>180</v>
      </c>
      <c r="E20" s="123">
        <v>43.2</v>
      </c>
      <c r="F20" s="112">
        <f>SUM(E20*12/100)</f>
        <v>5.1840000000000011</v>
      </c>
      <c r="G20" s="112">
        <v>312.35000000000002</v>
      </c>
      <c r="H20" s="60">
        <f t="shared" si="0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1" t="s">
        <v>89</v>
      </c>
      <c r="C21" s="102" t="s">
        <v>93</v>
      </c>
      <c r="D21" s="101" t="s">
        <v>178</v>
      </c>
      <c r="E21" s="123">
        <v>10.08</v>
      </c>
      <c r="F21" s="112">
        <f>SUM(E21*12/100)</f>
        <v>1.2096</v>
      </c>
      <c r="G21" s="112">
        <v>309.81</v>
      </c>
      <c r="H21" s="60">
        <f t="shared" si="0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57" t="s">
        <v>98</v>
      </c>
      <c r="C22" s="58" t="s">
        <v>50</v>
      </c>
      <c r="D22" s="57" t="s">
        <v>97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0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57" t="s">
        <v>99</v>
      </c>
      <c r="C23" s="58" t="s">
        <v>50</v>
      </c>
      <c r="D23" s="57" t="s">
        <v>97</v>
      </c>
      <c r="E23" s="53">
        <v>70.56</v>
      </c>
      <c r="F23" s="59">
        <f>SUM(E23/100)</f>
        <v>0.7056</v>
      </c>
      <c r="G23" s="59">
        <v>44.29</v>
      </c>
      <c r="H23" s="60">
        <f t="shared" si="0"/>
        <v>3.1251024000000002E-2</v>
      </c>
      <c r="I23" s="13">
        <f t="shared" ref="I23:I24" si="1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57" t="s">
        <v>92</v>
      </c>
      <c r="C24" s="58" t="s">
        <v>50</v>
      </c>
      <c r="D24" s="57" t="s">
        <v>97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0"/>
        <v>0.14696975999999998</v>
      </c>
      <c r="I24" s="13">
        <f t="shared" si="1"/>
        <v>146.96975999999998</v>
      </c>
      <c r="J24" s="22"/>
      <c r="K24" s="8"/>
      <c r="L24" s="8"/>
      <c r="M24" s="8"/>
    </row>
    <row r="25" spans="1:13" ht="15.75" hidden="1" customHeight="1">
      <c r="A25" s="29">
        <v>5</v>
      </c>
      <c r="B25" s="101" t="s">
        <v>162</v>
      </c>
      <c r="C25" s="102" t="s">
        <v>32</v>
      </c>
      <c r="D25" s="101" t="s">
        <v>181</v>
      </c>
      <c r="E25" s="126">
        <v>0.2</v>
      </c>
      <c r="F25" s="112">
        <f>E25*155</f>
        <v>31</v>
      </c>
      <c r="G25" s="112">
        <v>370.77</v>
      </c>
      <c r="H25" s="60">
        <f t="shared" si="0"/>
        <v>11.493869999999999</v>
      </c>
      <c r="I25" s="13">
        <f>F25/12*G25</f>
        <v>957.82249999999999</v>
      </c>
      <c r="J25" s="23"/>
    </row>
    <row r="26" spans="1:13" ht="15.75" customHeight="1">
      <c r="A26" s="213" t="s">
        <v>78</v>
      </c>
      <c r="B26" s="213"/>
      <c r="C26" s="213"/>
      <c r="D26" s="213"/>
      <c r="E26" s="213"/>
      <c r="F26" s="213"/>
      <c r="G26" s="213"/>
      <c r="H26" s="213"/>
      <c r="I26" s="213"/>
      <c r="J26" s="22"/>
      <c r="K26" s="8"/>
      <c r="L26" s="8"/>
      <c r="M26" s="8"/>
    </row>
    <row r="27" spans="1:13" ht="15.75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customHeight="1">
      <c r="A28" s="29">
        <v>5</v>
      </c>
      <c r="B28" s="101" t="s">
        <v>100</v>
      </c>
      <c r="C28" s="102" t="s">
        <v>101</v>
      </c>
      <c r="D28" s="101" t="s">
        <v>179</v>
      </c>
      <c r="E28" s="112">
        <v>360.3</v>
      </c>
      <c r="F28" s="112">
        <f>SUM(E28*24/1000)</f>
        <v>8.6472000000000016</v>
      </c>
      <c r="G28" s="112">
        <v>223.46</v>
      </c>
      <c r="H28" s="60">
        <f t="shared" ref="H28:H32" si="2">SUM(F28*G28/1000)</f>
        <v>1.9323033120000004</v>
      </c>
      <c r="I28" s="13">
        <f>F28/6*G28</f>
        <v>322.0505520000001</v>
      </c>
      <c r="J28" s="22"/>
      <c r="K28" s="8"/>
      <c r="L28" s="8"/>
      <c r="M28" s="8"/>
    </row>
    <row r="29" spans="1:13" ht="31.5" customHeight="1">
      <c r="A29" s="29">
        <v>6</v>
      </c>
      <c r="B29" s="101" t="s">
        <v>126</v>
      </c>
      <c r="C29" s="102" t="s">
        <v>101</v>
      </c>
      <c r="D29" s="101" t="s">
        <v>179</v>
      </c>
      <c r="E29" s="112">
        <v>202.36</v>
      </c>
      <c r="F29" s="112">
        <f>SUM(E29*24/1000)</f>
        <v>4.8566400000000005</v>
      </c>
      <c r="G29" s="112">
        <v>370.77</v>
      </c>
      <c r="H29" s="60">
        <f t="shared" si="2"/>
        <v>1.8006964128000003</v>
      </c>
      <c r="I29" s="13">
        <f t="shared" ref="I29:I32" si="3">F29/6*G29</f>
        <v>300.11606879999999</v>
      </c>
      <c r="J29" s="22"/>
      <c r="K29" s="8"/>
      <c r="L29" s="8"/>
      <c r="M29" s="8"/>
    </row>
    <row r="30" spans="1:13" ht="15.75" hidden="1" customHeight="1">
      <c r="A30" s="29">
        <v>14</v>
      </c>
      <c r="B30" s="101" t="s">
        <v>130</v>
      </c>
      <c r="C30" s="102" t="s">
        <v>101</v>
      </c>
      <c r="D30" s="101" t="s">
        <v>82</v>
      </c>
      <c r="E30" s="123">
        <v>143.20000000000002</v>
      </c>
      <c r="F30" s="112">
        <v>0</v>
      </c>
      <c r="G30" s="112">
        <v>293.27999999999997</v>
      </c>
      <c r="H30" s="60">
        <f t="shared" si="2"/>
        <v>0</v>
      </c>
      <c r="I30" s="13">
        <f>F30*G30</f>
        <v>0</v>
      </c>
      <c r="J30" s="22"/>
      <c r="K30" s="8"/>
      <c r="L30" s="8"/>
      <c r="M30" s="8"/>
    </row>
    <row r="31" spans="1:13" ht="15.75" hidden="1" customHeight="1">
      <c r="A31" s="29">
        <v>10</v>
      </c>
      <c r="B31" s="101" t="s">
        <v>27</v>
      </c>
      <c r="C31" s="102" t="s">
        <v>101</v>
      </c>
      <c r="D31" s="101" t="s">
        <v>51</v>
      </c>
      <c r="E31" s="112">
        <v>360.3</v>
      </c>
      <c r="F31" s="112">
        <f>SUM(E31/1000)</f>
        <v>0.36030000000000001</v>
      </c>
      <c r="G31" s="112">
        <v>4329.78</v>
      </c>
      <c r="H31" s="60">
        <f t="shared" si="2"/>
        <v>1.5600197339999999</v>
      </c>
      <c r="I31" s="13">
        <f t="shared" si="3"/>
        <v>260.003289</v>
      </c>
      <c r="J31" s="22"/>
      <c r="K31" s="8"/>
      <c r="L31" s="8"/>
      <c r="M31" s="8"/>
    </row>
    <row r="32" spans="1:13" ht="15.75" customHeight="1">
      <c r="A32" s="29">
        <v>7</v>
      </c>
      <c r="B32" s="101" t="s">
        <v>104</v>
      </c>
      <c r="C32" s="102" t="s">
        <v>38</v>
      </c>
      <c r="D32" s="101" t="s">
        <v>185</v>
      </c>
      <c r="E32" s="112">
        <v>6</v>
      </c>
      <c r="F32" s="112">
        <f>SUM(E32*48/100)</f>
        <v>2.88</v>
      </c>
      <c r="G32" s="112">
        <v>1866.51</v>
      </c>
      <c r="H32" s="60">
        <f t="shared" si="2"/>
        <v>5.3755487999999998</v>
      </c>
      <c r="I32" s="13">
        <f t="shared" si="3"/>
        <v>895.9248</v>
      </c>
      <c r="J32" s="22"/>
      <c r="K32" s="8"/>
    </row>
    <row r="33" spans="1:14" ht="15.75" hidden="1" customHeight="1">
      <c r="A33" s="29"/>
      <c r="B33" s="57" t="s">
        <v>61</v>
      </c>
      <c r="C33" s="58" t="s">
        <v>32</v>
      </c>
      <c r="D33" s="57" t="s">
        <v>63</v>
      </c>
      <c r="E33" s="45"/>
      <c r="F33" s="59">
        <v>4</v>
      </c>
      <c r="G33" s="59">
        <v>191.32</v>
      </c>
      <c r="H33" s="60">
        <f t="shared" ref="H33:H34" si="4">SUM(F33*G33/1000)</f>
        <v>0.76527999999999996</v>
      </c>
      <c r="I33" s="13">
        <v>0</v>
      </c>
      <c r="J33" s="23"/>
    </row>
    <row r="34" spans="1:14" ht="15.75" hidden="1" customHeight="1">
      <c r="A34" s="29"/>
      <c r="B34" s="57" t="s">
        <v>62</v>
      </c>
      <c r="C34" s="58" t="s">
        <v>31</v>
      </c>
      <c r="D34" s="57" t="s">
        <v>63</v>
      </c>
      <c r="E34" s="45"/>
      <c r="F34" s="59">
        <v>3</v>
      </c>
      <c r="G34" s="59">
        <v>1136.33</v>
      </c>
      <c r="H34" s="60">
        <f t="shared" si="4"/>
        <v>3.4089899999999997</v>
      </c>
      <c r="I34" s="13">
        <v>0</v>
      </c>
      <c r="J34" s="23"/>
    </row>
    <row r="35" spans="1:14" ht="15.75" hidden="1" customHeight="1">
      <c r="A35" s="29"/>
      <c r="B35" s="76" t="s">
        <v>5</v>
      </c>
      <c r="C35" s="58"/>
      <c r="D35" s="57"/>
      <c r="E35" s="45"/>
      <c r="F35" s="59"/>
      <c r="G35" s="59"/>
      <c r="H35" s="60" t="s">
        <v>118</v>
      </c>
      <c r="I35" s="13"/>
      <c r="J35" s="23"/>
    </row>
    <row r="36" spans="1:14" ht="15.75" hidden="1" customHeight="1">
      <c r="A36" s="29">
        <v>8</v>
      </c>
      <c r="B36" s="57" t="s">
        <v>26</v>
      </c>
      <c r="C36" s="58" t="s">
        <v>31</v>
      </c>
      <c r="D36" s="57"/>
      <c r="E36" s="45"/>
      <c r="F36" s="59">
        <v>20</v>
      </c>
      <c r="G36" s="59">
        <v>1527.22</v>
      </c>
      <c r="H36" s="60">
        <f t="shared" ref="H36:H42" si="5">SUM(F36*G36/1000)</f>
        <v>30.544400000000003</v>
      </c>
      <c r="I36" s="13">
        <f>F36/6*G36</f>
        <v>5090.7333333333336</v>
      </c>
      <c r="J36" s="23"/>
    </row>
    <row r="37" spans="1:14" ht="15.75" hidden="1" customHeight="1">
      <c r="A37" s="29">
        <v>9</v>
      </c>
      <c r="B37" s="57" t="s">
        <v>64</v>
      </c>
      <c r="C37" s="58" t="s">
        <v>29</v>
      </c>
      <c r="D37" s="57" t="s">
        <v>131</v>
      </c>
      <c r="E37" s="59">
        <v>632.4</v>
      </c>
      <c r="F37" s="59">
        <f>SUM(E37*50/1000)</f>
        <v>31.62</v>
      </c>
      <c r="G37" s="59">
        <v>2102.71</v>
      </c>
      <c r="H37" s="60">
        <f t="shared" si="5"/>
        <v>66.487690200000003</v>
      </c>
      <c r="I37" s="13">
        <f>F37/6*G37</f>
        <v>11081.281700000001</v>
      </c>
      <c r="J37" s="23"/>
      <c r="L37" s="19"/>
      <c r="M37" s="20"/>
      <c r="N37" s="21"/>
    </row>
    <row r="38" spans="1:14" ht="15.75" hidden="1" customHeight="1">
      <c r="A38" s="29"/>
      <c r="B38" s="57" t="s">
        <v>86</v>
      </c>
      <c r="C38" s="58" t="s">
        <v>106</v>
      </c>
      <c r="D38" s="57" t="s">
        <v>63</v>
      </c>
      <c r="E38" s="45"/>
      <c r="F38" s="59">
        <v>30</v>
      </c>
      <c r="G38" s="59">
        <v>213.2</v>
      </c>
      <c r="H38" s="60">
        <f t="shared" si="5"/>
        <v>6.3959999999999999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57" t="s">
        <v>65</v>
      </c>
      <c r="C39" s="58" t="s">
        <v>29</v>
      </c>
      <c r="D39" s="57" t="s">
        <v>107</v>
      </c>
      <c r="E39" s="59">
        <v>106</v>
      </c>
      <c r="F39" s="59">
        <f>SUM(E39*155/1000)</f>
        <v>16.43</v>
      </c>
      <c r="G39" s="59">
        <v>350.75</v>
      </c>
      <c r="H39" s="60">
        <f t="shared" si="5"/>
        <v>5.7628225000000004</v>
      </c>
      <c r="I39" s="13">
        <f>F39/6*G39</f>
        <v>960.47041666666667</v>
      </c>
      <c r="J39" s="23"/>
      <c r="L39" s="19"/>
      <c r="M39" s="20"/>
      <c r="N39" s="21"/>
    </row>
    <row r="40" spans="1:14" ht="47.25" hidden="1" customHeight="1">
      <c r="A40" s="29">
        <v>11</v>
      </c>
      <c r="B40" s="57" t="s">
        <v>76</v>
      </c>
      <c r="C40" s="58" t="s">
        <v>101</v>
      </c>
      <c r="D40" s="57" t="s">
        <v>132</v>
      </c>
      <c r="E40" s="59">
        <v>106</v>
      </c>
      <c r="F40" s="59">
        <f>SUM(E40*70/1000)</f>
        <v>7.42</v>
      </c>
      <c r="G40" s="59">
        <v>5803.28</v>
      </c>
      <c r="H40" s="60">
        <f t="shared" si="5"/>
        <v>43.060337599999997</v>
      </c>
      <c r="I40" s="13">
        <f>F40/6*G40</f>
        <v>7176.7229333333325</v>
      </c>
      <c r="J40" s="23"/>
      <c r="L40" s="19"/>
      <c r="M40" s="20"/>
      <c r="N40" s="21"/>
    </row>
    <row r="41" spans="1:14" ht="15.75" hidden="1" customHeight="1">
      <c r="A41" s="29">
        <v>12</v>
      </c>
      <c r="B41" s="57" t="s">
        <v>108</v>
      </c>
      <c r="C41" s="58" t="s">
        <v>101</v>
      </c>
      <c r="D41" s="57" t="s">
        <v>66</v>
      </c>
      <c r="E41" s="59">
        <v>106</v>
      </c>
      <c r="F41" s="59">
        <f>SUM(E41*45/1000)</f>
        <v>4.7699999999999996</v>
      </c>
      <c r="G41" s="59">
        <v>428.7</v>
      </c>
      <c r="H41" s="60">
        <f t="shared" si="5"/>
        <v>2.0448989999999996</v>
      </c>
      <c r="I41" s="13">
        <f>F41/6*G41</f>
        <v>340.81649999999996</v>
      </c>
      <c r="J41" s="23"/>
      <c r="L41" s="19"/>
      <c r="M41" s="20"/>
      <c r="N41" s="21"/>
    </row>
    <row r="42" spans="1:14" ht="15.75" hidden="1" customHeight="1">
      <c r="A42" s="29">
        <v>13</v>
      </c>
      <c r="B42" s="57" t="s">
        <v>67</v>
      </c>
      <c r="C42" s="58" t="s">
        <v>32</v>
      </c>
      <c r="D42" s="57"/>
      <c r="E42" s="45"/>
      <c r="F42" s="59">
        <v>0.9</v>
      </c>
      <c r="G42" s="59">
        <v>798</v>
      </c>
      <c r="H42" s="60">
        <f t="shared" si="5"/>
        <v>0.71820000000000006</v>
      </c>
      <c r="I42" s="13">
        <f>F42/6*G42</f>
        <v>119.69999999999999</v>
      </c>
      <c r="J42" s="23"/>
      <c r="L42" s="19"/>
      <c r="M42" s="20"/>
      <c r="N42" s="21"/>
    </row>
    <row r="43" spans="1:14" ht="15.75" customHeight="1">
      <c r="A43" s="214" t="s">
        <v>121</v>
      </c>
      <c r="B43" s="215"/>
      <c r="C43" s="215"/>
      <c r="D43" s="215"/>
      <c r="E43" s="215"/>
      <c r="F43" s="215"/>
      <c r="G43" s="215"/>
      <c r="H43" s="215"/>
      <c r="I43" s="216"/>
      <c r="J43" s="23"/>
      <c r="L43" s="19"/>
      <c r="M43" s="20"/>
      <c r="N43" s="21"/>
    </row>
    <row r="44" spans="1:14" ht="15.75" hidden="1" customHeight="1">
      <c r="A44" s="29">
        <v>17</v>
      </c>
      <c r="B44" s="57" t="s">
        <v>133</v>
      </c>
      <c r="C44" s="58" t="s">
        <v>101</v>
      </c>
      <c r="D44" s="57" t="s">
        <v>40</v>
      </c>
      <c r="E44" s="45">
        <v>1150.5999999999999</v>
      </c>
      <c r="F44" s="59">
        <f>SUM(E44*2/1000)</f>
        <v>2.3011999999999997</v>
      </c>
      <c r="G44" s="13">
        <v>849.49</v>
      </c>
      <c r="H44" s="60">
        <f t="shared" ref="H44:H52" si="6">SUM(F44*G44/1000)</f>
        <v>1.9548463879999998</v>
      </c>
      <c r="I44" s="13">
        <f t="shared" ref="I44:I46" si="7">F44/2*G44</f>
        <v>977.42319399999985</v>
      </c>
      <c r="J44" s="23"/>
      <c r="L44" s="19"/>
      <c r="M44" s="20"/>
      <c r="N44" s="21"/>
    </row>
    <row r="45" spans="1:14" ht="15.75" hidden="1" customHeight="1">
      <c r="A45" s="29">
        <v>18</v>
      </c>
      <c r="B45" s="57" t="s">
        <v>33</v>
      </c>
      <c r="C45" s="58" t="s">
        <v>101</v>
      </c>
      <c r="D45" s="57" t="s">
        <v>40</v>
      </c>
      <c r="E45" s="45">
        <v>108.96</v>
      </c>
      <c r="F45" s="59">
        <f>SUM(E45*2/1000)</f>
        <v>0.21791999999999997</v>
      </c>
      <c r="G45" s="13">
        <v>579.48</v>
      </c>
      <c r="H45" s="60">
        <f t="shared" si="6"/>
        <v>0.12628028159999999</v>
      </c>
      <c r="I45" s="13">
        <f t="shared" si="7"/>
        <v>63.140140799999998</v>
      </c>
      <c r="J45" s="23"/>
      <c r="L45" s="19"/>
      <c r="M45" s="20"/>
      <c r="N45" s="21"/>
    </row>
    <row r="46" spans="1:14" ht="15.75" hidden="1" customHeight="1">
      <c r="A46" s="29">
        <v>19</v>
      </c>
      <c r="B46" s="57" t="s">
        <v>34</v>
      </c>
      <c r="C46" s="58" t="s">
        <v>101</v>
      </c>
      <c r="D46" s="57" t="s">
        <v>40</v>
      </c>
      <c r="E46" s="45">
        <v>4224.3999999999996</v>
      </c>
      <c r="F46" s="59">
        <f>SUM(E46*2/1000)</f>
        <v>8.4487999999999985</v>
      </c>
      <c r="G46" s="13">
        <v>579.48</v>
      </c>
      <c r="H46" s="60">
        <f t="shared" si="6"/>
        <v>4.895910623999999</v>
      </c>
      <c r="I46" s="13">
        <f t="shared" si="7"/>
        <v>2447.9553119999996</v>
      </c>
      <c r="J46" s="23"/>
      <c r="L46" s="19"/>
      <c r="M46" s="20"/>
      <c r="N46" s="21"/>
    </row>
    <row r="47" spans="1:14" ht="15.75" hidden="1" customHeight="1">
      <c r="A47" s="29">
        <v>20</v>
      </c>
      <c r="B47" s="57" t="s">
        <v>35</v>
      </c>
      <c r="C47" s="58" t="s">
        <v>101</v>
      </c>
      <c r="D47" s="57" t="s">
        <v>40</v>
      </c>
      <c r="E47" s="45">
        <v>3059.7</v>
      </c>
      <c r="F47" s="59">
        <f>SUM(E47*2/1000)</f>
        <v>6.1193999999999997</v>
      </c>
      <c r="G47" s="13">
        <v>606.77</v>
      </c>
      <c r="H47" s="60">
        <f t="shared" si="6"/>
        <v>3.7130683379999998</v>
      </c>
      <c r="I47" s="13">
        <f>F47/2*G47</f>
        <v>1856.5341689999998</v>
      </c>
      <c r="J47" s="23"/>
      <c r="L47" s="19"/>
      <c r="M47" s="20"/>
      <c r="N47" s="21"/>
    </row>
    <row r="48" spans="1:14" ht="15.75" hidden="1" customHeight="1">
      <c r="A48" s="29">
        <v>21</v>
      </c>
      <c r="B48" s="57" t="s">
        <v>53</v>
      </c>
      <c r="C48" s="58" t="s">
        <v>101</v>
      </c>
      <c r="D48" s="57" t="s">
        <v>127</v>
      </c>
      <c r="E48" s="45">
        <v>1150.5999999999999</v>
      </c>
      <c r="F48" s="59">
        <f>SUM(E48*5/1000)</f>
        <v>5.7530000000000001</v>
      </c>
      <c r="G48" s="13">
        <v>1213.55</v>
      </c>
      <c r="H48" s="60">
        <f t="shared" si="6"/>
        <v>6.9815531499999999</v>
      </c>
      <c r="I48" s="13">
        <f>F48/5*G48</f>
        <v>1396.3106299999999</v>
      </c>
      <c r="J48" s="23"/>
      <c r="L48" s="19"/>
      <c r="M48" s="20"/>
      <c r="N48" s="21"/>
    </row>
    <row r="49" spans="1:22" ht="31.5" hidden="1" customHeight="1">
      <c r="A49" s="29">
        <v>14</v>
      </c>
      <c r="B49" s="57" t="s">
        <v>109</v>
      </c>
      <c r="C49" s="58" t="s">
        <v>101</v>
      </c>
      <c r="D49" s="57" t="s">
        <v>40</v>
      </c>
      <c r="E49" s="45">
        <v>1150.5999999999999</v>
      </c>
      <c r="F49" s="59">
        <f>SUM(E49*2/1000)</f>
        <v>2.3011999999999997</v>
      </c>
      <c r="G49" s="13">
        <v>1213.55</v>
      </c>
      <c r="H49" s="60">
        <f t="shared" si="6"/>
        <v>2.7926212599999993</v>
      </c>
      <c r="I49" s="13">
        <f>F49/2*G49</f>
        <v>1396.3106299999997</v>
      </c>
      <c r="J49" s="23"/>
      <c r="L49" s="19"/>
      <c r="M49" s="20"/>
      <c r="N49" s="21"/>
    </row>
    <row r="50" spans="1:22" ht="31.5" hidden="1" customHeight="1">
      <c r="A50" s="29">
        <v>15</v>
      </c>
      <c r="B50" s="57" t="s">
        <v>110</v>
      </c>
      <c r="C50" s="58" t="s">
        <v>36</v>
      </c>
      <c r="D50" s="57" t="s">
        <v>40</v>
      </c>
      <c r="E50" s="45">
        <v>30</v>
      </c>
      <c r="F50" s="59">
        <f>SUM(E50*2/100)</f>
        <v>0.6</v>
      </c>
      <c r="G50" s="13">
        <v>2730.49</v>
      </c>
      <c r="H50" s="60">
        <f t="shared" si="6"/>
        <v>1.6382939999999999</v>
      </c>
      <c r="I50" s="13">
        <f>F50/2*G50</f>
        <v>819.14699999999993</v>
      </c>
      <c r="J50" s="23"/>
      <c r="L50" s="19"/>
      <c r="M50" s="20"/>
      <c r="N50" s="21"/>
    </row>
    <row r="51" spans="1:22" ht="15.75" hidden="1" customHeight="1">
      <c r="A51" s="29">
        <v>14</v>
      </c>
      <c r="B51" s="57" t="s">
        <v>37</v>
      </c>
      <c r="C51" s="58" t="s">
        <v>38</v>
      </c>
      <c r="D51" s="57" t="s">
        <v>40</v>
      </c>
      <c r="E51" s="45">
        <v>1</v>
      </c>
      <c r="F51" s="59">
        <v>0.02</v>
      </c>
      <c r="G51" s="13">
        <v>5652.13</v>
      </c>
      <c r="H51" s="60">
        <f t="shared" si="6"/>
        <v>0.11304260000000001</v>
      </c>
      <c r="I51" s="13">
        <f>F51/2*G51</f>
        <v>56.521300000000004</v>
      </c>
      <c r="J51" s="23"/>
      <c r="L51" s="19"/>
      <c r="M51" s="20"/>
      <c r="N51" s="21"/>
    </row>
    <row r="52" spans="1:22" ht="15.75" customHeight="1">
      <c r="A52" s="29">
        <v>8</v>
      </c>
      <c r="B52" s="57" t="s">
        <v>39</v>
      </c>
      <c r="C52" s="58" t="s">
        <v>111</v>
      </c>
      <c r="D52" s="199">
        <v>44434</v>
      </c>
      <c r="E52" s="45">
        <v>158</v>
      </c>
      <c r="F52" s="59">
        <f>SUM(E52)*3</f>
        <v>474</v>
      </c>
      <c r="G52" s="198">
        <v>94.16</v>
      </c>
      <c r="H52" s="60">
        <f t="shared" si="6"/>
        <v>44.631839999999997</v>
      </c>
      <c r="I52" s="13">
        <f>E52*G52</f>
        <v>14877.279999999999</v>
      </c>
      <c r="J52" s="23"/>
      <c r="L52" s="19"/>
      <c r="M52" s="20"/>
      <c r="N52" s="21"/>
    </row>
    <row r="53" spans="1:22" ht="15.75" customHeight="1">
      <c r="A53" s="214" t="s">
        <v>122</v>
      </c>
      <c r="B53" s="215"/>
      <c r="C53" s="215"/>
      <c r="D53" s="215"/>
      <c r="E53" s="215"/>
      <c r="F53" s="215"/>
      <c r="G53" s="215"/>
      <c r="H53" s="215"/>
      <c r="I53" s="216"/>
      <c r="J53" s="23"/>
      <c r="L53" s="19"/>
      <c r="M53" s="20"/>
      <c r="N53" s="21"/>
    </row>
    <row r="54" spans="1:22" ht="15.75" customHeight="1">
      <c r="A54" s="29"/>
      <c r="B54" s="76" t="s">
        <v>41</v>
      </c>
      <c r="C54" s="58"/>
      <c r="D54" s="57"/>
      <c r="E54" s="45"/>
      <c r="F54" s="59"/>
      <c r="G54" s="59"/>
      <c r="H54" s="60"/>
      <c r="I54" s="13"/>
      <c r="J54" s="23"/>
      <c r="L54" s="19"/>
      <c r="M54" s="20"/>
      <c r="N54" s="21"/>
    </row>
    <row r="55" spans="1:22" ht="31.5" hidden="1" customHeight="1">
      <c r="A55" s="29">
        <v>16</v>
      </c>
      <c r="B55" s="57" t="s">
        <v>135</v>
      </c>
      <c r="C55" s="58" t="s">
        <v>93</v>
      </c>
      <c r="D55" s="57" t="s">
        <v>136</v>
      </c>
      <c r="E55" s="85">
        <v>6</v>
      </c>
      <c r="F55" s="13">
        <f>E55*8/100</f>
        <v>0.48</v>
      </c>
      <c r="G55" s="59">
        <v>1547.28</v>
      </c>
      <c r="H55" s="60">
        <f>SUM(F55*G55/1000)</f>
        <v>0.74269439999999998</v>
      </c>
      <c r="I55" s="13">
        <f>F55/6*G55</f>
        <v>123.7824</v>
      </c>
      <c r="J55" s="23"/>
      <c r="L55" s="19"/>
      <c r="M55" s="20"/>
      <c r="N55" s="21"/>
    </row>
    <row r="56" spans="1:22" ht="15.75" hidden="1" customHeight="1">
      <c r="A56" s="86"/>
      <c r="B56" s="57" t="s">
        <v>90</v>
      </c>
      <c r="C56" s="58" t="s">
        <v>91</v>
      </c>
      <c r="D56" s="57" t="s">
        <v>40</v>
      </c>
      <c r="E56" s="45">
        <v>6</v>
      </c>
      <c r="F56" s="59">
        <v>12</v>
      </c>
      <c r="G56" s="65">
        <v>180.78</v>
      </c>
      <c r="H56" s="60">
        <f t="shared" ref="H56" si="8">SUM(F56*G56/1000)</f>
        <v>2.1693600000000002</v>
      </c>
      <c r="I56" s="13">
        <v>0</v>
      </c>
      <c r="J56" s="23"/>
      <c r="L56" s="19"/>
      <c r="M56" s="20"/>
      <c r="N56" s="21"/>
    </row>
    <row r="57" spans="1:22" ht="15.75" customHeight="1">
      <c r="A57" s="175">
        <v>9</v>
      </c>
      <c r="B57" s="103" t="s">
        <v>193</v>
      </c>
      <c r="C57" s="104" t="s">
        <v>194</v>
      </c>
      <c r="D57" s="103" t="s">
        <v>329</v>
      </c>
      <c r="E57" s="105"/>
      <c r="F57" s="108">
        <v>6</v>
      </c>
      <c r="G57" s="98">
        <v>1730</v>
      </c>
      <c r="H57" s="71"/>
      <c r="I57" s="13">
        <f>G57*5</f>
        <v>8650</v>
      </c>
      <c r="J57" s="23"/>
      <c r="L57" s="19"/>
      <c r="M57" s="20"/>
      <c r="N57" s="21"/>
    </row>
    <row r="58" spans="1:22" ht="15.75" customHeight="1">
      <c r="A58" s="29"/>
      <c r="B58" s="77" t="s">
        <v>42</v>
      </c>
      <c r="C58" s="66"/>
      <c r="D58" s="67"/>
      <c r="E58" s="68"/>
      <c r="F58" s="70"/>
      <c r="G58" s="13"/>
      <c r="H58" s="71"/>
      <c r="I58" s="13"/>
      <c r="J58" s="23"/>
      <c r="L58" s="19"/>
      <c r="M58" s="20"/>
      <c r="N58" s="21"/>
    </row>
    <row r="59" spans="1:22" ht="15.75" customHeight="1">
      <c r="A59" s="29">
        <v>10</v>
      </c>
      <c r="B59" s="67" t="s">
        <v>87</v>
      </c>
      <c r="C59" s="66" t="s">
        <v>25</v>
      </c>
      <c r="D59" s="67"/>
      <c r="E59" s="68">
        <v>232.6</v>
      </c>
      <c r="F59" s="69">
        <v>2400</v>
      </c>
      <c r="G59" s="87">
        <v>1.4</v>
      </c>
      <c r="H59" s="70">
        <f>G59*F59</f>
        <v>3360</v>
      </c>
      <c r="I59" s="13">
        <f>F59/12*G59</f>
        <v>280</v>
      </c>
      <c r="J59" s="23"/>
      <c r="L59" s="19"/>
    </row>
    <row r="60" spans="1:22" ht="17.25" customHeight="1">
      <c r="A60" s="29"/>
      <c r="B60" s="77" t="s">
        <v>43</v>
      </c>
      <c r="C60" s="66"/>
      <c r="D60" s="67"/>
      <c r="E60" s="68"/>
      <c r="F60" s="69"/>
      <c r="G60" s="69"/>
      <c r="H60" s="70" t="s">
        <v>118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6.5" customHeight="1">
      <c r="A61" s="29">
        <v>11</v>
      </c>
      <c r="B61" s="152" t="s">
        <v>44</v>
      </c>
      <c r="C61" s="113" t="s">
        <v>111</v>
      </c>
      <c r="D61" s="100" t="s">
        <v>223</v>
      </c>
      <c r="E61" s="17">
        <v>18</v>
      </c>
      <c r="F61" s="112">
        <f>E61*1</f>
        <v>18</v>
      </c>
      <c r="G61" s="98">
        <v>318.82</v>
      </c>
      <c r="H61" s="72">
        <f t="shared" ref="H61:H68" si="9">SUM(F61*G61/1000)</f>
        <v>5.7387600000000001</v>
      </c>
      <c r="I61" s="13">
        <f>G61*3</f>
        <v>956.46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7.25" hidden="1" customHeight="1">
      <c r="A62" s="29"/>
      <c r="B62" s="14" t="s">
        <v>45</v>
      </c>
      <c r="C62" s="16" t="s">
        <v>111</v>
      </c>
      <c r="D62" s="14" t="s">
        <v>63</v>
      </c>
      <c r="E62" s="18">
        <v>5</v>
      </c>
      <c r="F62" s="59">
        <v>5</v>
      </c>
      <c r="G62" s="13">
        <v>71.790000000000006</v>
      </c>
      <c r="H62" s="72">
        <f t="shared" si="9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8.75" hidden="1" customHeight="1">
      <c r="A63" s="29">
        <v>24</v>
      </c>
      <c r="B63" s="14" t="s">
        <v>46</v>
      </c>
      <c r="C63" s="16" t="s">
        <v>112</v>
      </c>
      <c r="D63" s="14" t="s">
        <v>51</v>
      </c>
      <c r="E63" s="45">
        <v>18281</v>
      </c>
      <c r="F63" s="13">
        <f>SUM(E63/100)</f>
        <v>182.81</v>
      </c>
      <c r="G63" s="13">
        <v>199.77</v>
      </c>
      <c r="H63" s="72">
        <f t="shared" si="9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210"/>
      <c r="S63" s="210"/>
      <c r="T63" s="210"/>
      <c r="U63" s="210"/>
    </row>
    <row r="64" spans="1:22" ht="18.75" hidden="1" customHeight="1">
      <c r="A64" s="29">
        <v>25</v>
      </c>
      <c r="B64" s="14" t="s">
        <v>47</v>
      </c>
      <c r="C64" s="16" t="s">
        <v>113</v>
      </c>
      <c r="D64" s="14"/>
      <c r="E64" s="45">
        <v>18281</v>
      </c>
      <c r="F64" s="13">
        <f>SUM(E64/1000)</f>
        <v>18.280999999999999</v>
      </c>
      <c r="G64" s="13">
        <v>155.57</v>
      </c>
      <c r="H64" s="72">
        <f t="shared" si="9"/>
        <v>2.8439751699999998</v>
      </c>
      <c r="I64" s="13">
        <f t="shared" ref="I64:I67" si="10">F64*G64</f>
        <v>2843.9751699999997</v>
      </c>
    </row>
    <row r="65" spans="1:9" ht="19.5" hidden="1" customHeight="1">
      <c r="A65" s="29">
        <v>26</v>
      </c>
      <c r="B65" s="14" t="s">
        <v>48</v>
      </c>
      <c r="C65" s="16" t="s">
        <v>72</v>
      </c>
      <c r="D65" s="14" t="s">
        <v>51</v>
      </c>
      <c r="E65" s="45">
        <v>2730</v>
      </c>
      <c r="F65" s="13">
        <f>SUM(E65/100)</f>
        <v>27.3</v>
      </c>
      <c r="G65" s="13">
        <v>1953.52</v>
      </c>
      <c r="H65" s="72">
        <f t="shared" si="9"/>
        <v>53.331095999999995</v>
      </c>
      <c r="I65" s="13">
        <f t="shared" si="10"/>
        <v>53331.095999999998</v>
      </c>
    </row>
    <row r="66" spans="1:9" ht="19.5" hidden="1" customHeight="1">
      <c r="A66" s="29">
        <v>27</v>
      </c>
      <c r="B66" s="73" t="s">
        <v>114</v>
      </c>
      <c r="C66" s="16" t="s">
        <v>32</v>
      </c>
      <c r="D66" s="14"/>
      <c r="E66" s="45">
        <v>16.399999999999999</v>
      </c>
      <c r="F66" s="13">
        <f>SUM(E66)</f>
        <v>16.399999999999999</v>
      </c>
      <c r="G66" s="13">
        <v>40.270000000000003</v>
      </c>
      <c r="H66" s="72">
        <f t="shared" si="9"/>
        <v>0.66042800000000002</v>
      </c>
      <c r="I66" s="13">
        <f t="shared" si="10"/>
        <v>660.428</v>
      </c>
    </row>
    <row r="67" spans="1:9" ht="21" hidden="1" customHeight="1">
      <c r="A67" s="29">
        <v>28</v>
      </c>
      <c r="B67" s="73" t="s">
        <v>115</v>
      </c>
      <c r="C67" s="16" t="s">
        <v>32</v>
      </c>
      <c r="D67" s="14"/>
      <c r="E67" s="45">
        <v>16.399999999999999</v>
      </c>
      <c r="F67" s="13">
        <f>SUM(E67)</f>
        <v>16.399999999999999</v>
      </c>
      <c r="G67" s="13">
        <v>37.71</v>
      </c>
      <c r="H67" s="72">
        <f t="shared" si="9"/>
        <v>0.61844399999999999</v>
      </c>
      <c r="I67" s="13">
        <f t="shared" si="10"/>
        <v>618.44399999999996</v>
      </c>
    </row>
    <row r="68" spans="1:9" ht="20.25" hidden="1" customHeight="1">
      <c r="A68" s="29"/>
      <c r="B68" s="14" t="s">
        <v>54</v>
      </c>
      <c r="C68" s="16" t="s">
        <v>55</v>
      </c>
      <c r="D68" s="14" t="s">
        <v>51</v>
      </c>
      <c r="E68" s="18">
        <v>7</v>
      </c>
      <c r="F68" s="59">
        <f>SUM(E68)</f>
        <v>7</v>
      </c>
      <c r="G68" s="13">
        <v>46.97</v>
      </c>
      <c r="H68" s="72">
        <f t="shared" si="9"/>
        <v>0.32878999999999997</v>
      </c>
      <c r="I68" s="13">
        <v>0</v>
      </c>
    </row>
    <row r="69" spans="1:9" ht="20.25" hidden="1" customHeight="1">
      <c r="A69" s="29">
        <v>11</v>
      </c>
      <c r="B69" s="100" t="s">
        <v>165</v>
      </c>
      <c r="C69" s="113" t="s">
        <v>137</v>
      </c>
      <c r="D69" s="100" t="s">
        <v>211</v>
      </c>
      <c r="E69" s="17">
        <v>6</v>
      </c>
      <c r="F69" s="134">
        <f>E69*1</f>
        <v>6</v>
      </c>
      <c r="G69" s="98">
        <v>968.66</v>
      </c>
      <c r="H69" s="72"/>
      <c r="I69" s="13">
        <f>G69*3</f>
        <v>2905.98</v>
      </c>
    </row>
    <row r="70" spans="1:9" ht="17.25" customHeight="1">
      <c r="A70" s="29"/>
      <c r="B70" s="168" t="s">
        <v>166</v>
      </c>
      <c r="C70" s="165"/>
      <c r="D70" s="166"/>
      <c r="E70" s="167"/>
      <c r="F70" s="110"/>
      <c r="G70" s="110"/>
      <c r="H70" s="72"/>
      <c r="I70" s="13"/>
    </row>
    <row r="71" spans="1:9" ht="30" customHeight="1">
      <c r="A71" s="29">
        <v>12</v>
      </c>
      <c r="B71" s="100" t="s">
        <v>167</v>
      </c>
      <c r="C71" s="35" t="s">
        <v>168</v>
      </c>
      <c r="D71" s="100"/>
      <c r="E71" s="17">
        <v>4224.3999999999996</v>
      </c>
      <c r="F71" s="98">
        <f>E71*12</f>
        <v>50692.799999999996</v>
      </c>
      <c r="G71" s="98">
        <v>2.4900000000000002</v>
      </c>
      <c r="H71" s="72"/>
      <c r="I71" s="13">
        <f>G71*F71/12</f>
        <v>10518.755999999999</v>
      </c>
    </row>
    <row r="72" spans="1:9" ht="18" customHeight="1">
      <c r="A72" s="29"/>
      <c r="B72" s="163" t="s">
        <v>69</v>
      </c>
      <c r="C72" s="16"/>
      <c r="D72" s="14"/>
      <c r="E72" s="18"/>
      <c r="F72" s="13"/>
      <c r="G72" s="13"/>
      <c r="H72" s="72" t="s">
        <v>118</v>
      </c>
      <c r="I72" s="13"/>
    </row>
    <row r="73" spans="1:9" ht="19.5" hidden="1" customHeight="1">
      <c r="A73" s="29"/>
      <c r="B73" s="14" t="s">
        <v>80</v>
      </c>
      <c r="C73" s="16" t="s">
        <v>30</v>
      </c>
      <c r="D73" s="14"/>
      <c r="E73" s="18">
        <v>1</v>
      </c>
      <c r="F73" s="59">
        <f>SUM(E73)</f>
        <v>1</v>
      </c>
      <c r="G73" s="13">
        <v>337.58</v>
      </c>
      <c r="H73" s="72">
        <f t="shared" ref="H73" si="11">SUM(F73*G73/1000)</f>
        <v>0.33757999999999999</v>
      </c>
      <c r="I73" s="13">
        <v>0</v>
      </c>
    </row>
    <row r="74" spans="1:9" ht="19.5" hidden="1" customHeight="1">
      <c r="A74" s="29">
        <v>13</v>
      </c>
      <c r="B74" s="95" t="s">
        <v>208</v>
      </c>
      <c r="C74" s="96" t="s">
        <v>209</v>
      </c>
      <c r="D74" s="100" t="s">
        <v>212</v>
      </c>
      <c r="E74" s="17">
        <v>6</v>
      </c>
      <c r="F74" s="112">
        <f>SUM(E74)/10</f>
        <v>0.6</v>
      </c>
      <c r="G74" s="98">
        <v>719.08</v>
      </c>
      <c r="H74" s="72"/>
      <c r="I74" s="13">
        <f>G74*0.1</f>
        <v>71.908000000000001</v>
      </c>
    </row>
    <row r="75" spans="1:9" ht="20.25" hidden="1" customHeight="1">
      <c r="A75" s="29"/>
      <c r="B75" s="14" t="s">
        <v>70</v>
      </c>
      <c r="C75" s="16" t="s">
        <v>30</v>
      </c>
      <c r="D75" s="14"/>
      <c r="E75" s="18">
        <v>2</v>
      </c>
      <c r="F75" s="13">
        <v>2</v>
      </c>
      <c r="G75" s="13">
        <v>803.19</v>
      </c>
      <c r="H75" s="72">
        <f>F75*G75/1000</f>
        <v>1.6063800000000001</v>
      </c>
      <c r="I75" s="13">
        <v>0</v>
      </c>
    </row>
    <row r="76" spans="1:9" ht="20.25" customHeight="1">
      <c r="A76" s="29">
        <v>13</v>
      </c>
      <c r="B76" s="95" t="s">
        <v>306</v>
      </c>
      <c r="C76" s="96" t="s">
        <v>111</v>
      </c>
      <c r="D76" s="100" t="s">
        <v>308</v>
      </c>
      <c r="E76" s="17">
        <v>1</v>
      </c>
      <c r="F76" s="98">
        <f>E76</f>
        <v>1</v>
      </c>
      <c r="G76" s="98">
        <v>4142.24</v>
      </c>
      <c r="H76" s="72"/>
      <c r="I76" s="13">
        <f>G76*1</f>
        <v>4142.24</v>
      </c>
    </row>
    <row r="77" spans="1:9" ht="27.75" customHeight="1">
      <c r="A77" s="29">
        <v>14</v>
      </c>
      <c r="B77" s="95" t="s">
        <v>169</v>
      </c>
      <c r="C77" s="96" t="s">
        <v>111</v>
      </c>
      <c r="D77" s="100" t="s">
        <v>180</v>
      </c>
      <c r="E77" s="17">
        <v>2</v>
      </c>
      <c r="F77" s="98">
        <f>E77*12</f>
        <v>24</v>
      </c>
      <c r="G77" s="98">
        <v>404</v>
      </c>
      <c r="H77" s="72"/>
      <c r="I77" s="13">
        <f>G77*2</f>
        <v>808</v>
      </c>
    </row>
    <row r="78" spans="1:9" ht="19.5" hidden="1" customHeight="1">
      <c r="A78" s="29"/>
      <c r="B78" s="74" t="s">
        <v>71</v>
      </c>
      <c r="C78" s="16"/>
      <c r="D78" s="14"/>
      <c r="E78" s="18"/>
      <c r="F78" s="13"/>
      <c r="G78" s="13" t="s">
        <v>118</v>
      </c>
      <c r="H78" s="72" t="s">
        <v>118</v>
      </c>
      <c r="I78" s="13"/>
    </row>
    <row r="79" spans="1:9" ht="18" hidden="1" customHeight="1">
      <c r="A79" s="29"/>
      <c r="B79" s="42" t="s">
        <v>119</v>
      </c>
      <c r="C79" s="16" t="s">
        <v>72</v>
      </c>
      <c r="D79" s="14"/>
      <c r="E79" s="18"/>
      <c r="F79" s="13">
        <v>1.35</v>
      </c>
      <c r="G79" s="13">
        <v>2494</v>
      </c>
      <c r="H79" s="72">
        <f t="shared" ref="H79" si="12">SUM(F79*G79/1000)</f>
        <v>3.3669000000000002</v>
      </c>
      <c r="I79" s="13">
        <v>0</v>
      </c>
    </row>
    <row r="80" spans="1:9" ht="20.25" hidden="1" customHeight="1">
      <c r="A80" s="29"/>
      <c r="B80" s="61" t="s">
        <v>116</v>
      </c>
      <c r="C80" s="74"/>
      <c r="D80" s="31"/>
      <c r="E80" s="32"/>
      <c r="F80" s="62"/>
      <c r="G80" s="62"/>
      <c r="H80" s="75">
        <f>SUM(H55:H79)</f>
        <v>3468.6233112700002</v>
      </c>
      <c r="I80" s="62"/>
    </row>
    <row r="81" spans="1:9" ht="17.25" hidden="1" customHeight="1">
      <c r="A81" s="29">
        <v>29</v>
      </c>
      <c r="B81" s="57" t="s">
        <v>117</v>
      </c>
      <c r="C81" s="16"/>
      <c r="D81" s="14"/>
      <c r="E81" s="52"/>
      <c r="F81" s="13">
        <v>1</v>
      </c>
      <c r="G81" s="13">
        <v>17359.8</v>
      </c>
      <c r="H81" s="72">
        <f>G81*F81/1000</f>
        <v>17.3598</v>
      </c>
      <c r="I81" s="13">
        <f>G81</f>
        <v>17359.8</v>
      </c>
    </row>
    <row r="82" spans="1:9" ht="15.75" customHeight="1">
      <c r="A82" s="223" t="s">
        <v>123</v>
      </c>
      <c r="B82" s="224"/>
      <c r="C82" s="224"/>
      <c r="D82" s="224"/>
      <c r="E82" s="224"/>
      <c r="F82" s="224"/>
      <c r="G82" s="224"/>
      <c r="H82" s="224"/>
      <c r="I82" s="225"/>
    </row>
    <row r="83" spans="1:9" ht="15.75" customHeight="1">
      <c r="A83" s="29">
        <v>15</v>
      </c>
      <c r="B83" s="100" t="s">
        <v>120</v>
      </c>
      <c r="C83" s="113" t="s">
        <v>52</v>
      </c>
      <c r="D83" s="136"/>
      <c r="E83" s="98">
        <v>4224.3999999999996</v>
      </c>
      <c r="F83" s="98">
        <f>SUM(E83*12)</f>
        <v>50692.799999999996</v>
      </c>
      <c r="G83" s="98">
        <v>3.38</v>
      </c>
      <c r="H83" s="13">
        <f>SUM(F83*G83/1000)</f>
        <v>171.34166399999998</v>
      </c>
      <c r="I83" s="13">
        <f>F83/12*G83</f>
        <v>14278.471999999998</v>
      </c>
    </row>
    <row r="84" spans="1:9" ht="31.5" customHeight="1">
      <c r="A84" s="29">
        <v>16</v>
      </c>
      <c r="B84" s="155" t="s">
        <v>170</v>
      </c>
      <c r="C84" s="138" t="s">
        <v>52</v>
      </c>
      <c r="D84" s="139"/>
      <c r="E84" s="140">
        <f>E83</f>
        <v>4224.3999999999996</v>
      </c>
      <c r="F84" s="141">
        <f>E84*12</f>
        <v>50692.799999999996</v>
      </c>
      <c r="G84" s="141">
        <v>3.05</v>
      </c>
      <c r="H84" s="156">
        <f>F84*G84/1000</f>
        <v>154.61303999999998</v>
      </c>
      <c r="I84" s="157">
        <f>F84/12*G84</f>
        <v>12884.419999999998</v>
      </c>
    </row>
    <row r="85" spans="1:9" ht="15.75" customHeight="1">
      <c r="A85" s="82"/>
      <c r="B85" s="34" t="s">
        <v>74</v>
      </c>
      <c r="C85" s="35"/>
      <c r="D85" s="15"/>
      <c r="E85" s="15"/>
      <c r="F85" s="15"/>
      <c r="G85" s="18"/>
      <c r="H85" s="18"/>
      <c r="I85" s="32">
        <f>I84+I83+I77+I76+I71+I61+I59+I57+I52+I32+I29+I28+I21+I20+I18+I17</f>
        <v>92904.920648799991</v>
      </c>
    </row>
    <row r="86" spans="1:9" ht="15.75" customHeight="1">
      <c r="A86" s="220" t="s">
        <v>57</v>
      </c>
      <c r="B86" s="221"/>
      <c r="C86" s="221"/>
      <c r="D86" s="221"/>
      <c r="E86" s="221"/>
      <c r="F86" s="221"/>
      <c r="G86" s="221"/>
      <c r="H86" s="221"/>
      <c r="I86" s="222"/>
    </row>
    <row r="87" spans="1:9" ht="17.25" customHeight="1">
      <c r="A87" s="29">
        <v>17</v>
      </c>
      <c r="B87" s="100" t="s">
        <v>152</v>
      </c>
      <c r="C87" s="113" t="s">
        <v>157</v>
      </c>
      <c r="D87" s="97" t="s">
        <v>309</v>
      </c>
      <c r="E87" s="98"/>
      <c r="F87" s="98">
        <v>67</v>
      </c>
      <c r="G87" s="98">
        <v>295.36</v>
      </c>
      <c r="H87" s="72"/>
      <c r="I87" s="13">
        <v>0</v>
      </c>
    </row>
    <row r="88" spans="1:9" ht="18.75" customHeight="1">
      <c r="A88" s="29">
        <v>18</v>
      </c>
      <c r="B88" s="95" t="s">
        <v>307</v>
      </c>
      <c r="C88" s="96" t="s">
        <v>93</v>
      </c>
      <c r="D88" s="97"/>
      <c r="E88" s="98"/>
      <c r="F88" s="98">
        <v>1.54</v>
      </c>
      <c r="G88" s="98">
        <v>529</v>
      </c>
      <c r="H88" s="72"/>
      <c r="I88" s="13">
        <f>G88*1.54</f>
        <v>814.66</v>
      </c>
    </row>
    <row r="89" spans="1:9" ht="29.25" customHeight="1">
      <c r="A89" s="29">
        <v>19</v>
      </c>
      <c r="B89" s="95" t="s">
        <v>199</v>
      </c>
      <c r="C89" s="96" t="s">
        <v>36</v>
      </c>
      <c r="D89" s="97" t="s">
        <v>190</v>
      </c>
      <c r="E89" s="98"/>
      <c r="F89" s="98">
        <v>0.04</v>
      </c>
      <c r="G89" s="98">
        <v>4233.72</v>
      </c>
      <c r="H89" s="72"/>
      <c r="I89" s="13">
        <v>0</v>
      </c>
    </row>
    <row r="90" spans="1:9" ht="19.5" customHeight="1">
      <c r="A90" s="29">
        <v>20</v>
      </c>
      <c r="B90" s="95" t="s">
        <v>205</v>
      </c>
      <c r="C90" s="116" t="s">
        <v>157</v>
      </c>
      <c r="D90" s="97" t="s">
        <v>330</v>
      </c>
      <c r="E90" s="98"/>
      <c r="F90" s="98">
        <v>14</v>
      </c>
      <c r="G90" s="98">
        <v>404.52</v>
      </c>
      <c r="H90" s="72"/>
      <c r="I90" s="13">
        <f>G90*14</f>
        <v>5663.28</v>
      </c>
    </row>
    <row r="91" spans="1:9" ht="15.75" customHeight="1">
      <c r="A91" s="114"/>
      <c r="B91" s="40" t="s">
        <v>49</v>
      </c>
      <c r="C91" s="36"/>
      <c r="D91" s="43"/>
      <c r="E91" s="36">
        <v>1</v>
      </c>
      <c r="F91" s="36"/>
      <c r="G91" s="36"/>
      <c r="H91" s="36"/>
      <c r="I91" s="32">
        <f>SUM(I87:I90)</f>
        <v>6477.94</v>
      </c>
    </row>
    <row r="92" spans="1:9" ht="15.75" customHeight="1">
      <c r="A92" s="29"/>
      <c r="B92" s="42" t="s">
        <v>73</v>
      </c>
      <c r="C92" s="15"/>
      <c r="D92" s="15"/>
      <c r="E92" s="37"/>
      <c r="F92" s="37"/>
      <c r="G92" s="38"/>
      <c r="H92" s="38"/>
      <c r="I92" s="17">
        <v>0</v>
      </c>
    </row>
    <row r="93" spans="1:9" ht="15.75" customHeight="1">
      <c r="A93" s="44"/>
      <c r="B93" s="41" t="s">
        <v>129</v>
      </c>
      <c r="C93" s="33"/>
      <c r="D93" s="33"/>
      <c r="E93" s="33"/>
      <c r="F93" s="33"/>
      <c r="G93" s="33"/>
      <c r="H93" s="33"/>
      <c r="I93" s="39">
        <f>I85+I91</f>
        <v>99382.860648799993</v>
      </c>
    </row>
    <row r="94" spans="1:9" ht="15.75" customHeight="1">
      <c r="A94" s="217" t="s">
        <v>331</v>
      </c>
      <c r="B94" s="217"/>
      <c r="C94" s="217"/>
      <c r="D94" s="217"/>
      <c r="E94" s="217"/>
      <c r="F94" s="217"/>
      <c r="G94" s="217"/>
      <c r="H94" s="217"/>
      <c r="I94" s="217"/>
    </row>
    <row r="95" spans="1:9" ht="15.75" customHeight="1">
      <c r="A95" s="51"/>
      <c r="B95" s="218" t="s">
        <v>332</v>
      </c>
      <c r="C95" s="218"/>
      <c r="D95" s="218"/>
      <c r="E95" s="218"/>
      <c r="F95" s="218"/>
      <c r="G95" s="218"/>
      <c r="H95" s="56"/>
      <c r="I95" s="3"/>
    </row>
    <row r="96" spans="1:9" ht="15.75" customHeight="1">
      <c r="A96" s="80"/>
      <c r="B96" s="208" t="s">
        <v>6</v>
      </c>
      <c r="C96" s="208"/>
      <c r="D96" s="208"/>
      <c r="E96" s="208"/>
      <c r="F96" s="208"/>
      <c r="G96" s="208"/>
      <c r="H96" s="24"/>
      <c r="I96" s="5"/>
    </row>
    <row r="97" spans="1:9" ht="15.75" customHeight="1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5.75" customHeight="1">
      <c r="A98" s="219" t="s">
        <v>7</v>
      </c>
      <c r="B98" s="219"/>
      <c r="C98" s="219"/>
      <c r="D98" s="219"/>
      <c r="E98" s="219"/>
      <c r="F98" s="219"/>
      <c r="G98" s="219"/>
      <c r="H98" s="219"/>
      <c r="I98" s="219"/>
    </row>
    <row r="99" spans="1:9" ht="15.75" customHeight="1">
      <c r="A99" s="219" t="s">
        <v>8</v>
      </c>
      <c r="B99" s="219"/>
      <c r="C99" s="219"/>
      <c r="D99" s="219"/>
      <c r="E99" s="219"/>
      <c r="F99" s="219"/>
      <c r="G99" s="219"/>
      <c r="H99" s="219"/>
      <c r="I99" s="219"/>
    </row>
    <row r="100" spans="1:9" ht="15.75" customHeight="1">
      <c r="A100" s="212" t="s">
        <v>58</v>
      </c>
      <c r="B100" s="212"/>
      <c r="C100" s="212"/>
      <c r="D100" s="212"/>
      <c r="E100" s="212"/>
      <c r="F100" s="212"/>
      <c r="G100" s="212"/>
      <c r="H100" s="212"/>
      <c r="I100" s="212"/>
    </row>
    <row r="101" spans="1:9" ht="15.75" customHeight="1">
      <c r="A101" s="11"/>
    </row>
    <row r="102" spans="1:9" ht="15.75" customHeight="1">
      <c r="A102" s="206" t="s">
        <v>9</v>
      </c>
      <c r="B102" s="206"/>
      <c r="C102" s="206"/>
      <c r="D102" s="206"/>
      <c r="E102" s="206"/>
      <c r="F102" s="206"/>
      <c r="G102" s="206"/>
      <c r="H102" s="206"/>
      <c r="I102" s="206"/>
    </row>
    <row r="103" spans="1:9" ht="15.75" customHeight="1">
      <c r="A103" s="4"/>
    </row>
    <row r="104" spans="1:9" ht="15.75" customHeight="1">
      <c r="B104" s="81" t="s">
        <v>10</v>
      </c>
      <c r="C104" s="207" t="s">
        <v>217</v>
      </c>
      <c r="D104" s="207"/>
      <c r="E104" s="207"/>
      <c r="F104" s="54"/>
      <c r="I104" s="79"/>
    </row>
    <row r="105" spans="1:9" ht="15.75" customHeight="1">
      <c r="A105" s="80"/>
      <c r="C105" s="208" t="s">
        <v>11</v>
      </c>
      <c r="D105" s="208"/>
      <c r="E105" s="208"/>
      <c r="F105" s="24"/>
      <c r="I105" s="78" t="s">
        <v>12</v>
      </c>
    </row>
    <row r="106" spans="1:9" ht="15.75" customHeight="1">
      <c r="A106" s="25"/>
      <c r="C106" s="12"/>
      <c r="D106" s="12"/>
      <c r="G106" s="12"/>
      <c r="H106" s="12"/>
    </row>
    <row r="107" spans="1:9" ht="15.75" customHeight="1">
      <c r="B107" s="81" t="s">
        <v>13</v>
      </c>
      <c r="C107" s="209"/>
      <c r="D107" s="209"/>
      <c r="E107" s="209"/>
      <c r="F107" s="55"/>
      <c r="I107" s="79"/>
    </row>
    <row r="108" spans="1:9" ht="15.75" customHeight="1">
      <c r="A108" s="80"/>
      <c r="C108" s="210" t="s">
        <v>11</v>
      </c>
      <c r="D108" s="210"/>
      <c r="E108" s="210"/>
      <c r="F108" s="80"/>
      <c r="I108" s="78" t="s">
        <v>12</v>
      </c>
    </row>
    <row r="109" spans="1:9" ht="15.75" customHeight="1">
      <c r="A109" s="4" t="s">
        <v>14</v>
      </c>
    </row>
    <row r="110" spans="1:9" ht="15.75" customHeight="1">
      <c r="A110" s="211" t="s">
        <v>15</v>
      </c>
      <c r="B110" s="211"/>
      <c r="C110" s="211"/>
      <c r="D110" s="211"/>
      <c r="E110" s="211"/>
      <c r="F110" s="211"/>
      <c r="G110" s="211"/>
      <c r="H110" s="211"/>
      <c r="I110" s="211"/>
    </row>
    <row r="111" spans="1:9" ht="45" customHeight="1">
      <c r="A111" s="205" t="s">
        <v>16</v>
      </c>
      <c r="B111" s="205"/>
      <c r="C111" s="205"/>
      <c r="D111" s="205"/>
      <c r="E111" s="205"/>
      <c r="F111" s="205"/>
      <c r="G111" s="205"/>
      <c r="H111" s="205"/>
      <c r="I111" s="205"/>
    </row>
    <row r="112" spans="1:9" ht="30" customHeight="1">
      <c r="A112" s="205" t="s">
        <v>17</v>
      </c>
      <c r="B112" s="205"/>
      <c r="C112" s="205"/>
      <c r="D112" s="205"/>
      <c r="E112" s="205"/>
      <c r="F112" s="205"/>
      <c r="G112" s="205"/>
      <c r="H112" s="205"/>
      <c r="I112" s="205"/>
    </row>
    <row r="113" spans="1:9" ht="30" customHeight="1">
      <c r="A113" s="205" t="s">
        <v>21</v>
      </c>
      <c r="B113" s="205"/>
      <c r="C113" s="205"/>
      <c r="D113" s="205"/>
      <c r="E113" s="205"/>
      <c r="F113" s="205"/>
      <c r="G113" s="205"/>
      <c r="H113" s="205"/>
      <c r="I113" s="205"/>
    </row>
    <row r="114" spans="1:9" ht="15" customHeight="1">
      <c r="A114" s="205" t="s">
        <v>20</v>
      </c>
      <c r="B114" s="205"/>
      <c r="C114" s="205"/>
      <c r="D114" s="205"/>
      <c r="E114" s="205"/>
      <c r="F114" s="205"/>
      <c r="G114" s="205"/>
      <c r="H114" s="205"/>
      <c r="I114" s="205"/>
    </row>
  </sheetData>
  <autoFilter ref="I12:I59"/>
  <mergeCells count="29">
    <mergeCell ref="A14:I14"/>
    <mergeCell ref="A15:I15"/>
    <mergeCell ref="A26:I26"/>
    <mergeCell ref="A43:I43"/>
    <mergeCell ref="A53:I53"/>
    <mergeCell ref="A3:I3"/>
    <mergeCell ref="A4:I4"/>
    <mergeCell ref="A5:I5"/>
    <mergeCell ref="A8:I8"/>
    <mergeCell ref="A10:I10"/>
    <mergeCell ref="R63:U63"/>
    <mergeCell ref="C108:E108"/>
    <mergeCell ref="A86:I86"/>
    <mergeCell ref="A94:I94"/>
    <mergeCell ref="B95:G95"/>
    <mergeCell ref="B96:G96"/>
    <mergeCell ref="A98:I98"/>
    <mergeCell ref="A99:I99"/>
    <mergeCell ref="A100:I100"/>
    <mergeCell ref="A102:I102"/>
    <mergeCell ref="C104:E104"/>
    <mergeCell ref="C105:E105"/>
    <mergeCell ref="C107:E107"/>
    <mergeCell ref="A82:I82"/>
    <mergeCell ref="A110:I110"/>
    <mergeCell ref="A111:I111"/>
    <mergeCell ref="A112:I112"/>
    <mergeCell ref="A113:I113"/>
    <mergeCell ref="A114:I1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23"/>
  <sheetViews>
    <sheetView topLeftCell="A84" workbookViewId="0">
      <selection activeCell="G118" sqref="G118"/>
    </sheetView>
  </sheetViews>
  <sheetFormatPr defaultRowHeight="15"/>
  <cols>
    <col min="1" max="1" width="7" customWidth="1"/>
    <col min="2" max="2" width="54" customWidth="1"/>
    <col min="3" max="3" width="18.42578125" customWidth="1"/>
    <col min="4" max="4" width="18.28515625" customWidth="1"/>
    <col min="5" max="5" width="18.85546875" hidden="1" customWidth="1"/>
    <col min="6" max="6" width="5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156</v>
      </c>
      <c r="I1" s="26"/>
      <c r="J1" s="1"/>
      <c r="K1" s="1"/>
      <c r="L1" s="1"/>
      <c r="M1" s="1"/>
    </row>
    <row r="2" spans="1:13" ht="15.75" customHeight="1">
      <c r="A2" s="28" t="s">
        <v>59</v>
      </c>
      <c r="J2" s="2"/>
      <c r="K2" s="2"/>
      <c r="L2" s="2"/>
      <c r="M2" s="2"/>
    </row>
    <row r="3" spans="1:13" ht="15.75" customHeight="1">
      <c r="A3" s="226" t="s">
        <v>147</v>
      </c>
      <c r="B3" s="226"/>
      <c r="C3" s="226"/>
      <c r="D3" s="226"/>
      <c r="E3" s="226"/>
      <c r="F3" s="226"/>
      <c r="G3" s="226"/>
      <c r="H3" s="226"/>
      <c r="I3" s="226"/>
      <c r="J3" s="3"/>
      <c r="K3" s="3"/>
      <c r="L3" s="3"/>
    </row>
    <row r="4" spans="1:13" ht="31.5" customHeight="1">
      <c r="A4" s="227" t="s">
        <v>128</v>
      </c>
      <c r="B4" s="227"/>
      <c r="C4" s="227"/>
      <c r="D4" s="227"/>
      <c r="E4" s="227"/>
      <c r="F4" s="227"/>
      <c r="G4" s="227"/>
      <c r="H4" s="227"/>
      <c r="I4" s="227"/>
    </row>
    <row r="5" spans="1:13" ht="15.75" customHeight="1">
      <c r="A5" s="226" t="s">
        <v>310</v>
      </c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5.75" customHeight="1">
      <c r="A6" s="2"/>
      <c r="B6" s="83"/>
      <c r="C6" s="83"/>
      <c r="D6" s="83"/>
      <c r="E6" s="83"/>
      <c r="F6" s="83"/>
      <c r="G6" s="83"/>
      <c r="H6" s="83"/>
      <c r="I6" s="30">
        <v>44469</v>
      </c>
      <c r="J6" s="2"/>
      <c r="K6" s="2"/>
      <c r="L6" s="2"/>
      <c r="M6" s="2"/>
    </row>
    <row r="7" spans="1:13" ht="15.75" customHeight="1">
      <c r="B7" s="81"/>
      <c r="C7" s="81"/>
      <c r="D7" s="8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29" t="s">
        <v>218</v>
      </c>
      <c r="B8" s="229"/>
      <c r="C8" s="229"/>
      <c r="D8" s="229"/>
      <c r="E8" s="229"/>
      <c r="F8" s="229"/>
      <c r="G8" s="229"/>
      <c r="H8" s="229"/>
      <c r="I8" s="229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30" t="s">
        <v>154</v>
      </c>
      <c r="B10" s="230"/>
      <c r="C10" s="230"/>
      <c r="D10" s="230"/>
      <c r="E10" s="230"/>
      <c r="F10" s="230"/>
      <c r="G10" s="230"/>
      <c r="H10" s="230"/>
      <c r="I10" s="230"/>
      <c r="J10" s="2"/>
      <c r="K10" s="2"/>
      <c r="L10" s="2"/>
      <c r="M10" s="2"/>
    </row>
    <row r="11" spans="1:13" ht="15.75">
      <c r="A11" s="4"/>
    </row>
    <row r="12" spans="1:13" ht="47.2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.75" customHeight="1">
      <c r="A14" s="231" t="s">
        <v>56</v>
      </c>
      <c r="B14" s="231"/>
      <c r="C14" s="231"/>
      <c r="D14" s="231"/>
      <c r="E14" s="231"/>
      <c r="F14" s="231"/>
      <c r="G14" s="231"/>
      <c r="H14" s="231"/>
      <c r="I14" s="231"/>
      <c r="J14" s="8"/>
      <c r="K14" s="8"/>
      <c r="L14" s="8"/>
      <c r="M14" s="8"/>
    </row>
    <row r="15" spans="1:13" ht="15.75" customHeight="1">
      <c r="A15" s="213" t="s">
        <v>4</v>
      </c>
      <c r="B15" s="213"/>
      <c r="C15" s="213"/>
      <c r="D15" s="213"/>
      <c r="E15" s="213"/>
      <c r="F15" s="213"/>
      <c r="G15" s="213"/>
      <c r="H15" s="213"/>
      <c r="I15" s="213"/>
      <c r="J15" s="8"/>
      <c r="K15" s="8"/>
      <c r="L15" s="8"/>
      <c r="M15" s="8"/>
    </row>
    <row r="16" spans="1:13" ht="15.75" hidden="1" customHeight="1">
      <c r="A16" s="29">
        <v>1</v>
      </c>
      <c r="B16" s="57" t="s">
        <v>79</v>
      </c>
      <c r="C16" s="58" t="s">
        <v>93</v>
      </c>
      <c r="D16" s="57" t="s">
        <v>94</v>
      </c>
      <c r="E16" s="45">
        <v>118.34</v>
      </c>
      <c r="F16" s="59">
        <f>SUM(E16*156/100)</f>
        <v>184.6104</v>
      </c>
      <c r="G16" s="59">
        <v>175.38</v>
      </c>
      <c r="H16" s="60">
        <f t="shared" ref="H16" si="0">SUM(F16*G16/1000)</f>
        <v>32.376971951999998</v>
      </c>
      <c r="I16" s="13">
        <f>F16/12*G16</f>
        <v>2698.0809959999997</v>
      </c>
      <c r="J16" s="8"/>
      <c r="K16" s="8"/>
      <c r="L16" s="8"/>
      <c r="M16" s="8"/>
    </row>
    <row r="17" spans="1:13" ht="15.75" customHeight="1">
      <c r="A17" s="29">
        <v>1</v>
      </c>
      <c r="B17" s="101" t="s">
        <v>158</v>
      </c>
      <c r="C17" s="102" t="s">
        <v>93</v>
      </c>
      <c r="D17" s="101" t="s">
        <v>185</v>
      </c>
      <c r="E17" s="123">
        <v>591.70000000000005</v>
      </c>
      <c r="F17" s="112">
        <f>SUM(E17*48/100)</f>
        <v>284.01600000000002</v>
      </c>
      <c r="G17" s="112">
        <v>322.51</v>
      </c>
      <c r="H17" s="60">
        <f t="shared" ref="H17:H25" si="1">SUM(F17*G17/1000)</f>
        <v>91.598000160000012</v>
      </c>
      <c r="I17" s="13">
        <f>F17/6*G17</f>
        <v>15266.333360000001</v>
      </c>
      <c r="J17" s="22"/>
      <c r="K17" s="8"/>
      <c r="L17" s="8"/>
      <c r="M17" s="8"/>
    </row>
    <row r="18" spans="1:13" ht="15.75" customHeight="1">
      <c r="A18" s="29">
        <v>2</v>
      </c>
      <c r="B18" s="101" t="s">
        <v>85</v>
      </c>
      <c r="C18" s="102" t="s">
        <v>93</v>
      </c>
      <c r="D18" s="101" t="s">
        <v>190</v>
      </c>
      <c r="E18" s="123">
        <v>591.70000000000005</v>
      </c>
      <c r="F18" s="112">
        <f>SUM(E18*18/100)</f>
        <v>106.506</v>
      </c>
      <c r="G18" s="112">
        <v>723.23</v>
      </c>
      <c r="H18" s="60">
        <f t="shared" si="1"/>
        <v>77.028334380000004</v>
      </c>
      <c r="I18" s="13">
        <f>F18/18*2*G18</f>
        <v>8558.7038200000006</v>
      </c>
      <c r="J18" s="22"/>
      <c r="K18" s="8"/>
      <c r="L18" s="8"/>
      <c r="M18" s="8"/>
    </row>
    <row r="19" spans="1:13" ht="15.75" hidden="1" customHeight="1">
      <c r="A19" s="29">
        <v>4</v>
      </c>
      <c r="B19" s="101" t="s">
        <v>95</v>
      </c>
      <c r="C19" s="102" t="s">
        <v>96</v>
      </c>
      <c r="D19" s="101" t="s">
        <v>97</v>
      </c>
      <c r="E19" s="45">
        <v>38.4</v>
      </c>
      <c r="F19" s="59">
        <f>SUM(E19/10)</f>
        <v>3.84</v>
      </c>
      <c r="G19" s="59">
        <v>170.16</v>
      </c>
      <c r="H19" s="60">
        <f t="shared" si="1"/>
        <v>0.65341439999999995</v>
      </c>
      <c r="I19" s="13">
        <f>F19/2*G19</f>
        <v>326.7072</v>
      </c>
      <c r="J19" s="22"/>
      <c r="K19" s="8"/>
      <c r="L19" s="8"/>
      <c r="M19" s="8"/>
    </row>
    <row r="20" spans="1:13" ht="15.75" customHeight="1">
      <c r="A20" s="29">
        <v>3</v>
      </c>
      <c r="B20" s="101" t="s">
        <v>88</v>
      </c>
      <c r="C20" s="102" t="s">
        <v>93</v>
      </c>
      <c r="D20" s="101" t="s">
        <v>180</v>
      </c>
      <c r="E20" s="123">
        <v>43.2</v>
      </c>
      <c r="F20" s="112">
        <f>SUM(E20*12/100)</f>
        <v>5.1840000000000011</v>
      </c>
      <c r="G20" s="112">
        <v>312.35000000000002</v>
      </c>
      <c r="H20" s="60">
        <f t="shared" si="1"/>
        <v>1.6192224000000004</v>
      </c>
      <c r="I20" s="13">
        <f>F20/12*G20</f>
        <v>134.93520000000004</v>
      </c>
      <c r="J20" s="22"/>
      <c r="K20" s="8"/>
      <c r="L20" s="8"/>
      <c r="M20" s="8"/>
    </row>
    <row r="21" spans="1:13" ht="15.75" customHeight="1">
      <c r="A21" s="29">
        <v>4</v>
      </c>
      <c r="B21" s="101" t="s">
        <v>89</v>
      </c>
      <c r="C21" s="102" t="s">
        <v>93</v>
      </c>
      <c r="D21" s="101" t="s">
        <v>178</v>
      </c>
      <c r="E21" s="123">
        <v>10.08</v>
      </c>
      <c r="F21" s="112">
        <f>SUM(E21*12/100)</f>
        <v>1.2096</v>
      </c>
      <c r="G21" s="112">
        <v>309.81</v>
      </c>
      <c r="H21" s="60">
        <f t="shared" si="1"/>
        <v>0.37474617599999999</v>
      </c>
      <c r="I21" s="13">
        <f>F21/12*G21</f>
        <v>31.228847999999999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57" t="s">
        <v>98</v>
      </c>
      <c r="C22" s="58" t="s">
        <v>50</v>
      </c>
      <c r="D22" s="57" t="s">
        <v>97</v>
      </c>
      <c r="E22" s="45">
        <v>771.12</v>
      </c>
      <c r="F22" s="59">
        <f>SUM(E22/100)</f>
        <v>7.7111999999999998</v>
      </c>
      <c r="G22" s="59">
        <v>269.26</v>
      </c>
      <c r="H22" s="60">
        <f t="shared" si="1"/>
        <v>2.0763177119999998</v>
      </c>
      <c r="I22" s="13">
        <f>F22*G22</f>
        <v>2076.317712</v>
      </c>
      <c r="J22" s="22"/>
      <c r="K22" s="8"/>
      <c r="L22" s="8"/>
      <c r="M22" s="8"/>
    </row>
    <row r="23" spans="1:13" ht="15.75" hidden="1" customHeight="1">
      <c r="A23" s="29">
        <v>8</v>
      </c>
      <c r="B23" s="57" t="s">
        <v>99</v>
      </c>
      <c r="C23" s="58" t="s">
        <v>50</v>
      </c>
      <c r="D23" s="57" t="s">
        <v>97</v>
      </c>
      <c r="E23" s="53">
        <v>70.56</v>
      </c>
      <c r="F23" s="59">
        <f>SUM(E23/100)</f>
        <v>0.7056</v>
      </c>
      <c r="G23" s="59">
        <v>44.29</v>
      </c>
      <c r="H23" s="60">
        <f t="shared" si="1"/>
        <v>3.1251024000000002E-2</v>
      </c>
      <c r="I23" s="13">
        <f t="shared" ref="I23:I24" si="2">F23*G23</f>
        <v>31.251024000000001</v>
      </c>
      <c r="J23" s="22"/>
      <c r="K23" s="8"/>
      <c r="L23" s="8"/>
      <c r="M23" s="8"/>
    </row>
    <row r="24" spans="1:13" ht="15.75" hidden="1" customHeight="1">
      <c r="A24" s="29">
        <v>9</v>
      </c>
      <c r="B24" s="57" t="s">
        <v>92</v>
      </c>
      <c r="C24" s="58" t="s">
        <v>50</v>
      </c>
      <c r="D24" s="57" t="s">
        <v>97</v>
      </c>
      <c r="E24" s="45">
        <v>28.22</v>
      </c>
      <c r="F24" s="59">
        <f>SUM(E24/100)</f>
        <v>0.28220000000000001</v>
      </c>
      <c r="G24" s="59">
        <v>520.79999999999995</v>
      </c>
      <c r="H24" s="60">
        <f t="shared" si="1"/>
        <v>0.14696975999999998</v>
      </c>
      <c r="I24" s="13">
        <f t="shared" si="2"/>
        <v>146.96975999999998</v>
      </c>
      <c r="J24" s="22"/>
      <c r="K24" s="8"/>
      <c r="L24" s="8"/>
      <c r="M24" s="8"/>
    </row>
    <row r="25" spans="1:13" ht="15.75" hidden="1" customHeight="1">
      <c r="A25" s="29">
        <v>5</v>
      </c>
      <c r="B25" s="101" t="s">
        <v>162</v>
      </c>
      <c r="C25" s="102" t="s">
        <v>32</v>
      </c>
      <c r="D25" s="101" t="s">
        <v>181</v>
      </c>
      <c r="E25" s="126">
        <v>0.2</v>
      </c>
      <c r="F25" s="112">
        <f>E25*155</f>
        <v>31</v>
      </c>
      <c r="G25" s="112">
        <v>370.77</v>
      </c>
      <c r="H25" s="60">
        <f t="shared" si="1"/>
        <v>11.493869999999999</v>
      </c>
      <c r="I25" s="13">
        <f>F25/12*G25</f>
        <v>957.82249999999999</v>
      </c>
      <c r="J25" s="23"/>
    </row>
    <row r="26" spans="1:13" ht="15.75" customHeight="1">
      <c r="A26" s="213" t="s">
        <v>78</v>
      </c>
      <c r="B26" s="213"/>
      <c r="C26" s="213"/>
      <c r="D26" s="213"/>
      <c r="E26" s="213"/>
      <c r="F26" s="213"/>
      <c r="G26" s="213"/>
      <c r="H26" s="213"/>
      <c r="I26" s="213"/>
      <c r="J26" s="22"/>
      <c r="K26" s="8"/>
      <c r="L26" s="8"/>
      <c r="M26" s="8"/>
    </row>
    <row r="27" spans="1:13" ht="15.75" customHeight="1">
      <c r="A27" s="29"/>
      <c r="B27" s="76" t="s">
        <v>28</v>
      </c>
      <c r="C27" s="58"/>
      <c r="D27" s="57"/>
      <c r="E27" s="45"/>
      <c r="F27" s="59"/>
      <c r="G27" s="59"/>
      <c r="H27" s="60"/>
      <c r="I27" s="13"/>
      <c r="J27" s="22"/>
      <c r="K27" s="8"/>
      <c r="L27" s="8"/>
      <c r="M27" s="8"/>
    </row>
    <row r="28" spans="1:13" ht="15.75" customHeight="1">
      <c r="A28" s="29">
        <v>5</v>
      </c>
      <c r="B28" s="101" t="s">
        <v>100</v>
      </c>
      <c r="C28" s="102" t="s">
        <v>101</v>
      </c>
      <c r="D28" s="101" t="s">
        <v>179</v>
      </c>
      <c r="E28" s="112">
        <v>360.3</v>
      </c>
      <c r="F28" s="112">
        <f>SUM(E28*24/1000)</f>
        <v>8.6472000000000016</v>
      </c>
      <c r="G28" s="112">
        <v>223.46</v>
      </c>
      <c r="H28" s="60">
        <f t="shared" ref="H28:H32" si="3">SUM(F28*G28/1000)</f>
        <v>1.9323033120000004</v>
      </c>
      <c r="I28" s="13">
        <f>F28/6*G28</f>
        <v>322.0505520000001</v>
      </c>
      <c r="J28" s="22"/>
      <c r="K28" s="8"/>
      <c r="L28" s="8"/>
      <c r="M28" s="8"/>
    </row>
    <row r="29" spans="1:13" ht="31.5" customHeight="1">
      <c r="A29" s="29">
        <v>6</v>
      </c>
      <c r="B29" s="101" t="s">
        <v>126</v>
      </c>
      <c r="C29" s="102" t="s">
        <v>101</v>
      </c>
      <c r="D29" s="101" t="s">
        <v>179</v>
      </c>
      <c r="E29" s="112">
        <v>202.36</v>
      </c>
      <c r="F29" s="112">
        <f>SUM(E29*24/1000)</f>
        <v>4.8566400000000005</v>
      </c>
      <c r="G29" s="112">
        <v>370.77</v>
      </c>
      <c r="H29" s="60">
        <f t="shared" si="3"/>
        <v>1.8006964128000003</v>
      </c>
      <c r="I29" s="13">
        <f t="shared" ref="I29:I32" si="4">F29/6*G29</f>
        <v>300.11606879999999</v>
      </c>
      <c r="J29" s="22"/>
      <c r="K29" s="8"/>
      <c r="L29" s="8"/>
      <c r="M29" s="8"/>
    </row>
    <row r="30" spans="1:13" ht="15.75" hidden="1" customHeight="1">
      <c r="A30" s="29">
        <v>14</v>
      </c>
      <c r="B30" s="101" t="s">
        <v>130</v>
      </c>
      <c r="C30" s="102" t="s">
        <v>101</v>
      </c>
      <c r="D30" s="101" t="s">
        <v>82</v>
      </c>
      <c r="E30" s="123">
        <v>143.20000000000002</v>
      </c>
      <c r="F30" s="112">
        <v>0</v>
      </c>
      <c r="G30" s="112">
        <v>293.27999999999997</v>
      </c>
      <c r="H30" s="60">
        <f t="shared" si="3"/>
        <v>0</v>
      </c>
      <c r="I30" s="13">
        <f>F30*G30</f>
        <v>0</v>
      </c>
      <c r="J30" s="22"/>
      <c r="K30" s="8"/>
      <c r="L30" s="8"/>
      <c r="M30" s="8"/>
    </row>
    <row r="31" spans="1:13" ht="15.75" hidden="1" customHeight="1">
      <c r="A31" s="29">
        <v>10</v>
      </c>
      <c r="B31" s="101" t="s">
        <v>27</v>
      </c>
      <c r="C31" s="102" t="s">
        <v>101</v>
      </c>
      <c r="D31" s="101" t="s">
        <v>51</v>
      </c>
      <c r="E31" s="112">
        <v>360.3</v>
      </c>
      <c r="F31" s="112">
        <f>SUM(E31/1000)</f>
        <v>0.36030000000000001</v>
      </c>
      <c r="G31" s="112">
        <v>4329.78</v>
      </c>
      <c r="H31" s="60">
        <f t="shared" si="3"/>
        <v>1.5600197339999999</v>
      </c>
      <c r="I31" s="13">
        <f t="shared" si="4"/>
        <v>260.003289</v>
      </c>
      <c r="J31" s="22"/>
      <c r="K31" s="8"/>
      <c r="L31" s="8"/>
      <c r="M31" s="8"/>
    </row>
    <row r="32" spans="1:13" ht="15.75" customHeight="1">
      <c r="A32" s="29">
        <v>7</v>
      </c>
      <c r="B32" s="101" t="s">
        <v>104</v>
      </c>
      <c r="C32" s="102" t="s">
        <v>38</v>
      </c>
      <c r="D32" s="101" t="s">
        <v>185</v>
      </c>
      <c r="E32" s="112">
        <v>6</v>
      </c>
      <c r="F32" s="112">
        <f>SUM(E32*48/100)</f>
        <v>2.88</v>
      </c>
      <c r="G32" s="112">
        <v>1866.51</v>
      </c>
      <c r="H32" s="60">
        <f t="shared" si="3"/>
        <v>5.3755487999999998</v>
      </c>
      <c r="I32" s="13">
        <f t="shared" si="4"/>
        <v>895.9248</v>
      </c>
      <c r="J32" s="22"/>
      <c r="K32" s="8"/>
    </row>
    <row r="33" spans="1:14" ht="15.75" hidden="1" customHeight="1">
      <c r="A33" s="29"/>
      <c r="B33" s="57" t="s">
        <v>61</v>
      </c>
      <c r="C33" s="58" t="s">
        <v>32</v>
      </c>
      <c r="D33" s="57" t="s">
        <v>63</v>
      </c>
      <c r="E33" s="45"/>
      <c r="F33" s="59">
        <v>4</v>
      </c>
      <c r="G33" s="59">
        <v>191.32</v>
      </c>
      <c r="H33" s="60">
        <f t="shared" ref="H33:H34" si="5">SUM(F33*G33/1000)</f>
        <v>0.76527999999999996</v>
      </c>
      <c r="I33" s="13">
        <v>0</v>
      </c>
      <c r="J33" s="23"/>
    </row>
    <row r="34" spans="1:14" ht="15.75" hidden="1" customHeight="1">
      <c r="A34" s="29"/>
      <c r="B34" s="57" t="s">
        <v>62</v>
      </c>
      <c r="C34" s="58" t="s">
        <v>31</v>
      </c>
      <c r="D34" s="57" t="s">
        <v>63</v>
      </c>
      <c r="E34" s="45"/>
      <c r="F34" s="59">
        <v>3</v>
      </c>
      <c r="G34" s="59">
        <v>1136.33</v>
      </c>
      <c r="H34" s="60">
        <f t="shared" si="5"/>
        <v>3.4089899999999997</v>
      </c>
      <c r="I34" s="13">
        <v>0</v>
      </c>
      <c r="J34" s="23"/>
    </row>
    <row r="35" spans="1:14" ht="15.75" hidden="1" customHeight="1">
      <c r="A35" s="29"/>
      <c r="B35" s="76" t="s">
        <v>5</v>
      </c>
      <c r="C35" s="58"/>
      <c r="D35" s="57"/>
      <c r="E35" s="45"/>
      <c r="F35" s="59"/>
      <c r="G35" s="59"/>
      <c r="H35" s="60" t="s">
        <v>118</v>
      </c>
      <c r="I35" s="13"/>
      <c r="J35" s="23"/>
    </row>
    <row r="36" spans="1:14" ht="15.75" hidden="1" customHeight="1">
      <c r="A36" s="29">
        <v>8</v>
      </c>
      <c r="B36" s="57" t="s">
        <v>26</v>
      </c>
      <c r="C36" s="58" t="s">
        <v>31</v>
      </c>
      <c r="D36" s="57"/>
      <c r="E36" s="45"/>
      <c r="F36" s="59">
        <v>20</v>
      </c>
      <c r="G36" s="59">
        <v>1527.22</v>
      </c>
      <c r="H36" s="60">
        <f t="shared" ref="H36:H42" si="6">SUM(F36*G36/1000)</f>
        <v>30.544400000000003</v>
      </c>
      <c r="I36" s="13">
        <f>F36/6*G36</f>
        <v>5090.7333333333336</v>
      </c>
      <c r="J36" s="23"/>
    </row>
    <row r="37" spans="1:14" ht="15.75" hidden="1" customHeight="1">
      <c r="A37" s="29">
        <v>9</v>
      </c>
      <c r="B37" s="57" t="s">
        <v>64</v>
      </c>
      <c r="C37" s="58" t="s">
        <v>29</v>
      </c>
      <c r="D37" s="57" t="s">
        <v>131</v>
      </c>
      <c r="E37" s="59">
        <v>632.4</v>
      </c>
      <c r="F37" s="59">
        <f>SUM(E37*50/1000)</f>
        <v>31.62</v>
      </c>
      <c r="G37" s="59">
        <v>2102.71</v>
      </c>
      <c r="H37" s="60">
        <f t="shared" si="6"/>
        <v>66.487690200000003</v>
      </c>
      <c r="I37" s="13">
        <f>F37/6*G37</f>
        <v>11081.281700000001</v>
      </c>
      <c r="J37" s="23"/>
      <c r="L37" s="19"/>
      <c r="M37" s="20"/>
      <c r="N37" s="21"/>
    </row>
    <row r="38" spans="1:14" ht="15.75" hidden="1" customHeight="1">
      <c r="A38" s="29"/>
      <c r="B38" s="57" t="s">
        <v>86</v>
      </c>
      <c r="C38" s="58" t="s">
        <v>106</v>
      </c>
      <c r="D38" s="57" t="s">
        <v>63</v>
      </c>
      <c r="E38" s="45"/>
      <c r="F38" s="59">
        <v>30</v>
      </c>
      <c r="G38" s="59">
        <v>213.2</v>
      </c>
      <c r="H38" s="60">
        <f t="shared" si="6"/>
        <v>6.3959999999999999</v>
      </c>
      <c r="I38" s="13">
        <f>0</f>
        <v>0</v>
      </c>
      <c r="J38" s="23"/>
      <c r="L38" s="19"/>
      <c r="M38" s="20"/>
      <c r="N38" s="21"/>
    </row>
    <row r="39" spans="1:14" ht="15.75" hidden="1" customHeight="1">
      <c r="A39" s="29">
        <v>10</v>
      </c>
      <c r="B39" s="57" t="s">
        <v>65</v>
      </c>
      <c r="C39" s="58" t="s">
        <v>29</v>
      </c>
      <c r="D39" s="57" t="s">
        <v>107</v>
      </c>
      <c r="E39" s="59">
        <v>106</v>
      </c>
      <c r="F39" s="59">
        <f>SUM(E39*155/1000)</f>
        <v>16.43</v>
      </c>
      <c r="G39" s="59">
        <v>350.75</v>
      </c>
      <c r="H39" s="60">
        <f t="shared" si="6"/>
        <v>5.7628225000000004</v>
      </c>
      <c r="I39" s="13">
        <f>F39/6*G39</f>
        <v>960.47041666666667</v>
      </c>
      <c r="J39" s="23"/>
      <c r="L39" s="19"/>
      <c r="M39" s="20"/>
      <c r="N39" s="21"/>
    </row>
    <row r="40" spans="1:14" ht="47.25" hidden="1" customHeight="1">
      <c r="A40" s="29">
        <v>11</v>
      </c>
      <c r="B40" s="57" t="s">
        <v>76</v>
      </c>
      <c r="C40" s="58" t="s">
        <v>101</v>
      </c>
      <c r="D40" s="57" t="s">
        <v>132</v>
      </c>
      <c r="E40" s="59">
        <v>106</v>
      </c>
      <c r="F40" s="59">
        <f>SUM(E40*70/1000)</f>
        <v>7.42</v>
      </c>
      <c r="G40" s="59">
        <v>5803.28</v>
      </c>
      <c r="H40" s="60">
        <f t="shared" si="6"/>
        <v>43.060337599999997</v>
      </c>
      <c r="I40" s="13">
        <f>F40/6*G40</f>
        <v>7176.7229333333325</v>
      </c>
      <c r="J40" s="23"/>
      <c r="L40" s="19"/>
      <c r="M40" s="20"/>
      <c r="N40" s="21"/>
    </row>
    <row r="41" spans="1:14" ht="15.75" hidden="1" customHeight="1">
      <c r="A41" s="29">
        <v>12</v>
      </c>
      <c r="B41" s="57" t="s">
        <v>108</v>
      </c>
      <c r="C41" s="58" t="s">
        <v>101</v>
      </c>
      <c r="D41" s="57" t="s">
        <v>66</v>
      </c>
      <c r="E41" s="59">
        <v>106</v>
      </c>
      <c r="F41" s="59">
        <f>SUM(E41*45/1000)</f>
        <v>4.7699999999999996</v>
      </c>
      <c r="G41" s="59">
        <v>428.7</v>
      </c>
      <c r="H41" s="60">
        <f t="shared" si="6"/>
        <v>2.0448989999999996</v>
      </c>
      <c r="I41" s="13">
        <f>F41/6*G41</f>
        <v>340.81649999999996</v>
      </c>
      <c r="J41" s="23"/>
      <c r="L41" s="19"/>
      <c r="M41" s="20"/>
      <c r="N41" s="21"/>
    </row>
    <row r="42" spans="1:14" ht="15.75" hidden="1" customHeight="1">
      <c r="A42" s="29">
        <v>13</v>
      </c>
      <c r="B42" s="57" t="s">
        <v>67</v>
      </c>
      <c r="C42" s="58" t="s">
        <v>32</v>
      </c>
      <c r="D42" s="57"/>
      <c r="E42" s="45"/>
      <c r="F42" s="59">
        <v>0.9</v>
      </c>
      <c r="G42" s="59">
        <v>798</v>
      </c>
      <c r="H42" s="60">
        <f t="shared" si="6"/>
        <v>0.71820000000000006</v>
      </c>
      <c r="I42" s="13">
        <f>F42/6*G42</f>
        <v>119.69999999999999</v>
      </c>
      <c r="J42" s="23"/>
      <c r="L42" s="19"/>
      <c r="M42" s="20"/>
      <c r="N42" s="21"/>
    </row>
    <row r="43" spans="1:14" ht="15.75" customHeight="1">
      <c r="A43" s="214" t="s">
        <v>121</v>
      </c>
      <c r="B43" s="215"/>
      <c r="C43" s="215"/>
      <c r="D43" s="215"/>
      <c r="E43" s="215"/>
      <c r="F43" s="215"/>
      <c r="G43" s="215"/>
      <c r="H43" s="215"/>
      <c r="I43" s="216"/>
      <c r="J43" s="23"/>
      <c r="L43" s="19"/>
      <c r="M43" s="20"/>
      <c r="N43" s="21"/>
    </row>
    <row r="44" spans="1:14" ht="15.75" customHeight="1">
      <c r="A44" s="29">
        <v>8</v>
      </c>
      <c r="B44" s="101" t="s">
        <v>133</v>
      </c>
      <c r="C44" s="102" t="s">
        <v>101</v>
      </c>
      <c r="D44" s="101" t="s">
        <v>178</v>
      </c>
      <c r="E44" s="123">
        <v>1150.5999999999999</v>
      </c>
      <c r="F44" s="112">
        <f>SUM(E44*2/1000)</f>
        <v>2.3011999999999997</v>
      </c>
      <c r="G44" s="98">
        <v>1217.79</v>
      </c>
      <c r="H44" s="60">
        <f t="shared" ref="H44:H52" si="7">SUM(F44*G44/1000)</f>
        <v>2.8023783479999995</v>
      </c>
      <c r="I44" s="13">
        <f t="shared" ref="I44:I46" si="8">F44/2*G44</f>
        <v>1401.1891739999999</v>
      </c>
      <c r="J44" s="23"/>
      <c r="L44" s="19"/>
      <c r="M44" s="20"/>
      <c r="N44" s="21"/>
    </row>
    <row r="45" spans="1:14" ht="15.75" customHeight="1">
      <c r="A45" s="29">
        <v>9</v>
      </c>
      <c r="B45" s="101" t="s">
        <v>33</v>
      </c>
      <c r="C45" s="102" t="s">
        <v>101</v>
      </c>
      <c r="D45" s="101" t="s">
        <v>178</v>
      </c>
      <c r="E45" s="123">
        <v>108.96</v>
      </c>
      <c r="F45" s="112">
        <f>SUM(E45*2/1000)</f>
        <v>0.21791999999999997</v>
      </c>
      <c r="G45" s="98">
        <v>830.69</v>
      </c>
      <c r="H45" s="60">
        <f t="shared" si="7"/>
        <v>0.18102396479999999</v>
      </c>
      <c r="I45" s="13">
        <f t="shared" si="8"/>
        <v>90.511982399999994</v>
      </c>
      <c r="J45" s="23"/>
      <c r="L45" s="19"/>
      <c r="M45" s="20"/>
      <c r="N45" s="21"/>
    </row>
    <row r="46" spans="1:14" ht="15.75" customHeight="1">
      <c r="A46" s="29">
        <v>10</v>
      </c>
      <c r="B46" s="101" t="s">
        <v>34</v>
      </c>
      <c r="C46" s="102" t="s">
        <v>101</v>
      </c>
      <c r="D46" s="101" t="s">
        <v>178</v>
      </c>
      <c r="E46" s="123">
        <v>4224.3999999999996</v>
      </c>
      <c r="F46" s="112">
        <f>SUM(E46*2/1000)</f>
        <v>8.4487999999999985</v>
      </c>
      <c r="G46" s="98">
        <v>830.69</v>
      </c>
      <c r="H46" s="60">
        <f t="shared" si="7"/>
        <v>7.0183336719999989</v>
      </c>
      <c r="I46" s="13">
        <f t="shared" si="8"/>
        <v>3509.1668359999994</v>
      </c>
      <c r="J46" s="23"/>
      <c r="L46" s="19"/>
      <c r="M46" s="20"/>
      <c r="N46" s="21"/>
    </row>
    <row r="47" spans="1:14" ht="15.75" customHeight="1">
      <c r="A47" s="29">
        <v>11</v>
      </c>
      <c r="B47" s="101" t="s">
        <v>35</v>
      </c>
      <c r="C47" s="102" t="s">
        <v>101</v>
      </c>
      <c r="D47" s="101" t="s">
        <v>178</v>
      </c>
      <c r="E47" s="123">
        <v>3059.7</v>
      </c>
      <c r="F47" s="112">
        <f>SUM(E47*2/1000)</f>
        <v>6.1193999999999997</v>
      </c>
      <c r="G47" s="98">
        <v>869.86</v>
      </c>
      <c r="H47" s="60">
        <f t="shared" si="7"/>
        <v>5.3230212839999993</v>
      </c>
      <c r="I47" s="13">
        <f>F47/2*G47</f>
        <v>2661.5106419999997</v>
      </c>
      <c r="J47" s="23"/>
      <c r="L47" s="19"/>
      <c r="M47" s="20"/>
      <c r="N47" s="21"/>
    </row>
    <row r="48" spans="1:14" ht="15.75" customHeight="1">
      <c r="A48" s="29">
        <v>12</v>
      </c>
      <c r="B48" s="101" t="s">
        <v>53</v>
      </c>
      <c r="C48" s="102" t="s">
        <v>101</v>
      </c>
      <c r="D48" s="101" t="s">
        <v>178</v>
      </c>
      <c r="E48" s="123">
        <v>1150.5999999999999</v>
      </c>
      <c r="F48" s="112">
        <f>SUM(E48*5/1000)</f>
        <v>5.7530000000000001</v>
      </c>
      <c r="G48" s="98">
        <v>1739.68</v>
      </c>
      <c r="H48" s="60">
        <f t="shared" si="7"/>
        <v>10.008379039999999</v>
      </c>
      <c r="I48" s="13">
        <f>F48/5*G48</f>
        <v>2001.6758080000002</v>
      </c>
      <c r="J48" s="23"/>
      <c r="L48" s="19"/>
      <c r="M48" s="20"/>
      <c r="N48" s="21"/>
    </row>
    <row r="49" spans="1:22" ht="31.5" customHeight="1">
      <c r="A49" s="29">
        <v>13</v>
      </c>
      <c r="B49" s="101" t="s">
        <v>109</v>
      </c>
      <c r="C49" s="102" t="s">
        <v>101</v>
      </c>
      <c r="D49" s="101" t="s">
        <v>178</v>
      </c>
      <c r="E49" s="123">
        <v>1150.5999999999999</v>
      </c>
      <c r="F49" s="112">
        <f>SUM(E49*2/1000)</f>
        <v>2.3011999999999997</v>
      </c>
      <c r="G49" s="98">
        <v>1739.68</v>
      </c>
      <c r="H49" s="60">
        <f t="shared" si="7"/>
        <v>4.0033516159999998</v>
      </c>
      <c r="I49" s="13">
        <f>F49/2*G49</f>
        <v>2001.6758079999997</v>
      </c>
      <c r="J49" s="23"/>
      <c r="L49" s="19"/>
      <c r="M49" s="20"/>
      <c r="N49" s="21"/>
    </row>
    <row r="50" spans="1:22" ht="31.5" customHeight="1">
      <c r="A50" s="29">
        <v>14</v>
      </c>
      <c r="B50" s="101" t="s">
        <v>110</v>
      </c>
      <c r="C50" s="102" t="s">
        <v>36</v>
      </c>
      <c r="D50" s="101" t="s">
        <v>178</v>
      </c>
      <c r="E50" s="123">
        <v>30</v>
      </c>
      <c r="F50" s="112">
        <f>SUM(E50*2/100)</f>
        <v>0.6</v>
      </c>
      <c r="G50" s="98">
        <v>3914.31</v>
      </c>
      <c r="H50" s="60">
        <f t="shared" si="7"/>
        <v>2.3485859999999996</v>
      </c>
      <c r="I50" s="13">
        <f>F50/2*G50</f>
        <v>1174.2929999999999</v>
      </c>
      <c r="J50" s="23"/>
      <c r="L50" s="19"/>
      <c r="M50" s="20"/>
      <c r="N50" s="21"/>
    </row>
    <row r="51" spans="1:22" ht="15.75" customHeight="1">
      <c r="A51" s="29">
        <v>15</v>
      </c>
      <c r="B51" s="101" t="s">
        <v>37</v>
      </c>
      <c r="C51" s="102" t="s">
        <v>38</v>
      </c>
      <c r="D51" s="101" t="s">
        <v>178</v>
      </c>
      <c r="E51" s="123">
        <v>1</v>
      </c>
      <c r="F51" s="112">
        <v>0.02</v>
      </c>
      <c r="G51" s="98">
        <v>8102.62</v>
      </c>
      <c r="H51" s="60">
        <f t="shared" si="7"/>
        <v>0.16205240000000001</v>
      </c>
      <c r="I51" s="13">
        <f>F51/2*G51</f>
        <v>81.026200000000003</v>
      </c>
      <c r="J51" s="23"/>
      <c r="L51" s="19"/>
      <c r="M51" s="20"/>
      <c r="N51" s="21"/>
    </row>
    <row r="52" spans="1:22" ht="15.75" hidden="1" customHeight="1">
      <c r="A52" s="29">
        <v>17</v>
      </c>
      <c r="B52" s="101" t="s">
        <v>39</v>
      </c>
      <c r="C52" s="102" t="s">
        <v>111</v>
      </c>
      <c r="D52" s="164">
        <v>44078</v>
      </c>
      <c r="E52" s="123">
        <v>158</v>
      </c>
      <c r="F52" s="112">
        <f>SUM(E52)*3</f>
        <v>474</v>
      </c>
      <c r="G52" s="151">
        <v>94.16</v>
      </c>
      <c r="H52" s="60">
        <f t="shared" si="7"/>
        <v>44.631839999999997</v>
      </c>
      <c r="I52" s="13">
        <f>E52*G52</f>
        <v>14877.279999999999</v>
      </c>
      <c r="J52" s="23"/>
      <c r="L52" s="19"/>
      <c r="M52" s="20"/>
      <c r="N52" s="21"/>
    </row>
    <row r="53" spans="1:22" ht="15.75" customHeight="1">
      <c r="A53" s="214" t="s">
        <v>122</v>
      </c>
      <c r="B53" s="215"/>
      <c r="C53" s="215"/>
      <c r="D53" s="215"/>
      <c r="E53" s="215"/>
      <c r="F53" s="215"/>
      <c r="G53" s="215"/>
      <c r="H53" s="215"/>
      <c r="I53" s="216"/>
      <c r="J53" s="23"/>
      <c r="L53" s="19"/>
      <c r="M53" s="20"/>
      <c r="N53" s="21"/>
    </row>
    <row r="54" spans="1:22" ht="15.75" hidden="1" customHeight="1">
      <c r="A54" s="29"/>
      <c r="B54" s="76" t="s">
        <v>41</v>
      </c>
      <c r="C54" s="58"/>
      <c r="D54" s="57"/>
      <c r="E54" s="45"/>
      <c r="F54" s="59"/>
      <c r="G54" s="59"/>
      <c r="H54" s="60"/>
      <c r="I54" s="13"/>
      <c r="J54" s="23"/>
      <c r="L54" s="19"/>
      <c r="M54" s="20"/>
      <c r="N54" s="21"/>
    </row>
    <row r="55" spans="1:22" ht="31.5" hidden="1" customHeight="1">
      <c r="A55" s="29">
        <v>16</v>
      </c>
      <c r="B55" s="57" t="s">
        <v>135</v>
      </c>
      <c r="C55" s="58" t="s">
        <v>93</v>
      </c>
      <c r="D55" s="57" t="s">
        <v>136</v>
      </c>
      <c r="E55" s="85">
        <v>6</v>
      </c>
      <c r="F55" s="13">
        <f>E55*8/100</f>
        <v>0.48</v>
      </c>
      <c r="G55" s="59">
        <v>1547.28</v>
      </c>
      <c r="H55" s="60">
        <f>SUM(F55*G55/1000)</f>
        <v>0.74269439999999998</v>
      </c>
      <c r="I55" s="13">
        <f>F55/6*G55</f>
        <v>123.7824</v>
      </c>
      <c r="J55" s="23"/>
      <c r="L55" s="19"/>
      <c r="M55" s="20"/>
      <c r="N55" s="21"/>
    </row>
    <row r="56" spans="1:22" ht="15.75" hidden="1" customHeight="1">
      <c r="A56" s="86"/>
      <c r="B56" s="57" t="s">
        <v>90</v>
      </c>
      <c r="C56" s="58" t="s">
        <v>91</v>
      </c>
      <c r="D56" s="57" t="s">
        <v>40</v>
      </c>
      <c r="E56" s="45">
        <v>6</v>
      </c>
      <c r="F56" s="59">
        <v>12</v>
      </c>
      <c r="G56" s="65">
        <v>180.78</v>
      </c>
      <c r="H56" s="60">
        <f t="shared" ref="H56" si="9">SUM(F56*G56/1000)</f>
        <v>2.1693600000000002</v>
      </c>
      <c r="I56" s="13">
        <v>0</v>
      </c>
      <c r="J56" s="23"/>
      <c r="L56" s="19"/>
      <c r="M56" s="20"/>
      <c r="N56" s="21"/>
    </row>
    <row r="57" spans="1:22" ht="15.75" hidden="1" customHeight="1">
      <c r="A57" s="175">
        <v>18</v>
      </c>
      <c r="B57" s="103" t="s">
        <v>193</v>
      </c>
      <c r="C57" s="104" t="s">
        <v>194</v>
      </c>
      <c r="D57" s="103" t="s">
        <v>197</v>
      </c>
      <c r="E57" s="105"/>
      <c r="F57" s="108">
        <v>6</v>
      </c>
      <c r="G57" s="98">
        <v>1730</v>
      </c>
      <c r="H57" s="71"/>
      <c r="I57" s="13">
        <f>G57*1</f>
        <v>1730</v>
      </c>
      <c r="J57" s="23"/>
      <c r="L57" s="19"/>
      <c r="M57" s="20"/>
      <c r="N57" s="21"/>
    </row>
    <row r="58" spans="1:22" ht="15.75" customHeight="1">
      <c r="A58" s="29"/>
      <c r="B58" s="77" t="s">
        <v>42</v>
      </c>
      <c r="C58" s="66"/>
      <c r="D58" s="67"/>
      <c r="E58" s="68"/>
      <c r="F58" s="70"/>
      <c r="G58" s="13"/>
      <c r="H58" s="71"/>
      <c r="I58" s="13"/>
      <c r="J58" s="23"/>
      <c r="L58" s="19"/>
      <c r="M58" s="20"/>
      <c r="N58" s="21"/>
    </row>
    <row r="59" spans="1:22" ht="15.75" customHeight="1">
      <c r="A59" s="29">
        <v>16</v>
      </c>
      <c r="B59" s="67" t="s">
        <v>87</v>
      </c>
      <c r="C59" s="66" t="s">
        <v>25</v>
      </c>
      <c r="D59" s="67"/>
      <c r="E59" s="68">
        <v>232.6</v>
      </c>
      <c r="F59" s="69">
        <v>2400</v>
      </c>
      <c r="G59" s="87">
        <v>1.4</v>
      </c>
      <c r="H59" s="70">
        <f>G59*F59</f>
        <v>3360</v>
      </c>
      <c r="I59" s="13">
        <f>F59/12*G59</f>
        <v>280</v>
      </c>
      <c r="J59" s="23"/>
      <c r="L59" s="19"/>
    </row>
    <row r="60" spans="1:22" ht="15.75" customHeight="1">
      <c r="A60" s="29"/>
      <c r="B60" s="77" t="s">
        <v>43</v>
      </c>
      <c r="C60" s="66"/>
      <c r="D60" s="67"/>
      <c r="E60" s="68"/>
      <c r="F60" s="69"/>
      <c r="G60" s="69"/>
      <c r="H60" s="70" t="s">
        <v>118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customHeight="1">
      <c r="A61" s="29">
        <v>17</v>
      </c>
      <c r="B61" s="152" t="s">
        <v>44</v>
      </c>
      <c r="C61" s="113" t="s">
        <v>111</v>
      </c>
      <c r="D61" s="100" t="s">
        <v>178</v>
      </c>
      <c r="E61" s="17">
        <v>18</v>
      </c>
      <c r="F61" s="112">
        <f>E61*1</f>
        <v>18</v>
      </c>
      <c r="G61" s="98">
        <v>318.82</v>
      </c>
      <c r="H61" s="72">
        <f t="shared" ref="H61:H68" si="10">SUM(F61*G61/1000)</f>
        <v>5.7387600000000001</v>
      </c>
      <c r="I61" s="13">
        <f>G61*1</f>
        <v>318.82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/>
      <c r="B62" s="14" t="s">
        <v>45</v>
      </c>
      <c r="C62" s="16" t="s">
        <v>111</v>
      </c>
      <c r="D62" s="14" t="s">
        <v>63</v>
      </c>
      <c r="E62" s="18">
        <v>5</v>
      </c>
      <c r="F62" s="59">
        <v>5</v>
      </c>
      <c r="G62" s="13">
        <v>71.790000000000006</v>
      </c>
      <c r="H62" s="72">
        <f t="shared" si="10"/>
        <v>0.35895000000000005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>
        <v>24</v>
      </c>
      <c r="B63" s="14" t="s">
        <v>46</v>
      </c>
      <c r="C63" s="16" t="s">
        <v>112</v>
      </c>
      <c r="D63" s="14" t="s">
        <v>51</v>
      </c>
      <c r="E63" s="45">
        <v>18281</v>
      </c>
      <c r="F63" s="13">
        <f>SUM(E63/100)</f>
        <v>182.81</v>
      </c>
      <c r="G63" s="13">
        <v>199.77</v>
      </c>
      <c r="H63" s="72">
        <f t="shared" si="10"/>
        <v>36.519953700000002</v>
      </c>
      <c r="I63" s="13">
        <f>F63*G63</f>
        <v>36519.953700000005</v>
      </c>
      <c r="J63" s="5"/>
      <c r="K63" s="5"/>
      <c r="L63" s="5"/>
      <c r="M63" s="5"/>
      <c r="N63" s="5"/>
      <c r="O63" s="5"/>
      <c r="P63" s="5"/>
      <c r="Q63" s="5"/>
      <c r="R63" s="210"/>
      <c r="S63" s="210"/>
      <c r="T63" s="210"/>
      <c r="U63" s="210"/>
    </row>
    <row r="64" spans="1:22" ht="15.75" hidden="1" customHeight="1">
      <c r="A64" s="29">
        <v>25</v>
      </c>
      <c r="B64" s="14" t="s">
        <v>47</v>
      </c>
      <c r="C64" s="16" t="s">
        <v>113</v>
      </c>
      <c r="D64" s="14"/>
      <c r="E64" s="45">
        <v>18281</v>
      </c>
      <c r="F64" s="13">
        <f>SUM(E64/1000)</f>
        <v>18.280999999999999</v>
      </c>
      <c r="G64" s="13">
        <v>155.57</v>
      </c>
      <c r="H64" s="72">
        <f t="shared" si="10"/>
        <v>2.8439751699999998</v>
      </c>
      <c r="I64" s="13">
        <f t="shared" ref="I64:I67" si="11">F64*G64</f>
        <v>2843.9751699999997</v>
      </c>
    </row>
    <row r="65" spans="1:9" ht="15.75" hidden="1" customHeight="1">
      <c r="A65" s="29">
        <v>26</v>
      </c>
      <c r="B65" s="14" t="s">
        <v>48</v>
      </c>
      <c r="C65" s="16" t="s">
        <v>72</v>
      </c>
      <c r="D65" s="14" t="s">
        <v>51</v>
      </c>
      <c r="E65" s="45">
        <v>2730</v>
      </c>
      <c r="F65" s="13">
        <f>SUM(E65/100)</f>
        <v>27.3</v>
      </c>
      <c r="G65" s="13">
        <v>1953.52</v>
      </c>
      <c r="H65" s="72">
        <f t="shared" si="10"/>
        <v>53.331095999999995</v>
      </c>
      <c r="I65" s="13">
        <f t="shared" si="11"/>
        <v>53331.095999999998</v>
      </c>
    </row>
    <row r="66" spans="1:9" ht="15.75" hidden="1" customHeight="1">
      <c r="A66" s="29">
        <v>27</v>
      </c>
      <c r="B66" s="73" t="s">
        <v>114</v>
      </c>
      <c r="C66" s="16" t="s">
        <v>32</v>
      </c>
      <c r="D66" s="14"/>
      <c r="E66" s="45">
        <v>16.399999999999999</v>
      </c>
      <c r="F66" s="13">
        <f>SUM(E66)</f>
        <v>16.399999999999999</v>
      </c>
      <c r="G66" s="13">
        <v>40.270000000000003</v>
      </c>
      <c r="H66" s="72">
        <f t="shared" si="10"/>
        <v>0.66042800000000002</v>
      </c>
      <c r="I66" s="13">
        <f t="shared" si="11"/>
        <v>660.428</v>
      </c>
    </row>
    <row r="67" spans="1:9" ht="15.75" hidden="1" customHeight="1">
      <c r="A67" s="29">
        <v>28</v>
      </c>
      <c r="B67" s="73" t="s">
        <v>115</v>
      </c>
      <c r="C67" s="16" t="s">
        <v>32</v>
      </c>
      <c r="D67" s="14"/>
      <c r="E67" s="45">
        <v>16.399999999999999</v>
      </c>
      <c r="F67" s="13">
        <f>SUM(E67)</f>
        <v>16.399999999999999</v>
      </c>
      <c r="G67" s="13">
        <v>37.71</v>
      </c>
      <c r="H67" s="72">
        <f t="shared" si="10"/>
        <v>0.61844399999999999</v>
      </c>
      <c r="I67" s="13">
        <f t="shared" si="11"/>
        <v>618.44399999999996</v>
      </c>
    </row>
    <row r="68" spans="1:9" ht="15.75" customHeight="1">
      <c r="A68" s="29">
        <v>18</v>
      </c>
      <c r="B68" s="100" t="s">
        <v>54</v>
      </c>
      <c r="C68" s="113" t="s">
        <v>55</v>
      </c>
      <c r="D68" s="100" t="s">
        <v>180</v>
      </c>
      <c r="E68" s="17">
        <v>4</v>
      </c>
      <c r="F68" s="112">
        <f>SUM(E68)</f>
        <v>4</v>
      </c>
      <c r="G68" s="98">
        <v>71.510000000000005</v>
      </c>
      <c r="H68" s="72">
        <f t="shared" si="10"/>
        <v>0.28604000000000002</v>
      </c>
      <c r="I68" s="13">
        <f>G68*7</f>
        <v>500.57000000000005</v>
      </c>
    </row>
    <row r="69" spans="1:9" ht="15.75" customHeight="1">
      <c r="A69" s="29">
        <v>19</v>
      </c>
      <c r="B69" s="100" t="s">
        <v>165</v>
      </c>
      <c r="C69" s="113" t="s">
        <v>137</v>
      </c>
      <c r="D69" s="100" t="s">
        <v>321</v>
      </c>
      <c r="E69" s="17">
        <v>6</v>
      </c>
      <c r="F69" s="134">
        <f>E69*1</f>
        <v>6</v>
      </c>
      <c r="G69" s="98">
        <v>968.66</v>
      </c>
      <c r="H69" s="72"/>
      <c r="I69" s="13">
        <f>G69*1</f>
        <v>968.66</v>
      </c>
    </row>
    <row r="70" spans="1:9" ht="15.75" customHeight="1">
      <c r="A70" s="29"/>
      <c r="B70" s="135" t="s">
        <v>166</v>
      </c>
      <c r="C70" s="113"/>
      <c r="D70" s="100"/>
      <c r="E70" s="17"/>
      <c r="F70" s="98"/>
      <c r="G70" s="98"/>
      <c r="H70" s="75"/>
      <c r="I70" s="62"/>
    </row>
    <row r="71" spans="1:9" ht="28.5" customHeight="1">
      <c r="A71" s="29">
        <v>20</v>
      </c>
      <c r="B71" s="100" t="s">
        <v>167</v>
      </c>
      <c r="C71" s="35" t="s">
        <v>168</v>
      </c>
      <c r="D71" s="100"/>
      <c r="E71" s="17">
        <v>4224.3999999999996</v>
      </c>
      <c r="F71" s="98">
        <f>E71*12</f>
        <v>50692.799999999996</v>
      </c>
      <c r="G71" s="98">
        <v>2.4900000000000002</v>
      </c>
      <c r="H71" s="75"/>
      <c r="I71" s="13">
        <f>G71*F71/12</f>
        <v>10518.755999999999</v>
      </c>
    </row>
    <row r="72" spans="1:9" ht="15.75" customHeight="1">
      <c r="A72" s="29"/>
      <c r="B72" s="169" t="s">
        <v>69</v>
      </c>
      <c r="C72" s="16"/>
      <c r="D72" s="14"/>
      <c r="E72" s="18"/>
      <c r="F72" s="13"/>
      <c r="G72" s="13"/>
      <c r="H72" s="72" t="s">
        <v>118</v>
      </c>
      <c r="I72" s="13"/>
    </row>
    <row r="73" spans="1:9" ht="30" hidden="1" customHeight="1">
      <c r="A73" s="29">
        <v>22</v>
      </c>
      <c r="B73" s="100" t="s">
        <v>191</v>
      </c>
      <c r="C73" s="113" t="s">
        <v>83</v>
      </c>
      <c r="D73" s="100" t="s">
        <v>192</v>
      </c>
      <c r="E73" s="17">
        <v>1</v>
      </c>
      <c r="F73" s="134">
        <f>E73*1</f>
        <v>1</v>
      </c>
      <c r="G73" s="98">
        <v>2151.87</v>
      </c>
      <c r="H73" s="72"/>
      <c r="I73" s="13">
        <f>G73*1</f>
        <v>2151.87</v>
      </c>
    </row>
    <row r="74" spans="1:9" ht="15.75" hidden="1" customHeight="1">
      <c r="A74" s="29"/>
      <c r="B74" s="14" t="s">
        <v>80</v>
      </c>
      <c r="C74" s="16" t="s">
        <v>30</v>
      </c>
      <c r="D74" s="14"/>
      <c r="E74" s="18">
        <v>1</v>
      </c>
      <c r="F74" s="59">
        <f>SUM(E74)</f>
        <v>1</v>
      </c>
      <c r="G74" s="13">
        <v>337.58</v>
      </c>
      <c r="H74" s="72">
        <f t="shared" ref="H74" si="12">SUM(F74*G74/1000)</f>
        <v>0.33757999999999999</v>
      </c>
      <c r="I74" s="13">
        <v>0</v>
      </c>
    </row>
    <row r="75" spans="1:9" ht="15.75" hidden="1" customHeight="1">
      <c r="A75" s="29"/>
      <c r="B75" s="14" t="s">
        <v>70</v>
      </c>
      <c r="C75" s="16" t="s">
        <v>30</v>
      </c>
      <c r="D75" s="14"/>
      <c r="E75" s="18">
        <v>2</v>
      </c>
      <c r="F75" s="13">
        <v>2</v>
      </c>
      <c r="G75" s="13">
        <v>803.19</v>
      </c>
      <c r="H75" s="72">
        <f>F75*G75/1000</f>
        <v>1.6063800000000001</v>
      </c>
      <c r="I75" s="13">
        <v>0</v>
      </c>
    </row>
    <row r="76" spans="1:9" ht="30" customHeight="1">
      <c r="A76" s="29">
        <v>21</v>
      </c>
      <c r="B76" s="95" t="s">
        <v>169</v>
      </c>
      <c r="C76" s="96" t="s">
        <v>111</v>
      </c>
      <c r="D76" s="100" t="s">
        <v>180</v>
      </c>
      <c r="E76" s="17">
        <v>2</v>
      </c>
      <c r="F76" s="98">
        <f>E76*12</f>
        <v>24</v>
      </c>
      <c r="G76" s="98">
        <v>404</v>
      </c>
      <c r="H76" s="72"/>
      <c r="I76" s="13">
        <f>G76*2</f>
        <v>808</v>
      </c>
    </row>
    <row r="77" spans="1:9" ht="15.75" hidden="1" customHeight="1">
      <c r="A77" s="29"/>
      <c r="B77" s="74" t="s">
        <v>71</v>
      </c>
      <c r="C77" s="16"/>
      <c r="D77" s="14"/>
      <c r="E77" s="18"/>
      <c r="F77" s="13"/>
      <c r="G77" s="13" t="s">
        <v>118</v>
      </c>
      <c r="H77" s="72" t="s">
        <v>118</v>
      </c>
      <c r="I77" s="13"/>
    </row>
    <row r="78" spans="1:9" ht="15.75" hidden="1" customHeight="1">
      <c r="A78" s="29"/>
      <c r="B78" s="42" t="s">
        <v>119</v>
      </c>
      <c r="C78" s="16" t="s">
        <v>72</v>
      </c>
      <c r="D78" s="14"/>
      <c r="E78" s="18"/>
      <c r="F78" s="13">
        <v>1.35</v>
      </c>
      <c r="G78" s="13">
        <v>2494</v>
      </c>
      <c r="H78" s="72">
        <f t="shared" ref="H78" si="13">SUM(F78*G78/1000)</f>
        <v>3.3669000000000002</v>
      </c>
      <c r="I78" s="13">
        <v>0</v>
      </c>
    </row>
    <row r="79" spans="1:9" ht="15.75" hidden="1" customHeight="1">
      <c r="A79" s="29"/>
      <c r="B79" s="61" t="s">
        <v>116</v>
      </c>
      <c r="C79" s="74"/>
      <c r="D79" s="31"/>
      <c r="E79" s="32"/>
      <c r="F79" s="62"/>
      <c r="G79" s="62"/>
      <c r="H79" s="75">
        <f>SUM(H55:H78)</f>
        <v>3468.5805612700001</v>
      </c>
      <c r="I79" s="62"/>
    </row>
    <row r="80" spans="1:9" ht="17.25" hidden="1" customHeight="1">
      <c r="A80" s="120">
        <v>29</v>
      </c>
      <c r="B80" s="67" t="s">
        <v>117</v>
      </c>
      <c r="C80" s="171"/>
      <c r="D80" s="172"/>
      <c r="E80" s="52"/>
      <c r="F80" s="109">
        <v>1</v>
      </c>
      <c r="G80" s="109">
        <v>17359.8</v>
      </c>
      <c r="H80" s="121">
        <f>G80*F80/1000</f>
        <v>17.3598</v>
      </c>
      <c r="I80" s="109">
        <f>G80</f>
        <v>17359.8</v>
      </c>
    </row>
    <row r="81" spans="1:9" ht="15.75" customHeight="1">
      <c r="A81" s="213" t="s">
        <v>123</v>
      </c>
      <c r="B81" s="213"/>
      <c r="C81" s="213"/>
      <c r="D81" s="213"/>
      <c r="E81" s="213"/>
      <c r="F81" s="213"/>
      <c r="G81" s="213"/>
      <c r="H81" s="213"/>
      <c r="I81" s="213"/>
    </row>
    <row r="82" spans="1:9" ht="15.75" customHeight="1">
      <c r="A82" s="173">
        <v>22</v>
      </c>
      <c r="B82" s="177" t="s">
        <v>120</v>
      </c>
      <c r="C82" s="138" t="s">
        <v>52</v>
      </c>
      <c r="D82" s="174"/>
      <c r="E82" s="141">
        <v>4224.3999999999996</v>
      </c>
      <c r="F82" s="141">
        <f>SUM(E82*12)</f>
        <v>50692.799999999996</v>
      </c>
      <c r="G82" s="141">
        <v>3.38</v>
      </c>
      <c r="H82" s="156">
        <f>SUM(F82*G82/1000)</f>
        <v>171.34166399999998</v>
      </c>
      <c r="I82" s="157">
        <f>F82/12*G82</f>
        <v>14278.471999999998</v>
      </c>
    </row>
    <row r="83" spans="1:9" ht="31.5" customHeight="1">
      <c r="A83" s="29">
        <v>23</v>
      </c>
      <c r="B83" s="100" t="s">
        <v>170</v>
      </c>
      <c r="C83" s="113" t="s">
        <v>52</v>
      </c>
      <c r="D83" s="97"/>
      <c r="E83" s="123">
        <f>E82</f>
        <v>4224.3999999999996</v>
      </c>
      <c r="F83" s="98">
        <f>E83*12</f>
        <v>50692.799999999996</v>
      </c>
      <c r="G83" s="98">
        <v>3.05</v>
      </c>
      <c r="H83" s="72">
        <f>F83*G83/1000</f>
        <v>154.61303999999998</v>
      </c>
      <c r="I83" s="13">
        <f>F83/12*G83</f>
        <v>12884.419999999998</v>
      </c>
    </row>
    <row r="84" spans="1:9" ht="15.75" customHeight="1">
      <c r="A84" s="170"/>
      <c r="B84" s="34" t="s">
        <v>74</v>
      </c>
      <c r="C84" s="35"/>
      <c r="D84" s="15"/>
      <c r="E84" s="15"/>
      <c r="F84" s="15"/>
      <c r="G84" s="18"/>
      <c r="H84" s="18"/>
      <c r="I84" s="32">
        <f>I83+I82+I76+I71+I69+I68+I61+I59+I51+I50+I49+I48+I47+I46+I45+I44+I32+I29+I28+I21+I20+I18+I17</f>
        <v>78988.040099199992</v>
      </c>
    </row>
    <row r="85" spans="1:9" ht="15.75" customHeight="1">
      <c r="A85" s="220" t="s">
        <v>57</v>
      </c>
      <c r="B85" s="221"/>
      <c r="C85" s="221"/>
      <c r="D85" s="221"/>
      <c r="E85" s="221"/>
      <c r="F85" s="221"/>
      <c r="G85" s="221"/>
      <c r="H85" s="221"/>
      <c r="I85" s="222"/>
    </row>
    <row r="86" spans="1:9" ht="18.75" customHeight="1">
      <c r="A86" s="29">
        <v>24</v>
      </c>
      <c r="B86" s="95" t="s">
        <v>311</v>
      </c>
      <c r="C86" s="116" t="s">
        <v>297</v>
      </c>
      <c r="D86" s="97"/>
      <c r="E86" s="98"/>
      <c r="F86" s="98">
        <v>0.12</v>
      </c>
      <c r="G86" s="98">
        <v>4113.16</v>
      </c>
      <c r="H86" s="72"/>
      <c r="I86" s="13">
        <f>G86*0.12</f>
        <v>493.57919999999996</v>
      </c>
    </row>
    <row r="87" spans="1:9" ht="15.75" customHeight="1">
      <c r="A87" s="29">
        <v>25</v>
      </c>
      <c r="B87" s="95" t="s">
        <v>153</v>
      </c>
      <c r="C87" s="96" t="s">
        <v>77</v>
      </c>
      <c r="D87" s="97" t="s">
        <v>315</v>
      </c>
      <c r="E87" s="98"/>
      <c r="F87" s="98">
        <v>2</v>
      </c>
      <c r="G87" s="98">
        <v>231.54</v>
      </c>
      <c r="H87" s="72"/>
      <c r="I87" s="13">
        <f>G87*1</f>
        <v>231.54</v>
      </c>
    </row>
    <row r="88" spans="1:9" ht="21.75" customHeight="1">
      <c r="A88" s="29">
        <v>26</v>
      </c>
      <c r="B88" s="95" t="s">
        <v>294</v>
      </c>
      <c r="C88" s="116" t="s">
        <v>213</v>
      </c>
      <c r="D88" s="97" t="s">
        <v>322</v>
      </c>
      <c r="E88" s="98"/>
      <c r="F88" s="98">
        <v>2</v>
      </c>
      <c r="G88" s="98">
        <v>182.26</v>
      </c>
      <c r="H88" s="72"/>
      <c r="I88" s="13">
        <f>G88*1</f>
        <v>182.26</v>
      </c>
    </row>
    <row r="89" spans="1:9" ht="20.25" customHeight="1">
      <c r="A89" s="29">
        <v>27</v>
      </c>
      <c r="B89" s="95" t="s">
        <v>295</v>
      </c>
      <c r="C89" s="116" t="s">
        <v>111</v>
      </c>
      <c r="D89" s="97" t="s">
        <v>323</v>
      </c>
      <c r="E89" s="98"/>
      <c r="F89" s="98">
        <v>4</v>
      </c>
      <c r="G89" s="98">
        <v>444</v>
      </c>
      <c r="H89" s="72"/>
      <c r="I89" s="13">
        <f>G89*1</f>
        <v>444</v>
      </c>
    </row>
    <row r="90" spans="1:9" ht="60" customHeight="1">
      <c r="A90" s="29">
        <v>28</v>
      </c>
      <c r="B90" s="95" t="s">
        <v>81</v>
      </c>
      <c r="C90" s="96" t="s">
        <v>83</v>
      </c>
      <c r="D90" s="100" t="s">
        <v>320</v>
      </c>
      <c r="E90" s="98"/>
      <c r="F90" s="98">
        <v>4</v>
      </c>
      <c r="G90" s="98">
        <v>697.33</v>
      </c>
      <c r="H90" s="72"/>
      <c r="I90" s="13">
        <f>G90*3</f>
        <v>2091.9900000000002</v>
      </c>
    </row>
    <row r="91" spans="1:9" ht="35.25" customHeight="1">
      <c r="A91" s="29">
        <v>29</v>
      </c>
      <c r="B91" s="95" t="s">
        <v>236</v>
      </c>
      <c r="C91" s="96" t="s">
        <v>111</v>
      </c>
      <c r="D91" s="97" t="s">
        <v>318</v>
      </c>
      <c r="E91" s="98"/>
      <c r="F91" s="98">
        <v>7</v>
      </c>
      <c r="G91" s="98">
        <v>1226.45</v>
      </c>
      <c r="H91" s="72"/>
      <c r="I91" s="13">
        <f>G91*1</f>
        <v>1226.45</v>
      </c>
    </row>
    <row r="92" spans="1:9" ht="55.5" customHeight="1">
      <c r="A92" s="29">
        <v>30</v>
      </c>
      <c r="B92" s="95" t="s">
        <v>266</v>
      </c>
      <c r="C92" s="96" t="s">
        <v>157</v>
      </c>
      <c r="D92" s="100" t="s">
        <v>319</v>
      </c>
      <c r="E92" s="98"/>
      <c r="F92" s="98">
        <v>16</v>
      </c>
      <c r="G92" s="98">
        <v>1504.51</v>
      </c>
      <c r="H92" s="72"/>
      <c r="I92" s="13">
        <f>G92*15</f>
        <v>22567.65</v>
      </c>
    </row>
    <row r="93" spans="1:9" ht="33.75" customHeight="1">
      <c r="A93" s="29">
        <v>31</v>
      </c>
      <c r="B93" s="95" t="s">
        <v>312</v>
      </c>
      <c r="C93" s="96" t="s">
        <v>157</v>
      </c>
      <c r="D93" s="203" t="s">
        <v>316</v>
      </c>
      <c r="E93" s="98"/>
      <c r="F93" s="98">
        <v>14</v>
      </c>
      <c r="G93" s="98">
        <v>1584.54</v>
      </c>
      <c r="H93" s="72"/>
      <c r="I93" s="13">
        <f>G93*14</f>
        <v>22183.559999999998</v>
      </c>
    </row>
    <row r="94" spans="1:9" ht="33.75" customHeight="1">
      <c r="A94" s="29">
        <v>32</v>
      </c>
      <c r="B94" s="95" t="s">
        <v>313</v>
      </c>
      <c r="C94" s="96" t="s">
        <v>157</v>
      </c>
      <c r="D94" s="100" t="s">
        <v>317</v>
      </c>
      <c r="E94" s="98"/>
      <c r="F94" s="98">
        <v>2</v>
      </c>
      <c r="G94" s="98">
        <v>1478.55</v>
      </c>
      <c r="H94" s="72"/>
      <c r="I94" s="13">
        <f>G94*2</f>
        <v>2957.1</v>
      </c>
    </row>
    <row r="95" spans="1:9" ht="34.5" customHeight="1">
      <c r="A95" s="29">
        <v>33</v>
      </c>
      <c r="B95" s="95" t="s">
        <v>314</v>
      </c>
      <c r="C95" s="96" t="s">
        <v>157</v>
      </c>
      <c r="D95" s="100" t="s">
        <v>317</v>
      </c>
      <c r="E95" s="98"/>
      <c r="F95" s="98">
        <v>2</v>
      </c>
      <c r="G95" s="98">
        <v>1380.91</v>
      </c>
      <c r="H95" s="72"/>
      <c r="I95" s="13">
        <f>G95*2</f>
        <v>2761.82</v>
      </c>
    </row>
    <row r="96" spans="1:9" ht="14.25" customHeight="1">
      <c r="A96" s="29">
        <v>34</v>
      </c>
      <c r="B96" s="95" t="s">
        <v>238</v>
      </c>
      <c r="C96" s="96" t="s">
        <v>30</v>
      </c>
      <c r="D96" s="97"/>
      <c r="E96" s="98"/>
      <c r="F96" s="98">
        <v>9</v>
      </c>
      <c r="G96" s="98">
        <v>235</v>
      </c>
      <c r="H96" s="72"/>
      <c r="I96" s="13">
        <f>G96*1</f>
        <v>235</v>
      </c>
    </row>
    <row r="97" spans="1:9" ht="14.25" customHeight="1">
      <c r="A97" s="29"/>
      <c r="B97" s="95" t="s">
        <v>253</v>
      </c>
      <c r="C97" s="96" t="s">
        <v>30</v>
      </c>
      <c r="D97" s="97"/>
      <c r="E97" s="98"/>
      <c r="F97" s="98">
        <v>5</v>
      </c>
      <c r="G97" s="98">
        <v>98</v>
      </c>
      <c r="H97" s="72"/>
      <c r="I97" s="13">
        <f>G97*1</f>
        <v>98</v>
      </c>
    </row>
    <row r="98" spans="1:9" ht="14.25" customHeight="1">
      <c r="A98" s="29">
        <v>35</v>
      </c>
      <c r="B98" s="95" t="s">
        <v>241</v>
      </c>
      <c r="C98" s="96" t="s">
        <v>111</v>
      </c>
      <c r="D98" s="97"/>
      <c r="E98" s="98"/>
      <c r="F98" s="98">
        <v>4</v>
      </c>
      <c r="G98" s="98">
        <v>49</v>
      </c>
      <c r="H98" s="72"/>
      <c r="I98" s="13">
        <f>G98*1</f>
        <v>49</v>
      </c>
    </row>
    <row r="99" spans="1:9" ht="14.25" customHeight="1">
      <c r="A99" s="29">
        <v>36</v>
      </c>
      <c r="B99" s="95" t="s">
        <v>200</v>
      </c>
      <c r="C99" s="96" t="s">
        <v>38</v>
      </c>
      <c r="D99" s="97" t="s">
        <v>178</v>
      </c>
      <c r="E99" s="98"/>
      <c r="F99" s="98">
        <v>0.06</v>
      </c>
      <c r="G99" s="98">
        <v>28224.75</v>
      </c>
      <c r="H99" s="72"/>
      <c r="I99" s="13">
        <v>0</v>
      </c>
    </row>
    <row r="100" spans="1:9" ht="15.75" customHeight="1">
      <c r="A100" s="29"/>
      <c r="B100" s="40" t="s">
        <v>49</v>
      </c>
      <c r="C100" s="36"/>
      <c r="D100" s="43"/>
      <c r="E100" s="36">
        <v>1</v>
      </c>
      <c r="F100" s="36"/>
      <c r="G100" s="36"/>
      <c r="H100" s="36"/>
      <c r="I100" s="32">
        <f>SUM(I86:I99)</f>
        <v>55521.949199999995</v>
      </c>
    </row>
    <row r="101" spans="1:9" ht="15.75" customHeight="1">
      <c r="A101" s="29"/>
      <c r="B101" s="42" t="s">
        <v>73</v>
      </c>
      <c r="C101" s="15"/>
      <c r="D101" s="15"/>
      <c r="E101" s="37"/>
      <c r="F101" s="37"/>
      <c r="G101" s="38"/>
      <c r="H101" s="38"/>
      <c r="I101" s="17">
        <v>0</v>
      </c>
    </row>
    <row r="102" spans="1:9" ht="15.75" customHeight="1">
      <c r="A102" s="44"/>
      <c r="B102" s="41" t="s">
        <v>129</v>
      </c>
      <c r="C102" s="33"/>
      <c r="D102" s="33"/>
      <c r="E102" s="33"/>
      <c r="F102" s="33"/>
      <c r="G102" s="33"/>
      <c r="H102" s="33"/>
      <c r="I102" s="39">
        <f>I84+I100</f>
        <v>134509.98929919998</v>
      </c>
    </row>
    <row r="103" spans="1:9" ht="15.75" customHeight="1">
      <c r="A103" s="217" t="s">
        <v>324</v>
      </c>
      <c r="B103" s="217"/>
      <c r="C103" s="217"/>
      <c r="D103" s="217"/>
      <c r="E103" s="217"/>
      <c r="F103" s="217"/>
      <c r="G103" s="217"/>
      <c r="H103" s="217"/>
      <c r="I103" s="217"/>
    </row>
    <row r="104" spans="1:9" ht="15.75" customHeight="1">
      <c r="A104" s="51"/>
      <c r="B104" s="218" t="s">
        <v>325</v>
      </c>
      <c r="C104" s="218"/>
      <c r="D104" s="218"/>
      <c r="E104" s="218"/>
      <c r="F104" s="218"/>
      <c r="G104" s="218"/>
      <c r="H104" s="56"/>
      <c r="I104" s="3"/>
    </row>
    <row r="105" spans="1:9" ht="15.75" customHeight="1">
      <c r="A105" s="80"/>
      <c r="B105" s="208" t="s">
        <v>6</v>
      </c>
      <c r="C105" s="208"/>
      <c r="D105" s="208"/>
      <c r="E105" s="208"/>
      <c r="F105" s="208"/>
      <c r="G105" s="208"/>
      <c r="H105" s="24"/>
      <c r="I105" s="5"/>
    </row>
    <row r="106" spans="1:9" ht="15.75" customHeight="1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ht="15.75" customHeight="1">
      <c r="A107" s="219" t="s">
        <v>7</v>
      </c>
      <c r="B107" s="219"/>
      <c r="C107" s="219"/>
      <c r="D107" s="219"/>
      <c r="E107" s="219"/>
      <c r="F107" s="219"/>
      <c r="G107" s="219"/>
      <c r="H107" s="219"/>
      <c r="I107" s="219"/>
    </row>
    <row r="108" spans="1:9" ht="15.75" customHeight="1">
      <c r="A108" s="219" t="s">
        <v>8</v>
      </c>
      <c r="B108" s="219"/>
      <c r="C108" s="219"/>
      <c r="D108" s="219"/>
      <c r="E108" s="219"/>
      <c r="F108" s="219"/>
      <c r="G108" s="219"/>
      <c r="H108" s="219"/>
      <c r="I108" s="219"/>
    </row>
    <row r="109" spans="1:9" ht="15.75" customHeight="1">
      <c r="A109" s="212" t="s">
        <v>58</v>
      </c>
      <c r="B109" s="212"/>
      <c r="C109" s="212"/>
      <c r="D109" s="212"/>
      <c r="E109" s="212"/>
      <c r="F109" s="212"/>
      <c r="G109" s="212"/>
      <c r="H109" s="212"/>
      <c r="I109" s="212"/>
    </row>
    <row r="110" spans="1:9" ht="15.75" customHeight="1">
      <c r="A110" s="11"/>
    </row>
    <row r="111" spans="1:9" ht="15.75" customHeight="1">
      <c r="A111" s="206" t="s">
        <v>9</v>
      </c>
      <c r="B111" s="206"/>
      <c r="C111" s="206"/>
      <c r="D111" s="206"/>
      <c r="E111" s="206"/>
      <c r="F111" s="206"/>
      <c r="G111" s="206"/>
      <c r="H111" s="206"/>
      <c r="I111" s="206"/>
    </row>
    <row r="112" spans="1:9" ht="15.75" customHeight="1">
      <c r="A112" s="4"/>
    </row>
    <row r="113" spans="1:9" ht="15.75" customHeight="1">
      <c r="B113" s="81" t="s">
        <v>10</v>
      </c>
      <c r="C113" s="207" t="s">
        <v>217</v>
      </c>
      <c r="D113" s="207"/>
      <c r="E113" s="207"/>
      <c r="F113" s="54"/>
      <c r="I113" s="79"/>
    </row>
    <row r="114" spans="1:9" ht="15.75" customHeight="1">
      <c r="A114" s="80"/>
      <c r="C114" s="208" t="s">
        <v>11</v>
      </c>
      <c r="D114" s="208"/>
      <c r="E114" s="208"/>
      <c r="F114" s="24"/>
      <c r="I114" s="78" t="s">
        <v>12</v>
      </c>
    </row>
    <row r="115" spans="1:9" ht="15.75" customHeight="1">
      <c r="A115" s="25"/>
      <c r="C115" s="12"/>
      <c r="D115" s="12"/>
      <c r="G115" s="12"/>
      <c r="H115" s="12"/>
    </row>
    <row r="116" spans="1:9" ht="15.75" customHeight="1">
      <c r="B116" s="81" t="s">
        <v>13</v>
      </c>
      <c r="C116" s="209"/>
      <c r="D116" s="209"/>
      <c r="E116" s="209"/>
      <c r="F116" s="55"/>
      <c r="I116" s="79"/>
    </row>
    <row r="117" spans="1:9" ht="15.75" customHeight="1">
      <c r="A117" s="80"/>
      <c r="C117" s="210" t="s">
        <v>11</v>
      </c>
      <c r="D117" s="210"/>
      <c r="E117" s="210"/>
      <c r="F117" s="80"/>
      <c r="I117" s="78" t="s">
        <v>12</v>
      </c>
    </row>
    <row r="118" spans="1:9" ht="15.75" customHeight="1">
      <c r="A118" s="4" t="s">
        <v>14</v>
      </c>
    </row>
    <row r="119" spans="1:9" ht="15.75" customHeight="1">
      <c r="A119" s="211" t="s">
        <v>15</v>
      </c>
      <c r="B119" s="211"/>
      <c r="C119" s="211"/>
      <c r="D119" s="211"/>
      <c r="E119" s="211"/>
      <c r="F119" s="211"/>
      <c r="G119" s="211"/>
      <c r="H119" s="211"/>
      <c r="I119" s="211"/>
    </row>
    <row r="120" spans="1:9" ht="45" customHeight="1">
      <c r="A120" s="205" t="s">
        <v>16</v>
      </c>
      <c r="B120" s="205"/>
      <c r="C120" s="205"/>
      <c r="D120" s="205"/>
      <c r="E120" s="205"/>
      <c r="F120" s="205"/>
      <c r="G120" s="205"/>
      <c r="H120" s="205"/>
      <c r="I120" s="205"/>
    </row>
    <row r="121" spans="1:9" ht="30" customHeight="1">
      <c r="A121" s="205" t="s">
        <v>17</v>
      </c>
      <c r="B121" s="205"/>
      <c r="C121" s="205"/>
      <c r="D121" s="205"/>
      <c r="E121" s="205"/>
      <c r="F121" s="205"/>
      <c r="G121" s="205"/>
      <c r="H121" s="205"/>
      <c r="I121" s="205"/>
    </row>
    <row r="122" spans="1:9" ht="30" customHeight="1">
      <c r="A122" s="205" t="s">
        <v>21</v>
      </c>
      <c r="B122" s="205"/>
      <c r="C122" s="205"/>
      <c r="D122" s="205"/>
      <c r="E122" s="205"/>
      <c r="F122" s="205"/>
      <c r="G122" s="205"/>
      <c r="H122" s="205"/>
      <c r="I122" s="205"/>
    </row>
    <row r="123" spans="1:9" ht="15" customHeight="1">
      <c r="A123" s="205" t="s">
        <v>20</v>
      </c>
      <c r="B123" s="205"/>
      <c r="C123" s="205"/>
      <c r="D123" s="205"/>
      <c r="E123" s="205"/>
      <c r="F123" s="205"/>
      <c r="G123" s="205"/>
      <c r="H123" s="205"/>
      <c r="I123" s="205"/>
    </row>
  </sheetData>
  <autoFilter ref="I12:I59"/>
  <mergeCells count="29">
    <mergeCell ref="A14:I14"/>
    <mergeCell ref="A15:I15"/>
    <mergeCell ref="A26:I26"/>
    <mergeCell ref="A43:I43"/>
    <mergeCell ref="A53:I53"/>
    <mergeCell ref="A3:I3"/>
    <mergeCell ref="A4:I4"/>
    <mergeCell ref="A5:I5"/>
    <mergeCell ref="A8:I8"/>
    <mergeCell ref="A10:I10"/>
    <mergeCell ref="R63:U63"/>
    <mergeCell ref="C117:E117"/>
    <mergeCell ref="A85:I85"/>
    <mergeCell ref="A103:I103"/>
    <mergeCell ref="B104:G104"/>
    <mergeCell ref="B105:G105"/>
    <mergeCell ref="A107:I107"/>
    <mergeCell ref="A108:I108"/>
    <mergeCell ref="A109:I109"/>
    <mergeCell ref="A111:I111"/>
    <mergeCell ref="C113:E113"/>
    <mergeCell ref="C114:E114"/>
    <mergeCell ref="C116:E116"/>
    <mergeCell ref="A81:I81"/>
    <mergeCell ref="A119:I119"/>
    <mergeCell ref="A120:I120"/>
    <mergeCell ref="A121:I121"/>
    <mergeCell ref="A122:I122"/>
    <mergeCell ref="A123:I12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01.21</vt:lpstr>
      <vt:lpstr>02.21</vt:lpstr>
      <vt:lpstr>03.21</vt:lpstr>
      <vt:lpstr>04.21</vt:lpstr>
      <vt:lpstr>05.21</vt:lpstr>
      <vt:lpstr>06.21</vt:lpstr>
      <vt:lpstr>07.21</vt:lpstr>
      <vt:lpstr>08.21</vt:lpstr>
      <vt:lpstr>09.21</vt:lpstr>
      <vt:lpstr>10.21</vt:lpstr>
      <vt:lpstr>11.21</vt:lpstr>
      <vt:lpstr>12.21</vt:lpstr>
      <vt:lpstr>'01.21'!Область_печати</vt:lpstr>
      <vt:lpstr>'02.21'!Область_печати</vt:lpstr>
      <vt:lpstr>'03.21'!Область_печати</vt:lpstr>
      <vt:lpstr>'04.21'!Область_печати</vt:lpstr>
      <vt:lpstr>'05.21'!Область_печати</vt:lpstr>
      <vt:lpstr>'06.21'!Область_печати</vt:lpstr>
      <vt:lpstr>'07.21'!Область_печати</vt:lpstr>
      <vt:lpstr>'08.21'!Область_печати</vt:lpstr>
      <vt:lpstr>'09.21'!Область_печати</vt:lpstr>
      <vt:lpstr>'10.21'!Область_печати</vt:lpstr>
      <vt:lpstr>'11.21'!Область_печати</vt:lpstr>
      <vt:lpstr>'12.21'!Область_печати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Яковлева</cp:lastModifiedBy>
  <cp:lastPrinted>2022-01-25T13:15:29Z</cp:lastPrinted>
  <dcterms:created xsi:type="dcterms:W3CDTF">2016-03-25T08:33:47Z</dcterms:created>
  <dcterms:modified xsi:type="dcterms:W3CDTF">2022-01-25T13:16:10Z</dcterms:modified>
</cp:coreProperties>
</file>