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8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7" r:id="rId8"/>
    <sheet name="09.17" sheetId="28" r:id="rId9"/>
    <sheet name="10.17" sheetId="29" r:id="rId10"/>
    <sheet name="11.17" sheetId="30" r:id="rId11"/>
    <sheet name="12.17" sheetId="31" r:id="rId12"/>
  </sheets>
  <definedNames>
    <definedName name="_xlnm._FilterDatabase" localSheetId="0" hidden="1">'01.17'!$I$12:$I$60</definedName>
    <definedName name="_xlnm._FilterDatabase" localSheetId="1" hidden="1">'02.17'!$I$12:$I$60</definedName>
    <definedName name="_xlnm._FilterDatabase" localSheetId="2" hidden="1">'03.17'!$I$12:$I$60</definedName>
    <definedName name="_xlnm._FilterDatabase" localSheetId="3" hidden="1">'04.17'!$I$12:$I$60</definedName>
    <definedName name="_xlnm._FilterDatabase" localSheetId="4" hidden="1">'05.17'!$I$12:$I$60</definedName>
    <definedName name="_xlnm._FilterDatabase" localSheetId="5" hidden="1">'06.17'!$I$12:$I$60</definedName>
    <definedName name="_xlnm._FilterDatabase" localSheetId="6" hidden="1">'07.17'!$I$12:$I$62</definedName>
    <definedName name="_xlnm._FilterDatabase" localSheetId="7" hidden="1">'08.17'!$I$12:$I$62</definedName>
    <definedName name="_xlnm._FilterDatabase" localSheetId="8" hidden="1">'09.17'!$I$12:$I$62</definedName>
    <definedName name="_xlnm._FilterDatabase" localSheetId="9" hidden="1">'10.17'!$I$12:$I$62</definedName>
    <definedName name="_xlnm._FilterDatabase" localSheetId="10" hidden="1">'11.17'!$I$12:$I$62</definedName>
    <definedName name="_xlnm._FilterDatabase" localSheetId="11" hidden="1">'12.17'!$I$12:$I$62</definedName>
    <definedName name="_xlnm.Print_Area" localSheetId="0">'01.17'!$A$1:$I$110</definedName>
    <definedName name="_xlnm.Print_Area" localSheetId="1">'02.17'!$A$1:$I$109</definedName>
    <definedName name="_xlnm.Print_Area" localSheetId="2">'03.17'!$A$1:$I$108</definedName>
    <definedName name="_xlnm.Print_Area" localSheetId="3">'04.17'!$A$1:$I$107</definedName>
    <definedName name="_xlnm.Print_Area" localSheetId="4">'05.17'!$A$1:$I$108</definedName>
    <definedName name="_xlnm.Print_Area" localSheetId="5">'06.17'!$A$1:$I$112</definedName>
    <definedName name="_xlnm.Print_Area" localSheetId="6">'07.17'!$A$1:$I$116</definedName>
    <definedName name="_xlnm.Print_Area" localSheetId="7">'08.17'!$A$1:$I$114</definedName>
    <definedName name="_xlnm.Print_Area" localSheetId="8">'09.17'!$A$1:$I$115</definedName>
    <definedName name="_xlnm.Print_Area" localSheetId="9">'10.17'!$A$1:$I$117</definedName>
    <definedName name="_xlnm.Print_Area" localSheetId="10">'11.17'!$A$1:$I$118</definedName>
    <definedName name="_xlnm.Print_Area" localSheetId="11">'12.17'!$A$1:$I$115</definedName>
  </definedNames>
  <calcPr calcId="124519"/>
</workbook>
</file>

<file path=xl/calcChain.xml><?xml version="1.0" encoding="utf-8"?>
<calcChain xmlns="http://schemas.openxmlformats.org/spreadsheetml/2006/main">
  <c r="I88" i="31"/>
  <c r="I88" i="30" l="1"/>
  <c r="F43" i="20" l="1"/>
  <c r="H43" s="1"/>
  <c r="I43" i="19"/>
  <c r="F43"/>
  <c r="H43" s="1"/>
  <c r="I81" i="18"/>
  <c r="I81" i="17"/>
  <c r="I43" i="20" l="1"/>
  <c r="I91" i="31" l="1"/>
  <c r="H91"/>
  <c r="I90"/>
  <c r="H90"/>
  <c r="F87"/>
  <c r="I87" s="1"/>
  <c r="F86"/>
  <c r="H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I65"/>
  <c r="F65"/>
  <c r="H65" s="1"/>
  <c r="F63"/>
  <c r="I63" s="1"/>
  <c r="F62"/>
  <c r="H62" s="1"/>
  <c r="H60"/>
  <c r="F59"/>
  <c r="I59" s="1"/>
  <c r="I56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H42"/>
  <c r="F41"/>
  <c r="H41" s="1"/>
  <c r="F40"/>
  <c r="I40" s="1"/>
  <c r="I39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5" i="30"/>
  <c r="I94"/>
  <c r="I91"/>
  <c r="H94"/>
  <c r="H93"/>
  <c r="H92"/>
  <c r="F91"/>
  <c r="H91" s="1"/>
  <c r="I92" i="31" l="1"/>
  <c r="H16"/>
  <c r="I17"/>
  <c r="H18"/>
  <c r="I20"/>
  <c r="H21"/>
  <c r="I27"/>
  <c r="H28"/>
  <c r="I31"/>
  <c r="H32"/>
  <c r="I33"/>
  <c r="I35"/>
  <c r="H40"/>
  <c r="I41"/>
  <c r="I43"/>
  <c r="H44"/>
  <c r="I47"/>
  <c r="H48"/>
  <c r="I49"/>
  <c r="H50"/>
  <c r="I51"/>
  <c r="H52"/>
  <c r="I53"/>
  <c r="H54"/>
  <c r="H59"/>
  <c r="H63"/>
  <c r="H72"/>
  <c r="I86"/>
  <c r="H87"/>
  <c r="H88" s="1"/>
  <c r="I94" l="1"/>
  <c r="H83"/>
  <c r="I54" i="30" l="1"/>
  <c r="I55"/>
  <c r="I53"/>
  <c r="I93"/>
  <c r="I92"/>
  <c r="I90"/>
  <c r="H90"/>
  <c r="F87"/>
  <c r="H87" s="1"/>
  <c r="H88" s="1"/>
  <c r="F86"/>
  <c r="I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I65"/>
  <c r="F65"/>
  <c r="H65" s="1"/>
  <c r="F63"/>
  <c r="H63" s="1"/>
  <c r="F62"/>
  <c r="H62" s="1"/>
  <c r="H60"/>
  <c r="F59"/>
  <c r="H59" s="1"/>
  <c r="I56"/>
  <c r="F56"/>
  <c r="H56" s="1"/>
  <c r="H55"/>
  <c r="F54"/>
  <c r="H54" s="1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H42"/>
  <c r="F41"/>
  <c r="H41" s="1"/>
  <c r="F40"/>
  <c r="I40" s="1"/>
  <c r="I39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4" i="29"/>
  <c r="I92"/>
  <c r="I93"/>
  <c r="H93"/>
  <c r="H92"/>
  <c r="I88"/>
  <c r="I65"/>
  <c r="H83" i="30" l="1"/>
  <c r="H16"/>
  <c r="I17"/>
  <c r="H18"/>
  <c r="I20"/>
  <c r="H21"/>
  <c r="I27"/>
  <c r="H28"/>
  <c r="I31"/>
  <c r="H32"/>
  <c r="I33"/>
  <c r="I35"/>
  <c r="H40"/>
  <c r="I41"/>
  <c r="I43"/>
  <c r="H44"/>
  <c r="I47"/>
  <c r="H48"/>
  <c r="I49"/>
  <c r="H50"/>
  <c r="I51"/>
  <c r="H52"/>
  <c r="I59"/>
  <c r="I63"/>
  <c r="I72"/>
  <c r="H86"/>
  <c r="I87"/>
  <c r="I97" l="1"/>
  <c r="I91" i="29" l="1"/>
  <c r="H91"/>
  <c r="I90"/>
  <c r="H90"/>
  <c r="F87"/>
  <c r="H87" s="1"/>
  <c r="H88" s="1"/>
  <c r="F86"/>
  <c r="I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H63" s="1"/>
  <c r="F62"/>
  <c r="H62" s="1"/>
  <c r="H60"/>
  <c r="F59"/>
  <c r="H59" s="1"/>
  <c r="H83" s="1"/>
  <c r="I56"/>
  <c r="F56"/>
  <c r="H56" s="1"/>
  <c r="H55"/>
  <c r="F54"/>
  <c r="H54" s="1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H42"/>
  <c r="F41"/>
  <c r="H41" s="1"/>
  <c r="F40"/>
  <c r="I40" s="1"/>
  <c r="I39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H24"/>
  <c r="F24"/>
  <c r="H23"/>
  <c r="F23"/>
  <c r="H22"/>
  <c r="F22"/>
  <c r="F21"/>
  <c r="I21" s="1"/>
  <c r="F20"/>
  <c r="H20" s="1"/>
  <c r="F19"/>
  <c r="H19" s="1"/>
  <c r="F18"/>
  <c r="I18" s="1"/>
  <c r="F17"/>
  <c r="H17" s="1"/>
  <c r="F16"/>
  <c r="I16" s="1"/>
  <c r="I91" i="28"/>
  <c r="H91"/>
  <c r="I92"/>
  <c r="I88"/>
  <c r="I65"/>
  <c r="I72"/>
  <c r="I47"/>
  <c r="I48"/>
  <c r="I49"/>
  <c r="I50"/>
  <c r="I51"/>
  <c r="I21"/>
  <c r="I90"/>
  <c r="H90"/>
  <c r="F87"/>
  <c r="H87" s="1"/>
  <c r="H88" s="1"/>
  <c r="F86"/>
  <c r="I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I63" s="1"/>
  <c r="F62"/>
  <c r="H62" s="1"/>
  <c r="H60"/>
  <c r="F59"/>
  <c r="I59" s="1"/>
  <c r="I56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H42"/>
  <c r="F41"/>
  <c r="H41" s="1"/>
  <c r="F40"/>
  <c r="I40" s="1"/>
  <c r="I39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65" i="27"/>
  <c r="I90"/>
  <c r="H90"/>
  <c r="I91"/>
  <c r="F87"/>
  <c r="I87" s="1"/>
  <c r="F86"/>
  <c r="H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H63" s="1"/>
  <c r="F62"/>
  <c r="H62" s="1"/>
  <c r="H60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H42"/>
  <c r="F41"/>
  <c r="I41" s="1"/>
  <c r="F40"/>
  <c r="H40" s="1"/>
  <c r="I39"/>
  <c r="H39"/>
  <c r="H37"/>
  <c r="H36"/>
  <c r="F35"/>
  <c r="I35" s="1"/>
  <c r="E35"/>
  <c r="I34"/>
  <c r="H34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I18" s="1"/>
  <c r="F17"/>
  <c r="H17" s="1"/>
  <c r="F16"/>
  <c r="I16" s="1"/>
  <c r="I65" i="23"/>
  <c r="I88" s="1"/>
  <c r="I92"/>
  <c r="I91"/>
  <c r="I90"/>
  <c r="F92"/>
  <c r="H92" s="1"/>
  <c r="H91"/>
  <c r="H90"/>
  <c r="F87"/>
  <c r="H87" s="1"/>
  <c r="F86"/>
  <c r="H86" s="1"/>
  <c r="H84"/>
  <c r="H82"/>
  <c r="I80"/>
  <c r="I79"/>
  <c r="F80"/>
  <c r="H80" s="1"/>
  <c r="F79"/>
  <c r="H79" s="1"/>
  <c r="H78"/>
  <c r="F77"/>
  <c r="H77" s="1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H63" s="1"/>
  <c r="F62"/>
  <c r="H62" s="1"/>
  <c r="H60"/>
  <c r="F59"/>
  <c r="H59" s="1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H45"/>
  <c r="F44"/>
  <c r="H44" s="1"/>
  <c r="F43"/>
  <c r="H43" s="1"/>
  <c r="H42"/>
  <c r="F41"/>
  <c r="H41" s="1"/>
  <c r="F40"/>
  <c r="H40" s="1"/>
  <c r="H39"/>
  <c r="H37"/>
  <c r="H36"/>
  <c r="F35"/>
  <c r="H35" s="1"/>
  <c r="E35"/>
  <c r="H34"/>
  <c r="F33"/>
  <c r="H33" s="1"/>
  <c r="F32"/>
  <c r="H32" s="1"/>
  <c r="F31"/>
  <c r="H31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H16" i="29" l="1"/>
  <c r="I17"/>
  <c r="H18"/>
  <c r="I20"/>
  <c r="H21"/>
  <c r="I27"/>
  <c r="H28"/>
  <c r="I31"/>
  <c r="H32"/>
  <c r="I33"/>
  <c r="I35"/>
  <c r="H40"/>
  <c r="I41"/>
  <c r="I43"/>
  <c r="H44"/>
  <c r="I47"/>
  <c r="H48"/>
  <c r="I49"/>
  <c r="H50"/>
  <c r="I51"/>
  <c r="H52"/>
  <c r="I59"/>
  <c r="I63"/>
  <c r="I72"/>
  <c r="H86"/>
  <c r="I87"/>
  <c r="I16" i="28"/>
  <c r="H17"/>
  <c r="I18"/>
  <c r="H20"/>
  <c r="I27"/>
  <c r="H28"/>
  <c r="I31"/>
  <c r="H32"/>
  <c r="I33"/>
  <c r="I35"/>
  <c r="H40"/>
  <c r="I41"/>
  <c r="I43"/>
  <c r="H44"/>
  <c r="I52"/>
  <c r="H59"/>
  <c r="H83" s="1"/>
  <c r="H63"/>
  <c r="H86"/>
  <c r="I87"/>
  <c r="H83" i="27"/>
  <c r="H16"/>
  <c r="I17"/>
  <c r="H18"/>
  <c r="I20"/>
  <c r="H27"/>
  <c r="I28"/>
  <c r="H31"/>
  <c r="I32"/>
  <c r="H33"/>
  <c r="H35"/>
  <c r="I40"/>
  <c r="H41"/>
  <c r="H43"/>
  <c r="I44"/>
  <c r="H52"/>
  <c r="I59"/>
  <c r="I63"/>
  <c r="I86"/>
  <c r="H87"/>
  <c r="H88" s="1"/>
  <c r="I20" i="23"/>
  <c r="I63"/>
  <c r="I96" i="29" l="1"/>
  <c r="I94" i="28"/>
  <c r="I88" i="27"/>
  <c r="I93" s="1"/>
  <c r="I89" i="22" l="1"/>
  <c r="I88"/>
  <c r="I87"/>
  <c r="I86"/>
  <c r="I85"/>
  <c r="I84"/>
  <c r="H88"/>
  <c r="F87"/>
  <c r="H87" s="1"/>
  <c r="H86"/>
  <c r="H85"/>
  <c r="H84"/>
  <c r="H84" i="21"/>
  <c r="I81" i="20"/>
  <c r="I84"/>
  <c r="I54"/>
  <c r="I84" i="19"/>
  <c r="H84"/>
  <c r="I85" i="18"/>
  <c r="I84"/>
  <c r="F85"/>
  <c r="H85" s="1"/>
  <c r="H84"/>
  <c r="I86" i="17"/>
  <c r="H86"/>
  <c r="I85"/>
  <c r="H85"/>
  <c r="I84"/>
  <c r="H84"/>
  <c r="I83"/>
  <c r="H83"/>
  <c r="I93" i="23" l="1"/>
  <c r="I86"/>
  <c r="I84"/>
  <c r="I59"/>
  <c r="I56"/>
  <c r="I45"/>
  <c r="I44"/>
  <c r="I41"/>
  <c r="I39"/>
  <c r="I35"/>
  <c r="I34"/>
  <c r="I32"/>
  <c r="I28"/>
  <c r="I18"/>
  <c r="I16"/>
  <c r="I62" i="22"/>
  <c r="I83"/>
  <c r="H83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I84" i="21"/>
  <c r="I54"/>
  <c r="I83"/>
  <c r="H83"/>
  <c r="I85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62" i="20"/>
  <c r="I83"/>
  <c r="H83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3" i="19"/>
  <c r="H83"/>
  <c r="I85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I83" i="18"/>
  <c r="H83"/>
  <c r="I86"/>
  <c r="E80"/>
  <c r="F80" s="1"/>
  <c r="F79"/>
  <c r="H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I34"/>
  <c r="H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34" i="17"/>
  <c r="E80"/>
  <c r="F79"/>
  <c r="I79" s="1"/>
  <c r="I77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H7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I39"/>
  <c r="H39"/>
  <c r="F28"/>
  <c r="I28" s="1"/>
  <c r="H37"/>
  <c r="H36"/>
  <c r="F27"/>
  <c r="H27" s="1"/>
  <c r="H35"/>
  <c r="F35"/>
  <c r="I35" s="1"/>
  <c r="H34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7" l="1"/>
  <c r="H88" i="23"/>
  <c r="I87"/>
  <c r="I17"/>
  <c r="I27"/>
  <c r="I31"/>
  <c r="I33"/>
  <c r="I40"/>
  <c r="I43"/>
  <c r="I52"/>
  <c r="H83"/>
  <c r="H20" i="22"/>
  <c r="H80"/>
  <c r="H81" s="1"/>
  <c r="I80"/>
  <c r="H16"/>
  <c r="I17"/>
  <c r="H18"/>
  <c r="H21"/>
  <c r="I27"/>
  <c r="H28"/>
  <c r="I31"/>
  <c r="H32"/>
  <c r="I33"/>
  <c r="I40"/>
  <c r="H41"/>
  <c r="I42"/>
  <c r="H43"/>
  <c r="I51"/>
  <c r="H58"/>
  <c r="H76" s="1"/>
  <c r="I79"/>
  <c r="I19" i="21"/>
  <c r="I26"/>
  <c r="I24"/>
  <c r="I50"/>
  <c r="I48"/>
  <c r="I46"/>
  <c r="I64"/>
  <c r="I67"/>
  <c r="I65"/>
  <c r="I20"/>
  <c r="I22"/>
  <c r="I25"/>
  <c r="I23"/>
  <c r="I49"/>
  <c r="I47"/>
  <c r="I52"/>
  <c r="I53"/>
  <c r="I68"/>
  <c r="I66"/>
  <c r="H80"/>
  <c r="H81" s="1"/>
  <c r="I80"/>
  <c r="H16"/>
  <c r="I17"/>
  <c r="I81" s="1"/>
  <c r="H18"/>
  <c r="H21"/>
  <c r="I27"/>
  <c r="H28"/>
  <c r="I31"/>
  <c r="H32"/>
  <c r="I33"/>
  <c r="I40"/>
  <c r="H41"/>
  <c r="I42"/>
  <c r="H43"/>
  <c r="I51"/>
  <c r="H58"/>
  <c r="H76" s="1"/>
  <c r="I79"/>
  <c r="H17" i="20"/>
  <c r="H20"/>
  <c r="H80"/>
  <c r="H81" s="1"/>
  <c r="I80"/>
  <c r="H16"/>
  <c r="H18"/>
  <c r="H21"/>
  <c r="I27"/>
  <c r="H28"/>
  <c r="I31"/>
  <c r="H32"/>
  <c r="I33"/>
  <c r="I40"/>
  <c r="H41"/>
  <c r="I42"/>
  <c r="I51"/>
  <c r="H58"/>
  <c r="H76" s="1"/>
  <c r="I79"/>
  <c r="H20" i="19"/>
  <c r="H80"/>
  <c r="H81" s="1"/>
  <c r="I80"/>
  <c r="H16"/>
  <c r="I17"/>
  <c r="H18"/>
  <c r="H21"/>
  <c r="I27"/>
  <c r="H28"/>
  <c r="I31"/>
  <c r="H32"/>
  <c r="I33"/>
  <c r="I40"/>
  <c r="H41"/>
  <c r="I42"/>
  <c r="I51"/>
  <c r="H58"/>
  <c r="H76" s="1"/>
  <c r="I79"/>
  <c r="H17" i="18"/>
  <c r="H20"/>
  <c r="H80"/>
  <c r="H81" s="1"/>
  <c r="I80"/>
  <c r="H16"/>
  <c r="H18"/>
  <c r="H21"/>
  <c r="I27"/>
  <c r="H28"/>
  <c r="I31"/>
  <c r="H32"/>
  <c r="I33"/>
  <c r="I40"/>
  <c r="H41"/>
  <c r="I42"/>
  <c r="H43"/>
  <c r="I51"/>
  <c r="H58"/>
  <c r="H76" s="1"/>
  <c r="I79"/>
  <c r="I31" i="17"/>
  <c r="I33"/>
  <c r="I32"/>
  <c r="H17"/>
  <c r="H20"/>
  <c r="H79"/>
  <c r="H16"/>
  <c r="H18"/>
  <c r="H21"/>
  <c r="I27"/>
  <c r="H28"/>
  <c r="H40"/>
  <c r="I41"/>
  <c r="H42"/>
  <c r="I43"/>
  <c r="I51"/>
  <c r="I58"/>
  <c r="F80"/>
  <c r="I95" i="23" l="1"/>
  <c r="I86" i="20"/>
  <c r="I81" i="19"/>
  <c r="I87" s="1"/>
  <c r="I81" i="22"/>
  <c r="I91" s="1"/>
  <c r="I87" i="21"/>
  <c r="I88" i="18"/>
  <c r="H80" i="17"/>
  <c r="H81" s="1"/>
  <c r="I80"/>
  <c r="I89" s="1"/>
</calcChain>
</file>

<file path=xl/sharedStrings.xml><?xml version="1.0" encoding="utf-8"?>
<sst xmlns="http://schemas.openxmlformats.org/spreadsheetml/2006/main" count="2674" uniqueCount="240">
  <si>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</si>
  <si>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</si>
  <si>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</si>
  <si>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</si>
  <si>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</si>
  <si>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</si>
  <si>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</si>
  <si>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</si>
  <si>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</si>
  <si>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</si>
  <si>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</si>
  <si>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</si>
  <si>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</si>
  <si>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</si>
  <si>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</si>
  <si>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</si>
  <si>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</si>
  <si>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</si>
  <si>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</si>
  <si>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</si>
  <si>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</si>
  <si>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</si>
  <si>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</si>
  <si>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</si>
  <si>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</si>
  <si>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</si>
  <si>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</si>
  <si>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</si>
  <si>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</si>
  <si>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</si>
  <si>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</si>
  <si>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</si>
  <si>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</si>
  <si>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</si>
  <si>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</si>
  <si>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</si>
  <si>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</si>
  <si>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</si>
  <si>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</si>
  <si>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</si>
  <si>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</si>
  <si>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</si>
  <si>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</si>
  <si>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</si>
  <si>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</si>
  <si>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</si>
  <si>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</si>
  <si>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</si>
  <si>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</si>
  <si>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</si>
  <si>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</si>
  <si>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</si>
  <si>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</si>
  <si>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</si>
  <si>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</si>
  <si>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</si>
  <si>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</si>
  <si>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</si>
  <si>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</si>
  <si>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</si>
  <si>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</si>
  <si>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</si>
  <si>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</si>
  <si>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</si>
  <si>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</si>
  <si>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</si>
  <si>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</si>
  <si>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</si>
  <si>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</si>
  <si>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</si>
  <si>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</si>
  <si>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</si>
  <si>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</si>
  <si>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</si>
  <si>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</si>
  <si>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</si>
  <si>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</si>
  <si>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</si>
  <si>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</si>
  <si>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</si>
  <si>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</si>
  <si>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Итого: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</si>
  <si>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</si>
  <si>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</si>
  <si>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</si>
  <si>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</si>
  <si>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</si>
  <si>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</si>
  <si>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</si>
  <si>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</si>
  <si>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</si>
  <si>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</si>
  <si>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</si>
  <si>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</si>
  <si>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</si>
  <si>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</si>
  <si>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</si>
  <si>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</si>
  <si>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</si>
  <si>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</si>
  <si>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</si>
  <si>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</si>
  <si>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</si>
  <si>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</si>
  <si>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</si>
  <si>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</si>
  <si>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</si>
  <si>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</si>
  <si>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</si>
  <si>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</si>
  <si>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</si>
  <si>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</si>
  <si>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</si>
  <si>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</si>
  <si>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</si>
  <si>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</si>
  <si>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</si>
  <si>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</si>
  <si>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</si>
  <si>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</si>
  <si>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</si>
  <si>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</si>
  <si>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</si>
  <si>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</si>
  <si>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Снятие показаний эл.счетчика коммунального назначения</t>
  </si>
  <si>
    <t>1 раз в 2 месяца</t>
  </si>
  <si>
    <t>Сдвигание снега в дни снегопада (крыльца, тротуары)</t>
  </si>
  <si>
    <t>35 раз за сезон</t>
  </si>
  <si>
    <t xml:space="preserve">Пескопосыпка территории: крыльца и тротуары </t>
  </si>
  <si>
    <t>Замена ламп ДРЛ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</si>
  <si>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</si>
  <si>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</si>
  <si>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Очистка чердака, подвала от мусора</t>
  </si>
  <si>
    <t>Смена арматуры - вентилей и клапанов обратных муфтовых диаметром до 20 мм</t>
  </si>
  <si>
    <t>1 шт</t>
  </si>
  <si>
    <t xml:space="preserve">приемки оказанных услуг и выполненных работ по содержанию и текущему ремонту
общего имущества в многоквартирном доме №53 по ул.Октябрьская пгт.Ярега
</t>
  </si>
  <si>
    <t>V. Прочие услуги</t>
  </si>
  <si>
    <t>IV. Содержание общего имущества МКД</t>
  </si>
  <si>
    <t>III. Проведение технических осмотров</t>
  </si>
  <si>
    <t>генеральный директор Куканов Ю.Л.</t>
  </si>
  <si>
    <t>АКТ №1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</si>
  <si>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</si>
  <si>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</si>
  <si>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</si>
  <si>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по мере необходимости</t>
  </si>
  <si>
    <t>Устройство хомута диаметром до 50 мм</t>
  </si>
  <si>
    <t xml:space="preserve">Смена сгонов у трубопроводов диаметром до 20 мм </t>
  </si>
  <si>
    <t>1 сгон</t>
  </si>
  <si>
    <t>Прочистка засоров ГВС, XВC</t>
  </si>
  <si>
    <t>3м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</si>
  <si>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</si>
  <si>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</si>
  <si>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</si>
  <si>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</si>
  <si>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</si>
  <si>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</si>
  <si>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</si>
  <si>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</si>
  <si>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</si>
  <si>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</si>
  <si>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</si>
  <si>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</si>
  <si>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    Собственники помещений в многоквартирном доме, расположенном по адресу: пгт.Ярега, ул.Октябрьская, д.53,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17.02.2014г.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</si>
  <si>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д.53</t>
    </r>
  </si>
  <si>
    <t>156 раз в год</t>
  </si>
  <si>
    <t>104 раза в год</t>
  </si>
  <si>
    <t xml:space="preserve">24 раза в год </t>
  </si>
  <si>
    <t>ежедневно</t>
  </si>
  <si>
    <t>Ремонт групповых щитков на лестничной клетке без ремонта автоматов</t>
  </si>
  <si>
    <t>Итого затраты за месяц</t>
  </si>
  <si>
    <t>за период с 01.02.2017 г. по 28.02.2017 г.</t>
  </si>
  <si>
    <t xml:space="preserve">Смена трубопроводов на полипропиленовые трубы PN25 диаметром 20мм </t>
  </si>
  <si>
    <t>м</t>
  </si>
  <si>
    <t>за период с 01.03.2017 г. по 31.03.2017 г.</t>
  </si>
  <si>
    <t>2. Всего за период с 01.03.2017 по 31.03.2017 выполнено работ (оказано услуг) на общую сумму: 37824,31 руб.</t>
  </si>
  <si>
    <t>(тридцать семь тысяч восемьсот двадцать четыре рубля 31 копейка)</t>
  </si>
  <si>
    <t>за период с 01.04.2017 г. по 30.04.2017 г.</t>
  </si>
  <si>
    <t>2. Всего за период с 01.04.2017 по 30.04.2017 выполнено работ (оказано услуг) на общую сумму: 37824,32 руб.</t>
  </si>
  <si>
    <t>(тридцать семь тысяч восемьсот двадцать четыре рубля 32 копейки)</t>
  </si>
  <si>
    <t>за период с 01.05.2017 г. по 31.05.2017 г.</t>
  </si>
  <si>
    <t>52 раза в сезон</t>
  </si>
  <si>
    <t>78 раз за сезон</t>
  </si>
  <si>
    <t>2. Всего за период с 01.05.2017 по 31.05.2017 выполнено работ (оказано услуг) на общую сумму: 108202,70 руб.</t>
  </si>
  <si>
    <t>(сто восемь тысяч двести два рубля 70 копеек)</t>
  </si>
  <si>
    <t>за период с 01.06.2017 г. по 30.06.2017 г.</t>
  </si>
  <si>
    <t>Смена обделок из листовой стали, коньков, сандриков, отливов, карнизов, шириной до 0,4 м</t>
  </si>
  <si>
    <t>10 м</t>
  </si>
  <si>
    <t>Укрепление оконных и дверных приборов - пружин, ручек, петель, шпингалетов</t>
  </si>
  <si>
    <t>2. Всего за период с 01.06.2017 по 30.06.2017 выполнено работ (оказано услуг) на общую сумму: 35043,79 руб.</t>
  </si>
  <si>
    <t>(тридцать пять тысяч сорок три рубля 79 копеек)</t>
  </si>
  <si>
    <t>за период с 01.07.2017 г. по 31.07.2017 г.</t>
  </si>
  <si>
    <t xml:space="preserve">182 раза </t>
  </si>
  <si>
    <t>Сдвигание снега в дни снегопада</t>
  </si>
  <si>
    <t>Вывоз снега с придомовой территории</t>
  </si>
  <si>
    <t>1м3</t>
  </si>
  <si>
    <t>Работа автовышки</t>
  </si>
  <si>
    <t>маш-час</t>
  </si>
  <si>
    <t>Дератизация</t>
  </si>
  <si>
    <t>м2</t>
  </si>
  <si>
    <t>12 раз в год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</si>
  <si>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</si>
  <si>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</si>
  <si>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</si>
  <si>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</si>
  <si>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Смена плвкой вставки в электрощитке</t>
  </si>
  <si>
    <t>Смена светильника РКУ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</si>
  <si>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</si>
  <si>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</si>
  <si>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Простая масляная окраска ранее окрашенных входных металлических дверей (I, II под.)</t>
  </si>
  <si>
    <t>10 м2</t>
  </si>
  <si>
    <t>2. Всего за период с 01.07.2017 по 31.07.2017 выполнено работ (оказано услуг) на общую сумму: 38817,04 руб.</t>
  </si>
  <si>
    <t>(тридцать восемь тысяч восемьсот семнадцать рублей 04 копейки)</t>
  </si>
  <si>
    <t>за период с 01.08.2017 г. по 31.08.2017 г.</t>
  </si>
  <si>
    <r>
      <t xml:space="preserve">    Собственники помещений в многоквартирном доме, расположенном по адресу: пгт.Ярега, ул.Октябрьская, д.53,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</si>
  <si>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2. Всего за период с 01.08.2017 по 31.08.2017 выполнено работ (оказано услуг) на общую сумму: 35517,36 руб.</t>
  </si>
  <si>
    <t>(тридцать пять тысяч пятьсот семнадцать рублей 36 копеек)</t>
  </si>
  <si>
    <t>за период с 01.09.2017 г. по 30.09.2017 г.</t>
  </si>
  <si>
    <t>2. Всего за период с 01.09.2017 по 30.09.2017 выполнено работ (оказано услуг) на общую сумму: 49851,14 руб.</t>
  </si>
  <si>
    <t>(сорок девять тысяч восемьсот пятьдесят один рубль 14 копеек)</t>
  </si>
  <si>
    <t>за период с 01.10.2017 г. по 31.10.2017 г.</t>
  </si>
  <si>
    <t xml:space="preserve">183 раза </t>
  </si>
  <si>
    <t>Смена арматуры - вентилей и клапанов обратных муфтовых диаметром до 25 мм</t>
  </si>
  <si>
    <t>2. Всего за период с 01.10.2017 по 31.10.2017 выполнено работ (оказано услуг) на общую сумму: 37408,96 руб.</t>
  </si>
  <si>
    <t>(тридцать семь тысяч четыреста восемь рублей 96 копеек)</t>
  </si>
  <si>
    <t>АКТ №11</t>
  </si>
  <si>
    <t>за период с 01.11.2017 г. по 30.11.2017 г.</t>
  </si>
  <si>
    <t>Внеплановый осмотр элекгросетей, арматуры и электрооборудования на чердаках и подвалах</t>
  </si>
  <si>
    <t>Монтаж тепловычислителя</t>
  </si>
  <si>
    <t>за период с 01.12.2017 г. по 31.12.2017 г.</t>
  </si>
  <si>
    <t>II. Уборка земельного участка</t>
  </si>
  <si>
    <t>АКТ №12</t>
  </si>
  <si>
    <t>2. Всего за период с 01.01.2017 по 31.01.2017 выполнено работ (оказано услуг) на общую сумму: 52086,39 руб.</t>
  </si>
  <si>
    <t>(пятьдесят две тысячи восемьдесят шесть рублей 39 копеек)</t>
  </si>
  <si>
    <t>2. Всего за период с 01.02.2017 по 28.02.2017 выполнено работ (оказано услуг) на общую сумму: 43195,41 руб.</t>
  </si>
  <si>
    <t>(сорок три тысячи сто девяносто пять рублей 41 копейка)</t>
  </si>
  <si>
    <t>15 раз за сезон</t>
  </si>
  <si>
    <t>2. Всего за период с 01.11.2017 по 30.11.2017 выполнено работ (оказано услуг) на общую сумму: 165690,45 руб.</t>
  </si>
  <si>
    <t>(сто шестьдесят пять тысяч шестьсот девяносто рублей 45 копеек)</t>
  </si>
  <si>
    <t>2. Всего за период с 01.12.2017 по 31.12.2017 выполнено работ (оказано услуг) на общую сумму: 43727,29 руб.</t>
  </si>
  <si>
    <t>(сорок три тысячи семьсот двадцать семь рублей 29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</si>
</sst>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0" borderId="3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/>
    <xf numFmtId="4" fontId="11" fillId="3" borderId="3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left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140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80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42400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162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81" t="s">
        <v>88</v>
      </c>
      <c r="C16" s="82" t="s">
        <v>89</v>
      </c>
      <c r="D16" s="81" t="s">
        <v>164</v>
      </c>
      <c r="E16" s="83">
        <v>37.78</v>
      </c>
      <c r="F16" s="84">
        <f>SUM(E16*156/100)</f>
        <v>58.936800000000005</v>
      </c>
      <c r="G16" s="84">
        <v>187.48</v>
      </c>
      <c r="H16" s="85">
        <f t="shared" ref="H16:H26" si="0">SUM(F16*G16/1000)</f>
        <v>11.049471263999999</v>
      </c>
      <c r="I16" s="13">
        <f>F16/12*G16</f>
        <v>920.78927199999998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141</v>
      </c>
      <c r="C17" s="82" t="s">
        <v>89</v>
      </c>
      <c r="D17" s="81" t="s">
        <v>165</v>
      </c>
      <c r="E17" s="83">
        <v>151.12</v>
      </c>
      <c r="F17" s="84">
        <f>SUM(E17*104/100)</f>
        <v>157.16479999999999</v>
      </c>
      <c r="G17" s="84">
        <v>187.48</v>
      </c>
      <c r="H17" s="85">
        <f t="shared" si="0"/>
        <v>29.465256703999994</v>
      </c>
      <c r="I17" s="13">
        <f>F17/12*G17</f>
        <v>2455.4380586666662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142</v>
      </c>
      <c r="C18" s="82" t="s">
        <v>89</v>
      </c>
      <c r="D18" s="81" t="s">
        <v>166</v>
      </c>
      <c r="E18" s="83">
        <v>188.9</v>
      </c>
      <c r="F18" s="84">
        <f>SUM(E18*24/100)</f>
        <v>45.336000000000006</v>
      </c>
      <c r="G18" s="84">
        <v>539.30999999999995</v>
      </c>
      <c r="H18" s="85">
        <f t="shared" si="0"/>
        <v>24.450158159999997</v>
      </c>
      <c r="I18" s="13">
        <f>F18/12*G18</f>
        <v>2037.5131800000001</v>
      </c>
      <c r="J18" s="23"/>
      <c r="K18" s="8"/>
      <c r="L18" s="8"/>
      <c r="M18" s="8"/>
    </row>
    <row r="19" spans="1:13" ht="15.75" hidden="1" customHeight="1">
      <c r="A19" s="30"/>
      <c r="B19" s="81" t="s">
        <v>96</v>
      </c>
      <c r="C19" s="82" t="s">
        <v>97</v>
      </c>
      <c r="D19" s="81" t="s">
        <v>98</v>
      </c>
      <c r="E19" s="83">
        <v>18</v>
      </c>
      <c r="F19" s="84">
        <f>SUM(E19/10)</f>
        <v>1.8</v>
      </c>
      <c r="G19" s="84">
        <v>181.91</v>
      </c>
      <c r="H19" s="85">
        <f t="shared" si="0"/>
        <v>0.32743800000000001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99</v>
      </c>
      <c r="C20" s="82" t="s">
        <v>89</v>
      </c>
      <c r="D20" s="81" t="s">
        <v>29</v>
      </c>
      <c r="E20" s="83">
        <v>14.6</v>
      </c>
      <c r="F20" s="84">
        <f>SUM(E20*12/100)</f>
        <v>1.7519999999999998</v>
      </c>
      <c r="G20" s="84">
        <v>232.92</v>
      </c>
      <c r="H20" s="85">
        <f t="shared" si="0"/>
        <v>0.40807583999999991</v>
      </c>
      <c r="I20" s="13">
        <f>F20/12*G20</f>
        <v>34.006319999999995</v>
      </c>
      <c r="J20" s="23"/>
      <c r="K20" s="8"/>
      <c r="L20" s="8"/>
      <c r="M20" s="8"/>
    </row>
    <row r="21" spans="1:13" ht="15.75" customHeight="1">
      <c r="A21" s="30">
        <v>5</v>
      </c>
      <c r="B21" s="81" t="s">
        <v>100</v>
      </c>
      <c r="C21" s="82" t="s">
        <v>89</v>
      </c>
      <c r="D21" s="81" t="s">
        <v>125</v>
      </c>
      <c r="E21" s="83">
        <v>2.7</v>
      </c>
      <c r="F21" s="84">
        <f>SUM(E21*6/100)</f>
        <v>0.16200000000000003</v>
      </c>
      <c r="G21" s="84">
        <v>231.03</v>
      </c>
      <c r="H21" s="85">
        <f t="shared" si="0"/>
        <v>3.7426860000000006E-2</v>
      </c>
      <c r="I21" s="13">
        <f>F21/6*G21</f>
        <v>6.2378100000000014</v>
      </c>
      <c r="J21" s="23"/>
      <c r="K21" s="8"/>
      <c r="L21" s="8"/>
      <c r="M21" s="8"/>
    </row>
    <row r="22" spans="1:13" ht="15.75" hidden="1" customHeight="1">
      <c r="A22" s="30"/>
      <c r="B22" s="81" t="s">
        <v>101</v>
      </c>
      <c r="C22" s="82" t="s">
        <v>52</v>
      </c>
      <c r="D22" s="81" t="s">
        <v>98</v>
      </c>
      <c r="E22" s="83">
        <v>259.2</v>
      </c>
      <c r="F22" s="84">
        <f>SUM(E22/100)</f>
        <v>2.5920000000000001</v>
      </c>
      <c r="G22" s="84">
        <v>287.83999999999997</v>
      </c>
      <c r="H22" s="85">
        <f t="shared" si="0"/>
        <v>0.74608127999999996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102</v>
      </c>
      <c r="C23" s="82" t="s">
        <v>52</v>
      </c>
      <c r="D23" s="81" t="s">
        <v>98</v>
      </c>
      <c r="E23" s="86">
        <v>24.15</v>
      </c>
      <c r="F23" s="84">
        <f>SUM(E23/100)</f>
        <v>0.24149999999999999</v>
      </c>
      <c r="G23" s="84">
        <v>47.34</v>
      </c>
      <c r="H23" s="85">
        <f t="shared" si="0"/>
        <v>1.1432610000000001E-2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81" t="s">
        <v>103</v>
      </c>
      <c r="C24" s="82" t="s">
        <v>52</v>
      </c>
      <c r="D24" s="81" t="s">
        <v>104</v>
      </c>
      <c r="E24" s="83">
        <v>10</v>
      </c>
      <c r="F24" s="84">
        <f>E24/100</f>
        <v>0.1</v>
      </c>
      <c r="G24" s="84">
        <v>416.62</v>
      </c>
      <c r="H24" s="85">
        <f t="shared" si="0"/>
        <v>4.1662000000000005E-2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81" t="s">
        <v>105</v>
      </c>
      <c r="C25" s="82" t="s">
        <v>52</v>
      </c>
      <c r="D25" s="81" t="s">
        <v>53</v>
      </c>
      <c r="E25" s="83">
        <v>9.5</v>
      </c>
      <c r="F25" s="84">
        <f>E25/100</f>
        <v>9.5000000000000001E-2</v>
      </c>
      <c r="G25" s="84">
        <v>231.03</v>
      </c>
      <c r="H25" s="85">
        <f>G25*F25/1000</f>
        <v>2.1947849999999998E-2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106</v>
      </c>
      <c r="C26" s="82" t="s">
        <v>52</v>
      </c>
      <c r="D26" s="81" t="s">
        <v>98</v>
      </c>
      <c r="E26" s="83">
        <v>4.25</v>
      </c>
      <c r="F26" s="84">
        <f>SUM(E26/100)</f>
        <v>4.2500000000000003E-2</v>
      </c>
      <c r="G26" s="84">
        <v>556.74</v>
      </c>
      <c r="H26" s="85">
        <f t="shared" si="0"/>
        <v>2.3661450000000001E-2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6</v>
      </c>
      <c r="B27" s="81" t="s">
        <v>64</v>
      </c>
      <c r="C27" s="82" t="s">
        <v>32</v>
      </c>
      <c r="D27" s="81" t="s">
        <v>167</v>
      </c>
      <c r="E27" s="83">
        <v>0.1</v>
      </c>
      <c r="F27" s="84">
        <f>SUM(E27*365)</f>
        <v>36.5</v>
      </c>
      <c r="G27" s="84">
        <v>157.18</v>
      </c>
      <c r="H27" s="85">
        <f>SUM(F27*G27/1000)</f>
        <v>5.737070000000001</v>
      </c>
      <c r="I27" s="13">
        <f>F27/12*G27</f>
        <v>478.08916666666664</v>
      </c>
      <c r="J27" s="24"/>
    </row>
    <row r="28" spans="1:13" ht="15.75" customHeight="1">
      <c r="A28" s="30">
        <v>7</v>
      </c>
      <c r="B28" s="89" t="s">
        <v>23</v>
      </c>
      <c r="C28" s="82" t="s">
        <v>24</v>
      </c>
      <c r="D28" s="81" t="s">
        <v>167</v>
      </c>
      <c r="E28" s="83">
        <v>2135.1999999999998</v>
      </c>
      <c r="F28" s="84">
        <f>SUM(E28*12)</f>
        <v>25622.399999999998</v>
      </c>
      <c r="G28" s="84">
        <v>6.15</v>
      </c>
      <c r="H28" s="85">
        <f>SUM(F28*G28/1000)</f>
        <v>157.57776000000001</v>
      </c>
      <c r="I28" s="13">
        <f>F28/12*G28</f>
        <v>13131.48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hidden="1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31.5" hidden="1" customHeight="1">
      <c r="A31" s="30">
        <v>8</v>
      </c>
      <c r="B31" s="81" t="s">
        <v>111</v>
      </c>
      <c r="C31" s="82" t="s">
        <v>92</v>
      </c>
      <c r="D31" s="81" t="s">
        <v>107</v>
      </c>
      <c r="E31" s="84">
        <v>331.9</v>
      </c>
      <c r="F31" s="84">
        <f>SUM(E31*52/1000)</f>
        <v>17.258800000000001</v>
      </c>
      <c r="G31" s="84">
        <v>166.65</v>
      </c>
      <c r="H31" s="85">
        <f t="shared" ref="H31:H37" si="1">SUM(F31*G31/1000)</f>
        <v>2.8761790199999999</v>
      </c>
      <c r="I31" s="13">
        <f t="shared" ref="I31:I35" si="2">F31/6*G31</f>
        <v>479.36317000000008</v>
      </c>
      <c r="J31" s="23"/>
      <c r="K31" s="8"/>
      <c r="L31" s="8"/>
      <c r="M31" s="8"/>
    </row>
    <row r="32" spans="1:13" ht="31.5" hidden="1" customHeight="1">
      <c r="A32" s="30">
        <v>9</v>
      </c>
      <c r="B32" s="81" t="s">
        <v>110</v>
      </c>
      <c r="C32" s="82" t="s">
        <v>92</v>
      </c>
      <c r="D32" s="81" t="s">
        <v>108</v>
      </c>
      <c r="E32" s="84">
        <v>115.82</v>
      </c>
      <c r="F32" s="84">
        <f>SUM(E32*78/1000)</f>
        <v>9.0339599999999987</v>
      </c>
      <c r="G32" s="84">
        <v>276.48</v>
      </c>
      <c r="H32" s="85">
        <f t="shared" si="1"/>
        <v>2.4977092607999998</v>
      </c>
      <c r="I32" s="13">
        <f t="shared" si="2"/>
        <v>416.28487679999995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82" t="s">
        <v>92</v>
      </c>
      <c r="D33" s="81" t="s">
        <v>53</v>
      </c>
      <c r="E33" s="84">
        <v>331.9</v>
      </c>
      <c r="F33" s="84">
        <f>SUM(E33/1000)</f>
        <v>0.33189999999999997</v>
      </c>
      <c r="G33" s="84">
        <v>3228.73</v>
      </c>
      <c r="H33" s="85">
        <f t="shared" si="1"/>
        <v>1.0716154870000001</v>
      </c>
      <c r="I33" s="13">
        <f>F33*G33</f>
        <v>1071.615487</v>
      </c>
      <c r="J33" s="23"/>
      <c r="K33" s="8"/>
      <c r="L33" s="8"/>
      <c r="M33" s="8"/>
    </row>
    <row r="34" spans="1:14" ht="15.75" hidden="1" customHeight="1">
      <c r="A34" s="30">
        <v>10</v>
      </c>
      <c r="B34" s="81" t="s">
        <v>143</v>
      </c>
      <c r="C34" s="82" t="s">
        <v>40</v>
      </c>
      <c r="D34" s="81" t="s">
        <v>63</v>
      </c>
      <c r="E34" s="84">
        <v>2</v>
      </c>
      <c r="F34" s="84">
        <v>3.1</v>
      </c>
      <c r="G34" s="84">
        <v>1391.86</v>
      </c>
      <c r="H34" s="85">
        <f>F34*G34/1000</f>
        <v>4.3147659999999997</v>
      </c>
      <c r="I34" s="13">
        <f t="shared" si="2"/>
        <v>719.12766666666664</v>
      </c>
      <c r="J34" s="23"/>
      <c r="K34" s="8"/>
    </row>
    <row r="35" spans="1:14" ht="15.75" hidden="1" customHeight="1">
      <c r="A35" s="30">
        <v>11</v>
      </c>
      <c r="B35" s="81" t="s">
        <v>109</v>
      </c>
      <c r="C35" s="82" t="s">
        <v>30</v>
      </c>
      <c r="D35" s="81" t="s">
        <v>63</v>
      </c>
      <c r="E35" s="88">
        <v>0.33333333333333331</v>
      </c>
      <c r="F35" s="84">
        <f>155/3</f>
        <v>51.666666666666664</v>
      </c>
      <c r="G35" s="84">
        <v>60.6</v>
      </c>
      <c r="H35" s="85">
        <f>SUM(G35*155/3/1000)</f>
        <v>3.1309999999999998</v>
      </c>
      <c r="I35" s="13">
        <f t="shared" si="2"/>
        <v>521.83333333333337</v>
      </c>
      <c r="J35" s="24"/>
    </row>
    <row r="36" spans="1:14" ht="15.75" hidden="1" customHeight="1">
      <c r="A36" s="30"/>
      <c r="B36" s="81" t="s">
        <v>65</v>
      </c>
      <c r="C36" s="82" t="s">
        <v>32</v>
      </c>
      <c r="D36" s="81" t="s">
        <v>67</v>
      </c>
      <c r="E36" s="83"/>
      <c r="F36" s="84">
        <v>3</v>
      </c>
      <c r="G36" s="84">
        <v>204.52</v>
      </c>
      <c r="H36" s="85">
        <f t="shared" si="1"/>
        <v>0.61356000000000011</v>
      </c>
      <c r="I36" s="13">
        <v>0</v>
      </c>
      <c r="J36" s="24"/>
    </row>
    <row r="37" spans="1:14" ht="15.75" hidden="1" customHeight="1">
      <c r="A37" s="30"/>
      <c r="B37" s="81" t="s">
        <v>66</v>
      </c>
      <c r="C37" s="82" t="s">
        <v>31</v>
      </c>
      <c r="D37" s="81" t="s">
        <v>67</v>
      </c>
      <c r="E37" s="83"/>
      <c r="F37" s="84">
        <v>2</v>
      </c>
      <c r="G37" s="84">
        <v>1214.74</v>
      </c>
      <c r="H37" s="85">
        <f t="shared" si="1"/>
        <v>2.4294799999999999</v>
      </c>
      <c r="I37" s="13">
        <v>0</v>
      </c>
      <c r="J37" s="24"/>
    </row>
    <row r="38" spans="1:14" ht="15.75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customHeight="1">
      <c r="A39" s="30">
        <v>8</v>
      </c>
      <c r="B39" s="81" t="s">
        <v>25</v>
      </c>
      <c r="C39" s="82" t="s">
        <v>31</v>
      </c>
      <c r="D39" s="81"/>
      <c r="E39" s="83"/>
      <c r="F39" s="84">
        <v>8</v>
      </c>
      <c r="G39" s="84">
        <v>1632.6</v>
      </c>
      <c r="H39" s="85">
        <f t="shared" ref="H39:H44" si="3">SUM(F39*G39/1000)</f>
        <v>13.060799999999999</v>
      </c>
      <c r="I39" s="13">
        <f t="shared" ref="I39:I44" si="4">F39/6*G39</f>
        <v>2176.7999999999997</v>
      </c>
      <c r="J39" s="24"/>
      <c r="L39" s="19"/>
      <c r="M39" s="20"/>
      <c r="N39" s="21"/>
    </row>
    <row r="40" spans="1:14" ht="15.75" customHeight="1">
      <c r="A40" s="30">
        <v>9</v>
      </c>
      <c r="B40" s="81" t="s">
        <v>126</v>
      </c>
      <c r="C40" s="82" t="s">
        <v>28</v>
      </c>
      <c r="D40" s="81" t="s">
        <v>90</v>
      </c>
      <c r="E40" s="83">
        <v>115.82</v>
      </c>
      <c r="F40" s="84">
        <f>E40*30/1000</f>
        <v>3.4745999999999997</v>
      </c>
      <c r="G40" s="84">
        <v>2247.8000000000002</v>
      </c>
      <c r="H40" s="85">
        <f>G40*F40/1000</f>
        <v>7.8102058799999998</v>
      </c>
      <c r="I40" s="13">
        <f t="shared" si="4"/>
        <v>1301.7009800000001</v>
      </c>
      <c r="J40" s="24"/>
      <c r="L40" s="19"/>
      <c r="M40" s="20"/>
      <c r="N40" s="21"/>
    </row>
    <row r="41" spans="1:14" ht="15.75" customHeight="1">
      <c r="A41" s="30">
        <v>10</v>
      </c>
      <c r="B41" s="81" t="s">
        <v>68</v>
      </c>
      <c r="C41" s="82" t="s">
        <v>28</v>
      </c>
      <c r="D41" s="81" t="s">
        <v>91</v>
      </c>
      <c r="E41" s="84">
        <v>115.82</v>
      </c>
      <c r="F41" s="84">
        <f>SUM(E41*155/1000)</f>
        <v>17.952099999999998</v>
      </c>
      <c r="G41" s="84">
        <v>374.95</v>
      </c>
      <c r="H41" s="85">
        <f t="shared" si="3"/>
        <v>6.7311398949999992</v>
      </c>
      <c r="I41" s="13">
        <f t="shared" si="4"/>
        <v>1121.8566491666666</v>
      </c>
      <c r="J41" s="24"/>
      <c r="L41" s="19"/>
      <c r="M41" s="20"/>
      <c r="N41" s="21"/>
    </row>
    <row r="42" spans="1:14" ht="47.25" customHeight="1">
      <c r="A42" s="30">
        <v>11</v>
      </c>
      <c r="B42" s="81" t="s">
        <v>84</v>
      </c>
      <c r="C42" s="82" t="s">
        <v>92</v>
      </c>
      <c r="D42" s="81" t="s">
        <v>127</v>
      </c>
      <c r="E42" s="84">
        <v>40</v>
      </c>
      <c r="F42" s="84">
        <f>SUM(E42*35/1000)</f>
        <v>1.4</v>
      </c>
      <c r="G42" s="84">
        <v>6203.7</v>
      </c>
      <c r="H42" s="85">
        <f t="shared" si="3"/>
        <v>8.685179999999999</v>
      </c>
      <c r="I42" s="13">
        <f t="shared" si="4"/>
        <v>1447.5299999999997</v>
      </c>
      <c r="J42" s="24"/>
      <c r="L42" s="19"/>
      <c r="M42" s="20"/>
      <c r="N42" s="21"/>
    </row>
    <row r="43" spans="1:14" ht="15.75" hidden="1" customHeight="1">
      <c r="A43" s="30">
        <v>12</v>
      </c>
      <c r="B43" s="81" t="s">
        <v>128</v>
      </c>
      <c r="C43" s="82" t="s">
        <v>92</v>
      </c>
      <c r="D43" s="81" t="s">
        <v>69</v>
      </c>
      <c r="E43" s="84">
        <v>115.82</v>
      </c>
      <c r="F43" s="84">
        <f>SUM(E43*45/1000)</f>
        <v>5.2119</v>
      </c>
      <c r="G43" s="84">
        <v>458.28</v>
      </c>
      <c r="H43" s="85">
        <f t="shared" si="3"/>
        <v>2.388509532</v>
      </c>
      <c r="I43" s="13">
        <f t="shared" si="4"/>
        <v>398.08492200000001</v>
      </c>
      <c r="J43" s="24"/>
      <c r="L43" s="19"/>
      <c r="M43" s="20"/>
      <c r="N43" s="21"/>
    </row>
    <row r="44" spans="1:14" ht="15.75" customHeight="1">
      <c r="A44" s="30">
        <v>12</v>
      </c>
      <c r="B44" s="81" t="s">
        <v>70</v>
      </c>
      <c r="C44" s="82" t="s">
        <v>32</v>
      </c>
      <c r="D44" s="81"/>
      <c r="E44" s="83"/>
      <c r="F44" s="84">
        <v>0.5</v>
      </c>
      <c r="G44" s="84">
        <v>853.06</v>
      </c>
      <c r="H44" s="85">
        <f t="shared" si="3"/>
        <v>0.42652999999999996</v>
      </c>
      <c r="I44" s="13">
        <f t="shared" si="4"/>
        <v>71.088333333333324</v>
      </c>
      <c r="J44" s="24"/>
      <c r="L44" s="19"/>
      <c r="M44" s="20"/>
      <c r="N44" s="21"/>
    </row>
    <row r="45" spans="1:14" ht="15.75" customHeight="1">
      <c r="A45" s="154" t="s">
        <v>138</v>
      </c>
      <c r="B45" s="155"/>
      <c r="C45" s="155"/>
      <c r="D45" s="155"/>
      <c r="E45" s="155"/>
      <c r="F45" s="155"/>
      <c r="G45" s="155"/>
      <c r="H45" s="155"/>
      <c r="I45" s="156"/>
      <c r="J45" s="24"/>
      <c r="L45" s="19"/>
      <c r="M45" s="20"/>
      <c r="N45" s="21"/>
    </row>
    <row r="46" spans="1:14" ht="15.75" hidden="1" customHeight="1">
      <c r="A46" s="30"/>
      <c r="B46" s="81" t="s">
        <v>112</v>
      </c>
      <c r="C46" s="82" t="s">
        <v>92</v>
      </c>
      <c r="D46" s="81" t="s">
        <v>42</v>
      </c>
      <c r="E46" s="83">
        <v>838.88</v>
      </c>
      <c r="F46" s="84">
        <f>SUM(E46*2/1000)</f>
        <v>1.6777599999999999</v>
      </c>
      <c r="G46" s="13">
        <v>865.61</v>
      </c>
      <c r="H46" s="85">
        <f t="shared" ref="H46:H55" si="5">SUM(F46*G46/1000)</f>
        <v>1.4522858336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81" t="s">
        <v>35</v>
      </c>
      <c r="C47" s="82" t="s">
        <v>92</v>
      </c>
      <c r="D47" s="81" t="s">
        <v>42</v>
      </c>
      <c r="E47" s="83">
        <v>26</v>
      </c>
      <c r="F47" s="84">
        <f>E47*2/1000</f>
        <v>5.1999999999999998E-2</v>
      </c>
      <c r="G47" s="13">
        <v>619.46</v>
      </c>
      <c r="H47" s="85">
        <f t="shared" si="5"/>
        <v>3.2211919999999998E-2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81" t="s">
        <v>36</v>
      </c>
      <c r="C48" s="82" t="s">
        <v>92</v>
      </c>
      <c r="D48" s="81" t="s">
        <v>42</v>
      </c>
      <c r="E48" s="83">
        <v>879</v>
      </c>
      <c r="F48" s="84">
        <f>SUM(E48*2/1000)</f>
        <v>1.758</v>
      </c>
      <c r="G48" s="13">
        <v>619.46</v>
      </c>
      <c r="H48" s="85">
        <f t="shared" si="5"/>
        <v>1.0890106800000001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81" t="s">
        <v>37</v>
      </c>
      <c r="C49" s="82" t="s">
        <v>92</v>
      </c>
      <c r="D49" s="81" t="s">
        <v>42</v>
      </c>
      <c r="E49" s="83">
        <v>1490.75</v>
      </c>
      <c r="F49" s="84">
        <f>SUM(E49*2/1000)</f>
        <v>2.9815</v>
      </c>
      <c r="G49" s="13">
        <v>648.64</v>
      </c>
      <c r="H49" s="85">
        <f t="shared" si="5"/>
        <v>1.93392016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81" t="s">
        <v>33</v>
      </c>
      <c r="C50" s="82" t="s">
        <v>34</v>
      </c>
      <c r="D50" s="81" t="s">
        <v>42</v>
      </c>
      <c r="E50" s="83">
        <v>61.04</v>
      </c>
      <c r="F50" s="84">
        <f>SUM(E50*2/100)</f>
        <v>1.2207999999999999</v>
      </c>
      <c r="G50" s="13">
        <v>77.84</v>
      </c>
      <c r="H50" s="85">
        <f t="shared" si="5"/>
        <v>9.502707199999999E-2</v>
      </c>
      <c r="I50" s="13">
        <v>0</v>
      </c>
      <c r="J50" s="24"/>
      <c r="L50" s="19"/>
      <c r="M50" s="20"/>
      <c r="N50" s="21"/>
    </row>
    <row r="51" spans="1:22" ht="15.75" customHeight="1">
      <c r="A51" s="30">
        <v>13</v>
      </c>
      <c r="B51" s="81" t="s">
        <v>56</v>
      </c>
      <c r="C51" s="82" t="s">
        <v>92</v>
      </c>
      <c r="D51" s="81" t="s">
        <v>150</v>
      </c>
      <c r="E51" s="83">
        <v>1342.2</v>
      </c>
      <c r="F51" s="84">
        <f>SUM(E51*5/1000)</f>
        <v>6.7110000000000003</v>
      </c>
      <c r="G51" s="13">
        <v>1297.28</v>
      </c>
      <c r="H51" s="85">
        <f t="shared" si="5"/>
        <v>8.7060460800000001</v>
      </c>
      <c r="I51" s="13">
        <f>F51/5*G51</f>
        <v>1741.209216</v>
      </c>
      <c r="J51" s="24"/>
      <c r="L51" s="19"/>
      <c r="M51" s="20"/>
      <c r="N51" s="21"/>
    </row>
    <row r="52" spans="1:22" ht="31.5" hidden="1" customHeight="1">
      <c r="A52" s="30"/>
      <c r="B52" s="81" t="s">
        <v>93</v>
      </c>
      <c r="C52" s="82" t="s">
        <v>92</v>
      </c>
      <c r="D52" s="81" t="s">
        <v>42</v>
      </c>
      <c r="E52" s="83">
        <v>1342.2</v>
      </c>
      <c r="F52" s="84">
        <f>SUM(E52*2/1000)</f>
        <v>2.6844000000000001</v>
      </c>
      <c r="G52" s="13">
        <v>1297.28</v>
      </c>
      <c r="H52" s="85">
        <f t="shared" si="5"/>
        <v>3.4824184319999998</v>
      </c>
      <c r="I52" s="13">
        <v>0</v>
      </c>
      <c r="J52" s="24"/>
      <c r="L52" s="19"/>
      <c r="M52" s="20"/>
      <c r="N52" s="21"/>
    </row>
    <row r="53" spans="1:22" ht="31.5" hidden="1" customHeight="1">
      <c r="A53" s="30"/>
      <c r="B53" s="81" t="s">
        <v>94</v>
      </c>
      <c r="C53" s="82" t="s">
        <v>38</v>
      </c>
      <c r="D53" s="81" t="s">
        <v>42</v>
      </c>
      <c r="E53" s="83">
        <v>10</v>
      </c>
      <c r="F53" s="84">
        <f>SUM(E53*2/100)</f>
        <v>0.2</v>
      </c>
      <c r="G53" s="13">
        <v>2918.89</v>
      </c>
      <c r="H53" s="85">
        <f t="shared" si="5"/>
        <v>0.58377800000000002</v>
      </c>
      <c r="I53" s="13">
        <v>0</v>
      </c>
      <c r="J53" s="24"/>
      <c r="L53" s="19"/>
      <c r="M53" s="20"/>
      <c r="N53" s="21"/>
    </row>
    <row r="54" spans="1:22" ht="15.75" hidden="1" customHeight="1">
      <c r="A54" s="30"/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3">
        <v>6042.12</v>
      </c>
      <c r="H54" s="85">
        <f t="shared" si="5"/>
        <v>0.1208424</v>
      </c>
      <c r="I54" s="13">
        <v>0</v>
      </c>
      <c r="J54" s="24"/>
      <c r="L54" s="19"/>
      <c r="M54" s="20"/>
      <c r="N54" s="21"/>
    </row>
    <row r="55" spans="1:22" ht="15.75" customHeight="1">
      <c r="A55" s="30">
        <v>14</v>
      </c>
      <c r="B55" s="81" t="s">
        <v>41</v>
      </c>
      <c r="C55" s="82" t="s">
        <v>113</v>
      </c>
      <c r="D55" s="81" t="s">
        <v>71</v>
      </c>
      <c r="E55" s="83">
        <v>80</v>
      </c>
      <c r="F55" s="84">
        <f>SUM(E55)*3</f>
        <v>240</v>
      </c>
      <c r="G55" s="13">
        <v>70.209999999999994</v>
      </c>
      <c r="H55" s="85">
        <f t="shared" si="5"/>
        <v>16.850399999999997</v>
      </c>
      <c r="I55" s="13">
        <f>E55*G55</f>
        <v>5616.7999999999993</v>
      </c>
      <c r="J55" s="24"/>
      <c r="L55" s="19"/>
      <c r="M55" s="20"/>
      <c r="N55" s="21"/>
    </row>
    <row r="56" spans="1:22" ht="15.75" customHeight="1">
      <c r="A56" s="154" t="s">
        <v>137</v>
      </c>
      <c r="B56" s="155"/>
      <c r="C56" s="155"/>
      <c r="D56" s="155"/>
      <c r="E56" s="155"/>
      <c r="F56" s="155"/>
      <c r="G56" s="155"/>
      <c r="H56" s="155"/>
      <c r="I56" s="156"/>
      <c r="J56" s="24"/>
      <c r="L56" s="19"/>
      <c r="M56" s="20"/>
      <c r="N56" s="21"/>
    </row>
    <row r="57" spans="1:22" ht="15.75" customHeight="1">
      <c r="A57" s="30"/>
      <c r="B57" s="103" t="s">
        <v>43</v>
      </c>
      <c r="C57" s="82"/>
      <c r="D57" s="81"/>
      <c r="E57" s="83"/>
      <c r="F57" s="84"/>
      <c r="G57" s="84"/>
      <c r="H57" s="85"/>
      <c r="I57" s="13"/>
      <c r="J57" s="24"/>
      <c r="L57" s="19"/>
      <c r="M57" s="20"/>
      <c r="N57" s="21"/>
    </row>
    <row r="58" spans="1:22" ht="31.5" customHeight="1">
      <c r="A58" s="30">
        <v>15</v>
      </c>
      <c r="B58" s="81" t="s">
        <v>114</v>
      </c>
      <c r="C58" s="82" t="s">
        <v>89</v>
      </c>
      <c r="D58" s="81" t="s">
        <v>115</v>
      </c>
      <c r="E58" s="83">
        <v>90.76</v>
      </c>
      <c r="F58" s="84">
        <f>SUM(E58*6/100)</f>
        <v>5.4456000000000007</v>
      </c>
      <c r="G58" s="13">
        <v>1654.04</v>
      </c>
      <c r="H58" s="85">
        <f>SUM(F58*G58/1000)</f>
        <v>9.0072402240000002</v>
      </c>
      <c r="I58" s="13">
        <f>F58/6*G58</f>
        <v>1501.2067040000002</v>
      </c>
      <c r="J58" s="24"/>
      <c r="L58" s="19"/>
    </row>
    <row r="59" spans="1:22" ht="15.75" hidden="1" customHeight="1">
      <c r="A59" s="30"/>
      <c r="B59" s="103" t="s">
        <v>44</v>
      </c>
      <c r="C59" s="82"/>
      <c r="D59" s="81"/>
      <c r="E59" s="83"/>
      <c r="F59" s="84"/>
      <c r="G59" s="75"/>
      <c r="H59" s="85"/>
      <c r="I59" s="13"/>
    </row>
    <row r="60" spans="1:22" ht="15.75" hidden="1" customHeight="1">
      <c r="A60" s="30"/>
      <c r="B60" s="81" t="s">
        <v>132</v>
      </c>
      <c r="C60" s="82" t="s">
        <v>89</v>
      </c>
      <c r="D60" s="81" t="s">
        <v>144</v>
      </c>
      <c r="E60" s="83">
        <v>1342.2</v>
      </c>
      <c r="F60" s="85">
        <f>E60/100</f>
        <v>13.422000000000001</v>
      </c>
      <c r="G60" s="13">
        <v>848.37</v>
      </c>
      <c r="H60" s="90">
        <f>F60*G60/1000</f>
        <v>11.38682214</v>
      </c>
      <c r="I60" s="13">
        <v>0</v>
      </c>
    </row>
    <row r="61" spans="1:22" ht="15.75" hidden="1" customHeight="1">
      <c r="A61" s="30"/>
      <c r="B61" s="104" t="s">
        <v>45</v>
      </c>
      <c r="C61" s="91"/>
      <c r="D61" s="92"/>
      <c r="E61" s="93"/>
      <c r="F61" s="94"/>
      <c r="G61" s="94"/>
      <c r="H61" s="95" t="s">
        <v>122</v>
      </c>
      <c r="I61" s="13"/>
    </row>
    <row r="62" spans="1:22" ht="15.75" hidden="1" customHeight="1">
      <c r="A62" s="30"/>
      <c r="B62" s="14" t="s">
        <v>46</v>
      </c>
      <c r="C62" s="16" t="s">
        <v>113</v>
      </c>
      <c r="D62" s="14" t="s">
        <v>67</v>
      </c>
      <c r="E62" s="18">
        <v>10</v>
      </c>
      <c r="F62" s="84">
        <v>10</v>
      </c>
      <c r="G62" s="13">
        <v>237.74</v>
      </c>
      <c r="H62" s="80">
        <f t="shared" ref="H62:H75" si="6">SUM(F62*G62/1000)</f>
        <v>2.3774000000000002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0"/>
      <c r="B63" s="14" t="s">
        <v>47</v>
      </c>
      <c r="C63" s="16" t="s">
        <v>113</v>
      </c>
      <c r="D63" s="14" t="s">
        <v>67</v>
      </c>
      <c r="E63" s="18">
        <v>5</v>
      </c>
      <c r="F63" s="84">
        <v>5</v>
      </c>
      <c r="G63" s="13">
        <v>81.510000000000005</v>
      </c>
      <c r="H63" s="80">
        <f t="shared" si="6"/>
        <v>0.40755000000000002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0"/>
      <c r="B64" s="14" t="s">
        <v>48</v>
      </c>
      <c r="C64" s="16" t="s">
        <v>116</v>
      </c>
      <c r="D64" s="14" t="s">
        <v>53</v>
      </c>
      <c r="E64" s="83">
        <v>10348</v>
      </c>
      <c r="F64" s="13">
        <f>SUM(E64/100)</f>
        <v>103.48</v>
      </c>
      <c r="G64" s="13">
        <v>226.79</v>
      </c>
      <c r="H64" s="80">
        <f t="shared" si="6"/>
        <v>23.468229200000003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0"/>
      <c r="B65" s="14" t="s">
        <v>49</v>
      </c>
      <c r="C65" s="16" t="s">
        <v>117</v>
      </c>
      <c r="D65" s="14"/>
      <c r="E65" s="83">
        <v>10348</v>
      </c>
      <c r="F65" s="13">
        <f>SUM(E65/1000)</f>
        <v>10.348000000000001</v>
      </c>
      <c r="G65" s="13">
        <v>176.61</v>
      </c>
      <c r="H65" s="80">
        <f t="shared" si="6"/>
        <v>1.8275602800000004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47"/>
      <c r="S65" s="147"/>
      <c r="T65" s="147"/>
      <c r="U65" s="147"/>
    </row>
    <row r="66" spans="1:21" ht="15.75" hidden="1" customHeight="1">
      <c r="A66" s="30"/>
      <c r="B66" s="14" t="s">
        <v>50</v>
      </c>
      <c r="C66" s="16" t="s">
        <v>77</v>
      </c>
      <c r="D66" s="14" t="s">
        <v>53</v>
      </c>
      <c r="E66" s="83">
        <v>1645</v>
      </c>
      <c r="F66" s="13">
        <f>SUM(E66/100)</f>
        <v>16.45</v>
      </c>
      <c r="G66" s="13">
        <v>2217.7800000000002</v>
      </c>
      <c r="H66" s="80">
        <f t="shared" si="6"/>
        <v>36.482481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0"/>
      <c r="B67" s="96" t="s">
        <v>118</v>
      </c>
      <c r="C67" s="16" t="s">
        <v>32</v>
      </c>
      <c r="D67" s="14"/>
      <c r="E67" s="83">
        <v>8.6</v>
      </c>
      <c r="F67" s="13">
        <f>SUM(E67)</f>
        <v>8.6</v>
      </c>
      <c r="G67" s="13">
        <v>42.67</v>
      </c>
      <c r="H67" s="80">
        <f t="shared" si="6"/>
        <v>0.36696200000000001</v>
      </c>
      <c r="I67" s="13">
        <v>0</v>
      </c>
    </row>
    <row r="68" spans="1:21" ht="15.75" hidden="1" customHeight="1">
      <c r="A68" s="30"/>
      <c r="B68" s="96" t="s">
        <v>119</v>
      </c>
      <c r="C68" s="16" t="s">
        <v>32</v>
      </c>
      <c r="D68" s="14"/>
      <c r="E68" s="83">
        <v>8.6</v>
      </c>
      <c r="F68" s="13">
        <f>SUM(E68)</f>
        <v>8.6</v>
      </c>
      <c r="G68" s="13">
        <v>39.81</v>
      </c>
      <c r="H68" s="80">
        <f t="shared" si="6"/>
        <v>0.342366</v>
      </c>
      <c r="I68" s="13">
        <v>0</v>
      </c>
    </row>
    <row r="69" spans="1:21" ht="15.75" hidden="1" customHeight="1">
      <c r="A69" s="30"/>
      <c r="B69" s="14" t="s">
        <v>57</v>
      </c>
      <c r="C69" s="16" t="s">
        <v>58</v>
      </c>
      <c r="D69" s="14" t="s">
        <v>53</v>
      </c>
      <c r="E69" s="18">
        <v>5</v>
      </c>
      <c r="F69" s="84">
        <v>5</v>
      </c>
      <c r="G69" s="13">
        <v>53.32</v>
      </c>
      <c r="H69" s="80">
        <f t="shared" si="6"/>
        <v>0.2666</v>
      </c>
      <c r="I69" s="13">
        <v>0</v>
      </c>
    </row>
    <row r="70" spans="1:21" ht="15.75" hidden="1" customHeight="1">
      <c r="A70" s="30"/>
      <c r="B70" s="66" t="s">
        <v>72</v>
      </c>
      <c r="C70" s="16"/>
      <c r="D70" s="14"/>
      <c r="E70" s="18"/>
      <c r="F70" s="13"/>
      <c r="G70" s="13"/>
      <c r="H70" s="80" t="s">
        <v>122</v>
      </c>
      <c r="I70" s="13"/>
    </row>
    <row r="71" spans="1:21" ht="15.75" hidden="1" customHeight="1">
      <c r="A71" s="30"/>
      <c r="B71" s="14" t="s">
        <v>73</v>
      </c>
      <c r="C71" s="16" t="s">
        <v>75</v>
      </c>
      <c r="D71" s="14"/>
      <c r="E71" s="18">
        <v>2</v>
      </c>
      <c r="F71" s="13">
        <v>0.2</v>
      </c>
      <c r="G71" s="13">
        <v>536.23</v>
      </c>
      <c r="H71" s="80">
        <f t="shared" si="6"/>
        <v>0.10724600000000001</v>
      </c>
      <c r="I71" s="13">
        <v>0</v>
      </c>
    </row>
    <row r="72" spans="1:21" ht="15.75" hidden="1" customHeight="1">
      <c r="A72" s="30"/>
      <c r="B72" s="14" t="s">
        <v>74</v>
      </c>
      <c r="C72" s="16" t="s">
        <v>30</v>
      </c>
      <c r="D72" s="14"/>
      <c r="E72" s="18">
        <v>2</v>
      </c>
      <c r="F72" s="75">
        <v>2</v>
      </c>
      <c r="G72" s="13">
        <v>911.85</v>
      </c>
      <c r="H72" s="80">
        <f>F72*G72/1000</f>
        <v>1.8237000000000001</v>
      </c>
      <c r="I72" s="13">
        <v>0</v>
      </c>
    </row>
    <row r="73" spans="1:21" ht="15.75" hidden="1" customHeight="1">
      <c r="A73" s="30"/>
      <c r="B73" s="14" t="s">
        <v>129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80">
        <f>G73*F73/1000</f>
        <v>0.38324999999999998</v>
      </c>
      <c r="I73" s="13">
        <v>0</v>
      </c>
    </row>
    <row r="74" spans="1:21" ht="15.75" hidden="1" customHeight="1">
      <c r="A74" s="30"/>
      <c r="B74" s="98" t="s">
        <v>76</v>
      </c>
      <c r="C74" s="16"/>
      <c r="D74" s="14"/>
      <c r="E74" s="18"/>
      <c r="F74" s="13"/>
      <c r="G74" s="13" t="s">
        <v>122</v>
      </c>
      <c r="H74" s="80" t="s">
        <v>122</v>
      </c>
      <c r="I74" s="13"/>
    </row>
    <row r="75" spans="1:21" ht="15.75" hidden="1" customHeight="1">
      <c r="A75" s="30"/>
      <c r="B75" s="52" t="s">
        <v>123</v>
      </c>
      <c r="C75" s="16" t="s">
        <v>77</v>
      </c>
      <c r="D75" s="14"/>
      <c r="E75" s="18"/>
      <c r="F75" s="13">
        <v>0.6</v>
      </c>
      <c r="G75" s="13">
        <v>2949.85</v>
      </c>
      <c r="H75" s="80">
        <f t="shared" si="6"/>
        <v>1.7699099999999999</v>
      </c>
      <c r="I75" s="13">
        <v>0</v>
      </c>
    </row>
    <row r="76" spans="1:21" ht="15.75" customHeight="1">
      <c r="A76" s="30"/>
      <c r="B76" s="105" t="s">
        <v>95</v>
      </c>
      <c r="C76" s="98"/>
      <c r="D76" s="32"/>
      <c r="E76" s="33"/>
      <c r="F76" s="87"/>
      <c r="G76" s="87"/>
      <c r="H76" s="99">
        <f>SUM(H58:H75)</f>
        <v>90.017316844000007</v>
      </c>
      <c r="I76" s="87"/>
    </row>
    <row r="77" spans="1:21" ht="15.75" customHeight="1">
      <c r="A77" s="30">
        <v>16</v>
      </c>
      <c r="B77" s="81" t="s">
        <v>120</v>
      </c>
      <c r="C77" s="16"/>
      <c r="D77" s="14"/>
      <c r="E77" s="100"/>
      <c r="F77" s="13">
        <v>1</v>
      </c>
      <c r="G77" s="13">
        <v>7005.5</v>
      </c>
      <c r="H77" s="80">
        <f>G77*F77/1000</f>
        <v>7.0054999999999996</v>
      </c>
      <c r="I77" s="13">
        <f>G77</f>
        <v>7005.5</v>
      </c>
    </row>
    <row r="78" spans="1:21" ht="15.75" customHeight="1">
      <c r="A78" s="154" t="s">
        <v>136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30">
        <v>17</v>
      </c>
      <c r="B79" s="81" t="s">
        <v>121</v>
      </c>
      <c r="C79" s="16" t="s">
        <v>54</v>
      </c>
      <c r="D79" s="59" t="s">
        <v>55</v>
      </c>
      <c r="E79" s="13">
        <v>2135.1999999999998</v>
      </c>
      <c r="F79" s="13">
        <f>SUM(E79*12)</f>
        <v>25622.399999999998</v>
      </c>
      <c r="G79" s="13">
        <v>2.2400000000000002</v>
      </c>
      <c r="H79" s="80">
        <f>SUM(F79*G79/1000)</f>
        <v>57.394176000000002</v>
      </c>
      <c r="I79" s="13">
        <f>F79/12*G79</f>
        <v>4782.848</v>
      </c>
    </row>
    <row r="80" spans="1:21" ht="31.5" customHeight="1">
      <c r="A80" s="30">
        <v>18</v>
      </c>
      <c r="B80" s="14" t="s">
        <v>78</v>
      </c>
      <c r="C80" s="16"/>
      <c r="D80" s="59" t="s">
        <v>55</v>
      </c>
      <c r="E80" s="83">
        <f>E79</f>
        <v>2135.1999999999998</v>
      </c>
      <c r="F80" s="13">
        <f>E80*12</f>
        <v>25622.399999999998</v>
      </c>
      <c r="G80" s="13">
        <v>1.74</v>
      </c>
      <c r="H80" s="80">
        <f>F80*G80/1000</f>
        <v>44.582975999999995</v>
      </c>
      <c r="I80" s="13">
        <f>F80/12*G80</f>
        <v>3715.2479999999996</v>
      </c>
    </row>
    <row r="81" spans="1:9" ht="15.75" customHeight="1">
      <c r="A81" s="30"/>
      <c r="B81" s="45" t="s">
        <v>81</v>
      </c>
      <c r="C81" s="98"/>
      <c r="D81" s="97"/>
      <c r="E81" s="87"/>
      <c r="F81" s="87"/>
      <c r="G81" s="87"/>
      <c r="H81" s="99">
        <f>H80</f>
        <v>44.582975999999995</v>
      </c>
      <c r="I81" s="87">
        <f>I16+I17+I18+I20+I21+I27+I28+I39+I40+I41+I42+I44+I51+I55+I58+I77+I79+I80</f>
        <v>49545.341689833331</v>
      </c>
    </row>
    <row r="82" spans="1:9" ht="15.75" customHeight="1">
      <c r="A82" s="158" t="s">
        <v>60</v>
      </c>
      <c r="B82" s="159"/>
      <c r="C82" s="159"/>
      <c r="D82" s="159"/>
      <c r="E82" s="159"/>
      <c r="F82" s="159"/>
      <c r="G82" s="159"/>
      <c r="H82" s="159"/>
      <c r="I82" s="160"/>
    </row>
    <row r="83" spans="1:9" ht="15.75" customHeight="1">
      <c r="A83" s="30">
        <v>19</v>
      </c>
      <c r="B83" s="56" t="s">
        <v>145</v>
      </c>
      <c r="C83" s="57" t="s">
        <v>85</v>
      </c>
      <c r="D83" s="52"/>
      <c r="E83" s="13"/>
      <c r="F83" s="13">
        <v>1</v>
      </c>
      <c r="G83" s="13">
        <v>195.85</v>
      </c>
      <c r="H83" s="80">
        <f t="shared" ref="H83:H84" si="7">G83*F83/1000</f>
        <v>0.19585</v>
      </c>
      <c r="I83" s="13">
        <f>G83</f>
        <v>195.85</v>
      </c>
    </row>
    <row r="84" spans="1:9" ht="31.5" customHeight="1">
      <c r="A84" s="30">
        <v>20</v>
      </c>
      <c r="B84" s="56" t="s">
        <v>83</v>
      </c>
      <c r="C84" s="57" t="s">
        <v>38</v>
      </c>
      <c r="D84" s="52"/>
      <c r="E84" s="13"/>
      <c r="F84" s="13">
        <v>0.02</v>
      </c>
      <c r="G84" s="13">
        <v>3581.13</v>
      </c>
      <c r="H84" s="80">
        <f t="shared" si="7"/>
        <v>7.1622600000000008E-2</v>
      </c>
      <c r="I84" s="13">
        <f>G84*0.02</f>
        <v>71.622600000000006</v>
      </c>
    </row>
    <row r="85" spans="1:9" ht="15.75" customHeight="1">
      <c r="A85" s="30">
        <v>21</v>
      </c>
      <c r="B85" s="56" t="s">
        <v>124</v>
      </c>
      <c r="C85" s="57" t="s">
        <v>113</v>
      </c>
      <c r="D85" s="52"/>
      <c r="E85" s="13"/>
      <c r="F85" s="13">
        <v>246</v>
      </c>
      <c r="G85" s="13">
        <v>53.42</v>
      </c>
      <c r="H85" s="80">
        <f>G85*F85/1000</f>
        <v>13.14132</v>
      </c>
      <c r="I85" s="13">
        <f>G85*41</f>
        <v>2190.2200000000003</v>
      </c>
    </row>
    <row r="86" spans="1:9" ht="31.5" customHeight="1">
      <c r="A86" s="30">
        <v>22</v>
      </c>
      <c r="B86" s="56" t="s">
        <v>168</v>
      </c>
      <c r="C86" s="16" t="s">
        <v>30</v>
      </c>
      <c r="D86" s="52"/>
      <c r="E86" s="13"/>
      <c r="F86" s="13">
        <v>1</v>
      </c>
      <c r="G86" s="13">
        <v>83.36</v>
      </c>
      <c r="H86" s="13">
        <f t="shared" ref="H86" si="8">G86*F86/1000</f>
        <v>8.3360000000000004E-2</v>
      </c>
      <c r="I86" s="13">
        <f>G86</f>
        <v>83.36</v>
      </c>
    </row>
    <row r="87" spans="1:9" ht="15.75" customHeight="1">
      <c r="A87" s="30"/>
      <c r="B87" s="50" t="s">
        <v>51</v>
      </c>
      <c r="C87" s="57"/>
      <c r="D87" s="52"/>
      <c r="E87" s="13"/>
      <c r="F87" s="13"/>
      <c r="G87" s="13"/>
      <c r="H87" s="80"/>
      <c r="I87" s="87">
        <f>SUM(I83:I86)</f>
        <v>2541.0526000000004</v>
      </c>
    </row>
    <row r="88" spans="1:9">
      <c r="A88" s="30"/>
      <c r="B88" s="52" t="s">
        <v>79</v>
      </c>
      <c r="C88" s="15"/>
      <c r="D88" s="15"/>
      <c r="E88" s="47"/>
      <c r="F88" s="47"/>
      <c r="G88" s="48"/>
      <c r="H88" s="48"/>
      <c r="I88" s="17">
        <v>0</v>
      </c>
    </row>
    <row r="89" spans="1:9">
      <c r="A89" s="54"/>
      <c r="B89" s="51" t="s">
        <v>169</v>
      </c>
      <c r="C89" s="38"/>
      <c r="D89" s="38"/>
      <c r="E89" s="38"/>
      <c r="F89" s="38"/>
      <c r="G89" s="38"/>
      <c r="H89" s="38"/>
      <c r="I89" s="49">
        <f>I81+I87</f>
        <v>52086.394289833333</v>
      </c>
    </row>
    <row r="90" spans="1:9" ht="15.75" customHeight="1">
      <c r="A90" s="165" t="s">
        <v>231</v>
      </c>
      <c r="B90" s="165"/>
      <c r="C90" s="165"/>
      <c r="D90" s="165"/>
      <c r="E90" s="165"/>
      <c r="F90" s="165"/>
      <c r="G90" s="165"/>
      <c r="H90" s="165"/>
      <c r="I90" s="165"/>
    </row>
    <row r="91" spans="1:9" ht="15.75" customHeight="1">
      <c r="A91" s="68"/>
      <c r="B91" s="166" t="s">
        <v>232</v>
      </c>
      <c r="C91" s="166"/>
      <c r="D91" s="166"/>
      <c r="E91" s="166"/>
      <c r="F91" s="166"/>
      <c r="G91" s="166"/>
      <c r="H91" s="78"/>
      <c r="I91" s="3"/>
    </row>
    <row r="92" spans="1:9">
      <c r="A92" s="64"/>
      <c r="B92" s="163" t="s">
        <v>6</v>
      </c>
      <c r="C92" s="163"/>
      <c r="D92" s="163"/>
      <c r="E92" s="163"/>
      <c r="F92" s="163"/>
      <c r="G92" s="163"/>
      <c r="H92" s="25"/>
      <c r="I92" s="5"/>
    </row>
    <row r="93" spans="1:9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67" t="s">
        <v>7</v>
      </c>
      <c r="B94" s="167"/>
      <c r="C94" s="167"/>
      <c r="D94" s="167"/>
      <c r="E94" s="167"/>
      <c r="F94" s="167"/>
      <c r="G94" s="167"/>
      <c r="H94" s="167"/>
      <c r="I94" s="167"/>
    </row>
    <row r="95" spans="1:9" ht="15.75" customHeight="1">
      <c r="A95" s="167" t="s">
        <v>8</v>
      </c>
      <c r="B95" s="167"/>
      <c r="C95" s="167"/>
      <c r="D95" s="167"/>
      <c r="E95" s="167"/>
      <c r="F95" s="167"/>
      <c r="G95" s="167"/>
      <c r="H95" s="167"/>
      <c r="I95" s="167"/>
    </row>
    <row r="96" spans="1:9" ht="15.75">
      <c r="A96" s="144" t="s">
        <v>61</v>
      </c>
      <c r="B96" s="144"/>
      <c r="C96" s="144"/>
      <c r="D96" s="144"/>
      <c r="E96" s="144"/>
      <c r="F96" s="144"/>
      <c r="G96" s="144"/>
      <c r="H96" s="144"/>
      <c r="I96" s="144"/>
    </row>
    <row r="97" spans="1:9" ht="15.75">
      <c r="A97" s="11"/>
    </row>
    <row r="98" spans="1:9" ht="15.75" customHeight="1">
      <c r="A98" s="145" t="s">
        <v>9</v>
      </c>
      <c r="B98" s="145"/>
      <c r="C98" s="145"/>
      <c r="D98" s="145"/>
      <c r="E98" s="145"/>
      <c r="F98" s="145"/>
      <c r="G98" s="145"/>
      <c r="H98" s="145"/>
      <c r="I98" s="145"/>
    </row>
    <row r="99" spans="1:9" ht="15.75" customHeight="1">
      <c r="A99" s="4"/>
    </row>
    <row r="100" spans="1:9" ht="15.75" customHeight="1">
      <c r="B100" s="65" t="s">
        <v>10</v>
      </c>
      <c r="C100" s="162" t="s">
        <v>139</v>
      </c>
      <c r="D100" s="162"/>
      <c r="E100" s="162"/>
      <c r="F100" s="76"/>
      <c r="I100" s="63"/>
    </row>
    <row r="101" spans="1:9" ht="15.75" customHeight="1">
      <c r="A101" s="64"/>
      <c r="C101" s="163" t="s">
        <v>11</v>
      </c>
      <c r="D101" s="163"/>
      <c r="E101" s="163"/>
      <c r="F101" s="25"/>
      <c r="I101" s="62" t="s">
        <v>12</v>
      </c>
    </row>
    <row r="102" spans="1:9" ht="15.75" customHeight="1">
      <c r="A102" s="26"/>
      <c r="C102" s="12"/>
      <c r="D102" s="12"/>
      <c r="G102" s="12"/>
      <c r="H102" s="12"/>
    </row>
    <row r="103" spans="1:9" ht="15.75" customHeight="1">
      <c r="B103" s="65" t="s">
        <v>13</v>
      </c>
      <c r="C103" s="164"/>
      <c r="D103" s="164"/>
      <c r="E103" s="164"/>
      <c r="F103" s="77"/>
      <c r="I103" s="63"/>
    </row>
    <row r="104" spans="1:9">
      <c r="A104" s="64"/>
      <c r="C104" s="147" t="s">
        <v>11</v>
      </c>
      <c r="D104" s="147"/>
      <c r="E104" s="147"/>
      <c r="F104" s="64"/>
      <c r="I104" s="62" t="s">
        <v>12</v>
      </c>
    </row>
    <row r="105" spans="1:9" ht="15.75">
      <c r="A105" s="4" t="s">
        <v>14</v>
      </c>
    </row>
    <row r="106" spans="1:9">
      <c r="A106" s="161" t="s">
        <v>15</v>
      </c>
      <c r="B106" s="161"/>
      <c r="C106" s="161"/>
      <c r="D106" s="161"/>
      <c r="E106" s="161"/>
      <c r="F106" s="161"/>
      <c r="G106" s="161"/>
      <c r="H106" s="161"/>
      <c r="I106" s="161"/>
    </row>
    <row r="107" spans="1:9" ht="45" customHeight="1">
      <c r="A107" s="157" t="s">
        <v>16</v>
      </c>
      <c r="B107" s="157"/>
      <c r="C107" s="157"/>
      <c r="D107" s="157"/>
      <c r="E107" s="157"/>
      <c r="F107" s="157"/>
      <c r="G107" s="157"/>
      <c r="H107" s="157"/>
      <c r="I107" s="157"/>
    </row>
    <row r="108" spans="1:9" ht="30" customHeight="1">
      <c r="A108" s="157" t="s">
        <v>17</v>
      </c>
      <c r="B108" s="157"/>
      <c r="C108" s="157"/>
      <c r="D108" s="157"/>
      <c r="E108" s="157"/>
      <c r="F108" s="157"/>
      <c r="G108" s="157"/>
      <c r="H108" s="157"/>
      <c r="I108" s="157"/>
    </row>
    <row r="109" spans="1:9" ht="30" customHeight="1">
      <c r="A109" s="157" t="s">
        <v>21</v>
      </c>
      <c r="B109" s="157"/>
      <c r="C109" s="157"/>
      <c r="D109" s="157"/>
      <c r="E109" s="157"/>
      <c r="F109" s="157"/>
      <c r="G109" s="157"/>
      <c r="H109" s="157"/>
      <c r="I109" s="157"/>
    </row>
    <row r="110" spans="1:9" ht="15" customHeight="1">
      <c r="A110" s="157" t="s">
        <v>20</v>
      </c>
      <c r="B110" s="157"/>
      <c r="C110" s="157"/>
      <c r="D110" s="157"/>
      <c r="E110" s="157"/>
      <c r="F110" s="157"/>
      <c r="G110" s="157"/>
      <c r="H110" s="157"/>
      <c r="I110" s="157"/>
    </row>
  </sheetData>
  <autoFilter ref="I12:I60"/>
  <mergeCells count="29">
    <mergeCell ref="A109:I109"/>
    <mergeCell ref="A110:I110"/>
    <mergeCell ref="A78:I78"/>
    <mergeCell ref="A82:I82"/>
    <mergeCell ref="A106:I106"/>
    <mergeCell ref="A107:I107"/>
    <mergeCell ref="A108:I108"/>
    <mergeCell ref="C100:E100"/>
    <mergeCell ref="C101:E101"/>
    <mergeCell ref="C103:E103"/>
    <mergeCell ref="C104:E104"/>
    <mergeCell ref="A90:I90"/>
    <mergeCell ref="B91:G91"/>
    <mergeCell ref="B92:G92"/>
    <mergeCell ref="A94:I94"/>
    <mergeCell ref="A95:I95"/>
    <mergeCell ref="A96:I96"/>
    <mergeCell ref="A98:I98"/>
    <mergeCell ref="A15:I15"/>
    <mergeCell ref="R65:U65"/>
    <mergeCell ref="A3:I3"/>
    <mergeCell ref="A4:I4"/>
    <mergeCell ref="A5:I5"/>
    <mergeCell ref="A8:I8"/>
    <mergeCell ref="A10:I10"/>
    <mergeCell ref="A14:I14"/>
    <mergeCell ref="A29:I29"/>
    <mergeCell ref="A45:I45"/>
    <mergeCell ref="A56:I56"/>
  </mergeCells>
  <printOptions horizontalCentered="1"/>
  <pageMargins left="0.51181102362204722" right="0.5118110236220472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161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219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43039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213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35" t="s">
        <v>88</v>
      </c>
      <c r="C16" s="46" t="s">
        <v>89</v>
      </c>
      <c r="D16" s="35" t="s">
        <v>164</v>
      </c>
      <c r="E16" s="113">
        <v>37.78</v>
      </c>
      <c r="F16" s="34">
        <f>SUM(E16*156/100)</f>
        <v>58.936800000000005</v>
      </c>
      <c r="G16" s="34">
        <v>230</v>
      </c>
      <c r="H16" s="114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141</v>
      </c>
      <c r="C17" s="46" t="s">
        <v>89</v>
      </c>
      <c r="D17" s="35" t="s">
        <v>165</v>
      </c>
      <c r="E17" s="113">
        <v>151.12</v>
      </c>
      <c r="F17" s="34">
        <f>SUM(E17*104/100)</f>
        <v>157.16479999999999</v>
      </c>
      <c r="G17" s="34">
        <v>230</v>
      </c>
      <c r="H17" s="114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142</v>
      </c>
      <c r="C18" s="46" t="s">
        <v>89</v>
      </c>
      <c r="D18" s="35" t="s">
        <v>166</v>
      </c>
      <c r="E18" s="113">
        <v>188.9</v>
      </c>
      <c r="F18" s="34">
        <f>SUM(E18*24/100)</f>
        <v>45.336000000000006</v>
      </c>
      <c r="G18" s="34">
        <v>661.67</v>
      </c>
      <c r="H18" s="114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96</v>
      </c>
      <c r="C19" s="46" t="s">
        <v>97</v>
      </c>
      <c r="D19" s="35" t="s">
        <v>98</v>
      </c>
      <c r="E19" s="113">
        <v>18</v>
      </c>
      <c r="F19" s="34">
        <f>SUM(E19/10)</f>
        <v>1.8</v>
      </c>
      <c r="G19" s="34">
        <v>223.17</v>
      </c>
      <c r="H19" s="114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99</v>
      </c>
      <c r="C20" s="46" t="s">
        <v>89</v>
      </c>
      <c r="D20" s="35" t="s">
        <v>29</v>
      </c>
      <c r="E20" s="113">
        <v>14.6</v>
      </c>
      <c r="F20" s="34">
        <f>SUM(E20*12/100)</f>
        <v>1.7519999999999998</v>
      </c>
      <c r="G20" s="34">
        <v>285.76</v>
      </c>
      <c r="H20" s="114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100</v>
      </c>
      <c r="C21" s="46" t="s">
        <v>89</v>
      </c>
      <c r="D21" s="35" t="s">
        <v>42</v>
      </c>
      <c r="E21" s="113">
        <v>2.7</v>
      </c>
      <c r="F21" s="34">
        <f>SUM(E21*2/100)</f>
        <v>5.4000000000000006E-2</v>
      </c>
      <c r="G21" s="34">
        <v>283.44</v>
      </c>
      <c r="H21" s="114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101</v>
      </c>
      <c r="C22" s="46" t="s">
        <v>52</v>
      </c>
      <c r="D22" s="35" t="s">
        <v>98</v>
      </c>
      <c r="E22" s="113">
        <v>259.2</v>
      </c>
      <c r="F22" s="34">
        <f>SUM(E22/100)</f>
        <v>2.5920000000000001</v>
      </c>
      <c r="G22" s="34">
        <v>353.14</v>
      </c>
      <c r="H22" s="114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102</v>
      </c>
      <c r="C23" s="46" t="s">
        <v>52</v>
      </c>
      <c r="D23" s="35" t="s">
        <v>98</v>
      </c>
      <c r="E23" s="115">
        <v>24.15</v>
      </c>
      <c r="F23" s="34">
        <f>SUM(E23/100)</f>
        <v>0.24149999999999999</v>
      </c>
      <c r="G23" s="34">
        <v>58.08</v>
      </c>
      <c r="H23" s="114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103</v>
      </c>
      <c r="C24" s="46" t="s">
        <v>52</v>
      </c>
      <c r="D24" s="35" t="s">
        <v>104</v>
      </c>
      <c r="E24" s="113">
        <v>10</v>
      </c>
      <c r="F24" s="34">
        <f>E24/100</f>
        <v>0.1</v>
      </c>
      <c r="G24" s="34">
        <v>511.12</v>
      </c>
      <c r="H24" s="114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105</v>
      </c>
      <c r="C25" s="46" t="s">
        <v>52</v>
      </c>
      <c r="D25" s="35" t="s">
        <v>53</v>
      </c>
      <c r="E25" s="113">
        <v>9.5</v>
      </c>
      <c r="F25" s="34">
        <f>E25/100</f>
        <v>9.5000000000000001E-2</v>
      </c>
      <c r="G25" s="34">
        <v>283.44</v>
      </c>
      <c r="H25" s="114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106</v>
      </c>
      <c r="C26" s="46" t="s">
        <v>52</v>
      </c>
      <c r="D26" s="35" t="s">
        <v>98</v>
      </c>
      <c r="E26" s="113">
        <v>4.25</v>
      </c>
      <c r="F26" s="34">
        <f>SUM(E26/100)</f>
        <v>4.2500000000000003E-2</v>
      </c>
      <c r="G26" s="34">
        <v>683.05</v>
      </c>
      <c r="H26" s="114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64</v>
      </c>
      <c r="C27" s="46" t="s">
        <v>32</v>
      </c>
      <c r="D27" s="35" t="s">
        <v>191</v>
      </c>
      <c r="E27" s="116">
        <v>0.1</v>
      </c>
      <c r="F27" s="34">
        <f>SUM(E27*182)</f>
        <v>18.2</v>
      </c>
      <c r="G27" s="34">
        <v>264.85000000000002</v>
      </c>
      <c r="H27" s="114">
        <f t="shared" ref="H27:H28" si="1">SUM(F27*G27/1000)</f>
        <v>4.8202700000000007</v>
      </c>
      <c r="I27" s="13">
        <f>F27/12*G27</f>
        <v>401.68916666666667</v>
      </c>
      <c r="J27" s="24"/>
    </row>
    <row r="28" spans="1:13" ht="15.75" customHeight="1">
      <c r="A28" s="30">
        <v>6</v>
      </c>
      <c r="B28" s="89" t="s">
        <v>23</v>
      </c>
      <c r="C28" s="82" t="s">
        <v>24</v>
      </c>
      <c r="D28" s="35" t="s">
        <v>220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si="1"/>
        <v>91.728191999999993</v>
      </c>
      <c r="I28" s="13">
        <f>F28/12*G28</f>
        <v>7644.0159999999996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customHeight="1">
      <c r="A31" s="30">
        <v>7</v>
      </c>
      <c r="B31" s="81" t="s">
        <v>111</v>
      </c>
      <c r="C31" s="46" t="s">
        <v>92</v>
      </c>
      <c r="D31" s="35" t="s">
        <v>180</v>
      </c>
      <c r="E31" s="34">
        <v>331.9</v>
      </c>
      <c r="F31" s="34">
        <f>SUM(E31*52/1000)</f>
        <v>17.258800000000001</v>
      </c>
      <c r="G31" s="34">
        <v>204.44</v>
      </c>
      <c r="H31" s="114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customHeight="1">
      <c r="A32" s="30">
        <v>8</v>
      </c>
      <c r="B32" s="81" t="s">
        <v>110</v>
      </c>
      <c r="C32" s="46" t="s">
        <v>92</v>
      </c>
      <c r="D32" s="35" t="s">
        <v>181</v>
      </c>
      <c r="E32" s="34">
        <v>108.9</v>
      </c>
      <c r="F32" s="34">
        <f>SUM(E32*78/1000)</f>
        <v>8.4942000000000011</v>
      </c>
      <c r="G32" s="34">
        <v>339.21</v>
      </c>
      <c r="H32" s="114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92</v>
      </c>
      <c r="D33" s="35" t="s">
        <v>53</v>
      </c>
      <c r="E33" s="34">
        <v>331.9</v>
      </c>
      <c r="F33" s="34">
        <f>SUM(E33/1000)</f>
        <v>0.33189999999999997</v>
      </c>
      <c r="G33" s="34">
        <v>3961.23</v>
      </c>
      <c r="H33" s="114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customHeight="1">
      <c r="A34" s="30">
        <v>9</v>
      </c>
      <c r="B34" s="81" t="s">
        <v>143</v>
      </c>
      <c r="C34" s="46" t="s">
        <v>40</v>
      </c>
      <c r="D34" s="35" t="s">
        <v>63</v>
      </c>
      <c r="E34" s="34">
        <v>2</v>
      </c>
      <c r="F34" s="34">
        <v>3.1</v>
      </c>
      <c r="G34" s="34">
        <v>1707.63</v>
      </c>
      <c r="H34" s="114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customHeight="1">
      <c r="A35" s="30">
        <v>10</v>
      </c>
      <c r="B35" s="81" t="s">
        <v>109</v>
      </c>
      <c r="C35" s="46" t="s">
        <v>30</v>
      </c>
      <c r="D35" s="35" t="s">
        <v>63</v>
      </c>
      <c r="E35" s="117">
        <f>1/3</f>
        <v>0.33333333333333331</v>
      </c>
      <c r="F35" s="34">
        <f>155/3</f>
        <v>51.666666666666664</v>
      </c>
      <c r="G35" s="34">
        <v>74.349999999999994</v>
      </c>
      <c r="H35" s="114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65</v>
      </c>
      <c r="C36" s="46" t="s">
        <v>32</v>
      </c>
      <c r="D36" s="35" t="s">
        <v>67</v>
      </c>
      <c r="E36" s="113"/>
      <c r="F36" s="34">
        <v>2</v>
      </c>
      <c r="G36" s="34">
        <v>250.92</v>
      </c>
      <c r="H36" s="114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66</v>
      </c>
      <c r="C37" s="46" t="s">
        <v>31</v>
      </c>
      <c r="D37" s="35" t="s">
        <v>67</v>
      </c>
      <c r="E37" s="113"/>
      <c r="F37" s="34">
        <v>1</v>
      </c>
      <c r="G37" s="34">
        <v>1490.31</v>
      </c>
      <c r="H37" s="114">
        <f t="shared" si="2"/>
        <v>1.49031</v>
      </c>
      <c r="I37" s="13">
        <v>0</v>
      </c>
      <c r="J37" s="24"/>
    </row>
    <row r="38" spans="1:14" ht="15.75" hidden="1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hidden="1" customHeight="1">
      <c r="A39" s="30">
        <v>8</v>
      </c>
      <c r="B39" s="36" t="s">
        <v>25</v>
      </c>
      <c r="C39" s="46" t="s">
        <v>31</v>
      </c>
      <c r="D39" s="35"/>
      <c r="E39" s="113"/>
      <c r="F39" s="34">
        <v>4</v>
      </c>
      <c r="G39" s="34">
        <v>2003</v>
      </c>
      <c r="H39" s="114">
        <f t="shared" ref="H39:H45" si="4">SUM(F39*G39/1000)</f>
        <v>8.0120000000000005</v>
      </c>
      <c r="I39" s="13">
        <f t="shared" ref="I39:I45" si="5">F39/6*G39</f>
        <v>1335.3333333333333</v>
      </c>
      <c r="J39" s="24"/>
      <c r="L39" s="19"/>
      <c r="M39" s="20"/>
      <c r="N39" s="21"/>
    </row>
    <row r="40" spans="1:14" ht="15.75" hidden="1" customHeight="1">
      <c r="A40" s="30">
        <v>9</v>
      </c>
      <c r="B40" s="36" t="s">
        <v>192</v>
      </c>
      <c r="C40" s="55" t="s">
        <v>28</v>
      </c>
      <c r="D40" s="35" t="s">
        <v>90</v>
      </c>
      <c r="E40" s="113">
        <v>108.9</v>
      </c>
      <c r="F40" s="37">
        <f>E40*30/1000</f>
        <v>3.2669999999999999</v>
      </c>
      <c r="G40" s="34">
        <v>2757.78</v>
      </c>
      <c r="H40" s="114">
        <f t="shared" si="4"/>
        <v>9.0096672600000005</v>
      </c>
      <c r="I40" s="13">
        <f t="shared" si="5"/>
        <v>1501.61121</v>
      </c>
      <c r="J40" s="24"/>
      <c r="L40" s="19"/>
      <c r="M40" s="20"/>
      <c r="N40" s="21"/>
    </row>
    <row r="41" spans="1:14" ht="15.75" hidden="1" customHeight="1">
      <c r="A41" s="30">
        <v>10</v>
      </c>
      <c r="B41" s="35" t="s">
        <v>68</v>
      </c>
      <c r="C41" s="46" t="s">
        <v>28</v>
      </c>
      <c r="D41" s="35" t="s">
        <v>91</v>
      </c>
      <c r="E41" s="34">
        <v>108.9</v>
      </c>
      <c r="F41" s="37">
        <f>SUM(E41*155/1000)</f>
        <v>16.8795</v>
      </c>
      <c r="G41" s="34">
        <v>460.02</v>
      </c>
      <c r="H41" s="114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193</v>
      </c>
      <c r="C42" s="46" t="s">
        <v>194</v>
      </c>
      <c r="D42" s="35" t="s">
        <v>67</v>
      </c>
      <c r="E42" s="113"/>
      <c r="F42" s="37">
        <v>39</v>
      </c>
      <c r="G42" s="34">
        <v>314</v>
      </c>
      <c r="H42" s="114">
        <f t="shared" si="4"/>
        <v>12.246</v>
      </c>
      <c r="I42" s="13"/>
      <c r="J42" s="24"/>
      <c r="L42" s="19"/>
      <c r="M42" s="20"/>
      <c r="N42" s="21"/>
    </row>
    <row r="43" spans="1:14" ht="47.25" hidden="1" customHeight="1">
      <c r="A43" s="30">
        <v>11</v>
      </c>
      <c r="B43" s="35" t="s">
        <v>84</v>
      </c>
      <c r="C43" s="46" t="s">
        <v>92</v>
      </c>
      <c r="D43" s="35" t="s">
        <v>127</v>
      </c>
      <c r="E43" s="34">
        <v>40</v>
      </c>
      <c r="F43" s="37">
        <f>SUM(E43*35/1000)</f>
        <v>1.4</v>
      </c>
      <c r="G43" s="34">
        <v>7611.16</v>
      </c>
      <c r="H43" s="114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hidden="1" customHeight="1">
      <c r="A44" s="30">
        <v>12</v>
      </c>
      <c r="B44" s="35" t="s">
        <v>128</v>
      </c>
      <c r="C44" s="46" t="s">
        <v>92</v>
      </c>
      <c r="D44" s="35" t="s">
        <v>69</v>
      </c>
      <c r="E44" s="34">
        <v>108.9</v>
      </c>
      <c r="F44" s="37">
        <f>SUM(E44*45/1000)</f>
        <v>4.9005000000000001</v>
      </c>
      <c r="G44" s="34">
        <v>562.25</v>
      </c>
      <c r="H44" s="114">
        <f t="shared" si="4"/>
        <v>2.7553061250000002</v>
      </c>
      <c r="I44" s="13">
        <f t="shared" si="5"/>
        <v>459.21768750000001</v>
      </c>
      <c r="J44" s="24"/>
      <c r="L44" s="19"/>
      <c r="M44" s="20"/>
      <c r="N44" s="21"/>
    </row>
    <row r="45" spans="1:14" ht="15.75" hidden="1" customHeight="1">
      <c r="A45" s="30">
        <v>13</v>
      </c>
      <c r="B45" s="36" t="s">
        <v>70</v>
      </c>
      <c r="C45" s="55" t="s">
        <v>32</v>
      </c>
      <c r="D45" s="36"/>
      <c r="E45" s="116"/>
      <c r="F45" s="37">
        <v>0.5</v>
      </c>
      <c r="G45" s="37">
        <v>974.83</v>
      </c>
      <c r="H45" s="114">
        <f t="shared" si="4"/>
        <v>0.48741500000000004</v>
      </c>
      <c r="I45" s="13">
        <f t="shared" si="5"/>
        <v>81.235833333333332</v>
      </c>
      <c r="J45" s="24"/>
      <c r="L45" s="19"/>
      <c r="M45" s="20"/>
      <c r="N45" s="21"/>
    </row>
    <row r="46" spans="1:14" ht="15.75" hidden="1" customHeight="1">
      <c r="A46" s="154" t="s">
        <v>138</v>
      </c>
      <c r="B46" s="155"/>
      <c r="C46" s="155"/>
      <c r="D46" s="155"/>
      <c r="E46" s="155"/>
      <c r="F46" s="155"/>
      <c r="G46" s="155"/>
      <c r="H46" s="155"/>
      <c r="I46" s="156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112</v>
      </c>
      <c r="C47" s="46" t="s">
        <v>92</v>
      </c>
      <c r="D47" s="35" t="s">
        <v>42</v>
      </c>
      <c r="E47" s="113">
        <v>838.88</v>
      </c>
      <c r="F47" s="34">
        <f>SUM(E47*2/1000)</f>
        <v>1.6777599999999999</v>
      </c>
      <c r="G47" s="39">
        <v>1062</v>
      </c>
      <c r="H47" s="114">
        <f t="shared" ref="H47:H56" si="6">SUM(F47*G47/1000)</f>
        <v>1.7817811199999998</v>
      </c>
      <c r="I47" s="13">
        <f t="shared" ref="I47:I50" si="7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35</v>
      </c>
      <c r="C48" s="46" t="s">
        <v>92</v>
      </c>
      <c r="D48" s="35" t="s">
        <v>42</v>
      </c>
      <c r="E48" s="113">
        <v>26</v>
      </c>
      <c r="F48" s="34">
        <f>E48*2/1000</f>
        <v>5.1999999999999998E-2</v>
      </c>
      <c r="G48" s="39">
        <v>759.98</v>
      </c>
      <c r="H48" s="114">
        <f t="shared" si="6"/>
        <v>3.9518959999999999E-2</v>
      </c>
      <c r="I48" s="13">
        <f t="shared" si="7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36</v>
      </c>
      <c r="C49" s="46" t="s">
        <v>92</v>
      </c>
      <c r="D49" s="35" t="s">
        <v>42</v>
      </c>
      <c r="E49" s="113">
        <v>879</v>
      </c>
      <c r="F49" s="34">
        <f>SUM(E49*2/1000)</f>
        <v>1.758</v>
      </c>
      <c r="G49" s="39">
        <v>759.98</v>
      </c>
      <c r="H49" s="114">
        <f t="shared" si="6"/>
        <v>1.33604484</v>
      </c>
      <c r="I49" s="13">
        <f t="shared" si="7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37</v>
      </c>
      <c r="C50" s="46" t="s">
        <v>92</v>
      </c>
      <c r="D50" s="35" t="s">
        <v>42</v>
      </c>
      <c r="E50" s="113">
        <v>1490.75</v>
      </c>
      <c r="F50" s="34">
        <f>SUM(E50*2/1000)</f>
        <v>2.9815</v>
      </c>
      <c r="G50" s="39">
        <v>795.82</v>
      </c>
      <c r="H50" s="114">
        <f t="shared" si="6"/>
        <v>2.3727373300000005</v>
      </c>
      <c r="I50" s="13">
        <f t="shared" si="7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33</v>
      </c>
      <c r="C51" s="46" t="s">
        <v>34</v>
      </c>
      <c r="D51" s="35" t="s">
        <v>42</v>
      </c>
      <c r="E51" s="113">
        <v>61.04</v>
      </c>
      <c r="F51" s="34">
        <f>SUM(E51*2/100)</f>
        <v>1.2207999999999999</v>
      </c>
      <c r="G51" s="39">
        <v>95.49</v>
      </c>
      <c r="H51" s="114">
        <f t="shared" si="6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hidden="1" customHeight="1">
      <c r="A52" s="30">
        <v>17</v>
      </c>
      <c r="B52" s="35" t="s">
        <v>56</v>
      </c>
      <c r="C52" s="46" t="s">
        <v>92</v>
      </c>
      <c r="D52" s="35" t="s">
        <v>150</v>
      </c>
      <c r="E52" s="113">
        <v>2135.1999999999998</v>
      </c>
      <c r="F52" s="34">
        <f>SUM(E52*5/1000)</f>
        <v>10.676</v>
      </c>
      <c r="G52" s="39">
        <v>1591.6</v>
      </c>
      <c r="H52" s="114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/>
      <c r="B53" s="35" t="s">
        <v>93</v>
      </c>
      <c r="C53" s="46" t="s">
        <v>92</v>
      </c>
      <c r="D53" s="35" t="s">
        <v>42</v>
      </c>
      <c r="E53" s="113">
        <v>2135.1999999999998</v>
      </c>
      <c r="F53" s="34">
        <f>SUM(E53*2/1000)</f>
        <v>4.2703999999999995</v>
      </c>
      <c r="G53" s="39">
        <v>1591.6</v>
      </c>
      <c r="H53" s="114">
        <f t="shared" si="6"/>
        <v>6.796768639999998</v>
      </c>
      <c r="I53" s="13">
        <v>0</v>
      </c>
      <c r="J53" s="24"/>
      <c r="L53" s="19"/>
      <c r="M53" s="20"/>
      <c r="N53" s="21"/>
    </row>
    <row r="54" spans="1:14" ht="31.5" hidden="1" customHeight="1">
      <c r="A54" s="30"/>
      <c r="B54" s="35" t="s">
        <v>94</v>
      </c>
      <c r="C54" s="46" t="s">
        <v>38</v>
      </c>
      <c r="D54" s="35" t="s">
        <v>42</v>
      </c>
      <c r="E54" s="113">
        <v>10</v>
      </c>
      <c r="F54" s="34">
        <f>SUM(E54*2/100)</f>
        <v>0.2</v>
      </c>
      <c r="G54" s="39">
        <v>3581.13</v>
      </c>
      <c r="H54" s="114">
        <f t="shared" si="6"/>
        <v>0.71622600000000014</v>
      </c>
      <c r="I54" s="13">
        <v>0</v>
      </c>
      <c r="J54" s="24"/>
      <c r="L54" s="19"/>
      <c r="M54" s="20"/>
      <c r="N54" s="21"/>
    </row>
    <row r="55" spans="1:14" ht="15.75" hidden="1" customHeight="1">
      <c r="A55" s="30"/>
      <c r="B55" s="35" t="s">
        <v>39</v>
      </c>
      <c r="C55" s="46" t="s">
        <v>40</v>
      </c>
      <c r="D55" s="35" t="s">
        <v>42</v>
      </c>
      <c r="E55" s="113">
        <v>1</v>
      </c>
      <c r="F55" s="34">
        <v>0.02</v>
      </c>
      <c r="G55" s="39">
        <v>7412.92</v>
      </c>
      <c r="H55" s="114">
        <f t="shared" si="6"/>
        <v>0.14825839999999998</v>
      </c>
      <c r="I55" s="13">
        <v>0</v>
      </c>
      <c r="J55" s="24"/>
      <c r="L55" s="19"/>
      <c r="M55" s="20"/>
      <c r="N55" s="21"/>
    </row>
    <row r="56" spans="1:14" ht="15.75" hidden="1" customHeight="1">
      <c r="A56" s="122">
        <v>18</v>
      </c>
      <c r="B56" s="118" t="s">
        <v>41</v>
      </c>
      <c r="C56" s="119" t="s">
        <v>113</v>
      </c>
      <c r="D56" s="118" t="s">
        <v>71</v>
      </c>
      <c r="E56" s="120">
        <v>80</v>
      </c>
      <c r="F56" s="121">
        <f>SUM(E56)*3</f>
        <v>240</v>
      </c>
      <c r="G56" s="123">
        <v>86.15</v>
      </c>
      <c r="H56" s="124">
        <f t="shared" si="6"/>
        <v>20.675999999999998</v>
      </c>
      <c r="I56" s="125">
        <f>E56*G56</f>
        <v>6892</v>
      </c>
      <c r="J56" s="24"/>
      <c r="L56" s="19"/>
      <c r="M56" s="20"/>
      <c r="N56" s="21"/>
    </row>
    <row r="57" spans="1:14" ht="15.75" customHeight="1">
      <c r="A57" s="146" t="s">
        <v>153</v>
      </c>
      <c r="B57" s="146"/>
      <c r="C57" s="146"/>
      <c r="D57" s="146"/>
      <c r="E57" s="146"/>
      <c r="F57" s="146"/>
      <c r="G57" s="146"/>
      <c r="H57" s="146"/>
      <c r="I57" s="146"/>
      <c r="J57" s="24"/>
      <c r="L57" s="19"/>
      <c r="M57" s="20"/>
      <c r="N57" s="21"/>
    </row>
    <row r="58" spans="1:14" ht="15.75" hidden="1" customHeight="1">
      <c r="A58" s="30"/>
      <c r="B58" s="69" t="s">
        <v>43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16</v>
      </c>
      <c r="B59" s="41" t="s">
        <v>114</v>
      </c>
      <c r="C59" s="42" t="s">
        <v>89</v>
      </c>
      <c r="D59" s="41" t="s">
        <v>115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195</v>
      </c>
      <c r="C60" s="42" t="s">
        <v>196</v>
      </c>
      <c r="D60" s="41" t="s">
        <v>67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69" t="s">
        <v>44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132</v>
      </c>
      <c r="C62" s="42" t="s">
        <v>89</v>
      </c>
      <c r="D62" s="41" t="s">
        <v>53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11</v>
      </c>
      <c r="B63" s="41" t="s">
        <v>197</v>
      </c>
      <c r="C63" s="42" t="s">
        <v>198</v>
      </c>
      <c r="D63" s="41" t="s">
        <v>199</v>
      </c>
      <c r="E63" s="17">
        <v>134.19999999999999</v>
      </c>
      <c r="F63" s="39">
        <f>E63*12</f>
        <v>1610.3999999999999</v>
      </c>
      <c r="G63" s="39">
        <v>2.8</v>
      </c>
      <c r="H63" s="39">
        <f>F63*G63/1000</f>
        <v>4.5091199999999994</v>
      </c>
      <c r="I63" s="13">
        <f>F63/12*G63</f>
        <v>375.75999999999993</v>
      </c>
    </row>
    <row r="64" spans="1:14" ht="15.75" customHeight="1">
      <c r="A64" s="126"/>
      <c r="B64" s="127" t="s">
        <v>45</v>
      </c>
      <c r="C64" s="128"/>
      <c r="D64" s="129"/>
      <c r="E64" s="86"/>
      <c r="F64" s="130"/>
      <c r="G64" s="130"/>
      <c r="H64" s="131" t="s">
        <v>122</v>
      </c>
      <c r="I64" s="132"/>
    </row>
    <row r="65" spans="1:22" ht="15.75" customHeight="1">
      <c r="A65" s="30">
        <v>12</v>
      </c>
      <c r="B65" s="58" t="s">
        <v>46</v>
      </c>
      <c r="C65" s="42" t="s">
        <v>113</v>
      </c>
      <c r="D65" s="41" t="s">
        <v>67</v>
      </c>
      <c r="E65" s="17">
        <v>5</v>
      </c>
      <c r="F65" s="34">
        <f>E65</f>
        <v>5</v>
      </c>
      <c r="G65" s="39">
        <v>291.68</v>
      </c>
      <c r="H65" s="79">
        <f t="shared" ref="H65:H72" si="8">SUM(F65*G65/1000)</f>
        <v>1.4584000000000001</v>
      </c>
      <c r="I65" s="13">
        <f>G65*2</f>
        <v>583.36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47</v>
      </c>
      <c r="C66" s="42" t="s">
        <v>113</v>
      </c>
      <c r="D66" s="41" t="s">
        <v>67</v>
      </c>
      <c r="E66" s="17">
        <v>5</v>
      </c>
      <c r="F66" s="34">
        <f>E66</f>
        <v>5</v>
      </c>
      <c r="G66" s="39">
        <v>100.01</v>
      </c>
      <c r="H66" s="79">
        <f t="shared" si="8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48</v>
      </c>
      <c r="C67" s="44" t="s">
        <v>116</v>
      </c>
      <c r="D67" s="41" t="s">
        <v>53</v>
      </c>
      <c r="E67" s="113">
        <v>10348</v>
      </c>
      <c r="F67" s="40">
        <f>SUM(E67/100)</f>
        <v>103.48</v>
      </c>
      <c r="G67" s="39">
        <v>278.24</v>
      </c>
      <c r="H67" s="79">
        <f t="shared" si="8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49</v>
      </c>
      <c r="C68" s="42" t="s">
        <v>117</v>
      </c>
      <c r="D68" s="41" t="s">
        <v>53</v>
      </c>
      <c r="E68" s="113">
        <v>10348</v>
      </c>
      <c r="F68" s="39">
        <f>SUM(E68/1000)</f>
        <v>10.348000000000001</v>
      </c>
      <c r="G68" s="39">
        <v>216.68</v>
      </c>
      <c r="H68" s="79">
        <f t="shared" si="8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47"/>
      <c r="S68" s="147"/>
      <c r="T68" s="147"/>
      <c r="U68" s="147"/>
    </row>
    <row r="69" spans="1:22" ht="15.75" hidden="1" customHeight="1">
      <c r="A69" s="30"/>
      <c r="B69" s="58" t="s">
        <v>50</v>
      </c>
      <c r="C69" s="42" t="s">
        <v>77</v>
      </c>
      <c r="D69" s="41" t="s">
        <v>53</v>
      </c>
      <c r="E69" s="113">
        <v>1645</v>
      </c>
      <c r="F69" s="39">
        <f>SUM(E69/100)</f>
        <v>16.45</v>
      </c>
      <c r="G69" s="39">
        <v>2720.94</v>
      </c>
      <c r="H69" s="79">
        <f t="shared" si="8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118</v>
      </c>
      <c r="C70" s="42" t="s">
        <v>32</v>
      </c>
      <c r="D70" s="41"/>
      <c r="E70" s="113">
        <v>9</v>
      </c>
      <c r="F70" s="39">
        <f>E70</f>
        <v>9</v>
      </c>
      <c r="G70" s="39">
        <v>42.61</v>
      </c>
      <c r="H70" s="79">
        <f t="shared" si="8"/>
        <v>0.38349</v>
      </c>
      <c r="I70" s="13">
        <v>0</v>
      </c>
    </row>
    <row r="71" spans="1:22" ht="15.75" hidden="1" customHeight="1">
      <c r="A71" s="30"/>
      <c r="B71" s="53" t="s">
        <v>119</v>
      </c>
      <c r="C71" s="42" t="s">
        <v>32</v>
      </c>
      <c r="D71" s="41"/>
      <c r="E71" s="113">
        <v>9</v>
      </c>
      <c r="F71" s="39">
        <f t="shared" ref="F71:F72" si="9">E71</f>
        <v>9</v>
      </c>
      <c r="G71" s="39">
        <v>46.04</v>
      </c>
      <c r="H71" s="79">
        <f t="shared" si="8"/>
        <v>0.41436000000000001</v>
      </c>
      <c r="I71" s="13">
        <v>0</v>
      </c>
    </row>
    <row r="72" spans="1:22" ht="15.75" hidden="1" customHeight="1">
      <c r="A72" s="30">
        <v>21</v>
      </c>
      <c r="B72" s="41" t="s">
        <v>57</v>
      </c>
      <c r="C72" s="42" t="s">
        <v>58</v>
      </c>
      <c r="D72" s="41" t="s">
        <v>53</v>
      </c>
      <c r="E72" s="17">
        <v>2</v>
      </c>
      <c r="F72" s="39">
        <f t="shared" si="9"/>
        <v>2</v>
      </c>
      <c r="G72" s="39">
        <v>65.42</v>
      </c>
      <c r="H72" s="79">
        <f t="shared" si="8"/>
        <v>0.13084000000000001</v>
      </c>
      <c r="I72" s="13">
        <f>F72*G72</f>
        <v>130.84</v>
      </c>
    </row>
    <row r="73" spans="1:22" ht="15.75" customHeight="1">
      <c r="A73" s="30"/>
      <c r="B73" s="69" t="s">
        <v>72</v>
      </c>
      <c r="C73" s="16"/>
      <c r="D73" s="14"/>
      <c r="E73" s="18"/>
      <c r="F73" s="13"/>
      <c r="G73" s="13"/>
      <c r="H73" s="80" t="s">
        <v>122</v>
      </c>
      <c r="I73" s="13"/>
    </row>
    <row r="74" spans="1:22" ht="15.75" hidden="1" customHeight="1">
      <c r="A74" s="30"/>
      <c r="B74" s="14" t="s">
        <v>200</v>
      </c>
      <c r="C74" s="16" t="s">
        <v>201</v>
      </c>
      <c r="D74" s="41" t="s">
        <v>67</v>
      </c>
      <c r="E74" s="18">
        <v>1</v>
      </c>
      <c r="F74" s="13">
        <f>E74</f>
        <v>1</v>
      </c>
      <c r="G74" s="13">
        <v>1029.1199999999999</v>
      </c>
      <c r="H74" s="80">
        <f t="shared" ref="H74:H75" si="10">SUM(F74*G74/1000)</f>
        <v>1.0291199999999998</v>
      </c>
      <c r="I74" s="13">
        <v>0</v>
      </c>
    </row>
    <row r="75" spans="1:22" ht="15.75" hidden="1" customHeight="1">
      <c r="A75" s="30"/>
      <c r="B75" s="14" t="s">
        <v>202</v>
      </c>
      <c r="C75" s="16" t="s">
        <v>203</v>
      </c>
      <c r="D75" s="133"/>
      <c r="E75" s="18">
        <v>1</v>
      </c>
      <c r="F75" s="13">
        <v>1</v>
      </c>
      <c r="G75" s="13">
        <v>735</v>
      </c>
      <c r="H75" s="80">
        <f t="shared" si="10"/>
        <v>0.73499999999999999</v>
      </c>
      <c r="I75" s="13">
        <v>0</v>
      </c>
    </row>
    <row r="76" spans="1:22" ht="15.75" hidden="1" customHeight="1">
      <c r="A76" s="30"/>
      <c r="B76" s="14" t="s">
        <v>73</v>
      </c>
      <c r="C76" s="16" t="s">
        <v>75</v>
      </c>
      <c r="D76" s="41" t="s">
        <v>67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204</v>
      </c>
      <c r="C77" s="16" t="s">
        <v>113</v>
      </c>
      <c r="D77" s="41" t="s">
        <v>67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205</v>
      </c>
      <c r="C78" s="57" t="s">
        <v>113</v>
      </c>
      <c r="D78" s="41" t="s">
        <v>67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13</v>
      </c>
      <c r="B79" s="56" t="s">
        <v>206</v>
      </c>
      <c r="C79" s="57" t="s">
        <v>113</v>
      </c>
      <c r="D79" s="14" t="s">
        <v>29</v>
      </c>
      <c r="E79" s="18">
        <v>2</v>
      </c>
      <c r="F79" s="84">
        <f>E79*12</f>
        <v>24</v>
      </c>
      <c r="G79" s="13">
        <v>53.42</v>
      </c>
      <c r="H79" s="80">
        <f t="shared" ref="H79:H80" si="11">SUM(F79*G79/1000)</f>
        <v>1.2820799999999999</v>
      </c>
      <c r="I79" s="13">
        <f>G79*2</f>
        <v>106.84</v>
      </c>
    </row>
    <row r="80" spans="1:22" ht="31.5" customHeight="1">
      <c r="A80" s="30">
        <v>14</v>
      </c>
      <c r="B80" s="56" t="s">
        <v>207</v>
      </c>
      <c r="C80" s="57" t="s">
        <v>113</v>
      </c>
      <c r="D80" s="14" t="s">
        <v>29</v>
      </c>
      <c r="E80" s="18">
        <v>1</v>
      </c>
      <c r="F80" s="84">
        <f>E80*12</f>
        <v>12</v>
      </c>
      <c r="G80" s="13">
        <v>1194</v>
      </c>
      <c r="H80" s="80">
        <f t="shared" si="11"/>
        <v>14.327999999999999</v>
      </c>
      <c r="I80" s="13">
        <f>G80</f>
        <v>1194</v>
      </c>
    </row>
    <row r="81" spans="1:9" ht="15.75" hidden="1" customHeight="1">
      <c r="A81" s="30"/>
      <c r="B81" s="98" t="s">
        <v>76</v>
      </c>
      <c r="C81" s="16"/>
      <c r="D81" s="14"/>
      <c r="E81" s="18"/>
      <c r="F81" s="13"/>
      <c r="G81" s="13" t="s">
        <v>122</v>
      </c>
      <c r="H81" s="80" t="s">
        <v>122</v>
      </c>
      <c r="I81" s="13"/>
    </row>
    <row r="82" spans="1:9" ht="15.75" hidden="1" customHeight="1">
      <c r="A82" s="30"/>
      <c r="B82" s="43" t="s">
        <v>123</v>
      </c>
      <c r="C82" s="44" t="s">
        <v>77</v>
      </c>
      <c r="D82" s="58"/>
      <c r="E82" s="134"/>
      <c r="F82" s="40">
        <v>0.6</v>
      </c>
      <c r="G82" s="40">
        <v>3619.09</v>
      </c>
      <c r="H82" s="79">
        <f t="shared" ref="H82" si="12">SUM(F82*G82/1000)</f>
        <v>2.1714540000000002</v>
      </c>
      <c r="I82" s="13">
        <v>0</v>
      </c>
    </row>
    <row r="83" spans="1:9" ht="15.75" hidden="1" customHeight="1">
      <c r="A83" s="30"/>
      <c r="B83" s="105" t="s">
        <v>95</v>
      </c>
      <c r="C83" s="98"/>
      <c r="D83" s="32"/>
      <c r="E83" s="33"/>
      <c r="F83" s="87"/>
      <c r="G83" s="87"/>
      <c r="H83" s="99">
        <f>SUM(H59:H82)</f>
        <v>118.31888176</v>
      </c>
      <c r="I83" s="87"/>
    </row>
    <row r="84" spans="1:9" ht="15.75" hidden="1" customHeight="1">
      <c r="A84" s="122">
        <v>17</v>
      </c>
      <c r="B84" s="136" t="s">
        <v>120</v>
      </c>
      <c r="C84" s="137"/>
      <c r="D84" s="138"/>
      <c r="E84" s="135"/>
      <c r="F84" s="139">
        <v>1</v>
      </c>
      <c r="G84" s="139">
        <v>7005.5</v>
      </c>
      <c r="H84" s="140">
        <f>G84*F84/1000</f>
        <v>7.0054999999999996</v>
      </c>
      <c r="I84" s="125">
        <f>G84</f>
        <v>7005.5</v>
      </c>
    </row>
    <row r="85" spans="1:9" ht="15.75" customHeight="1">
      <c r="A85" s="146" t="s">
        <v>154</v>
      </c>
      <c r="B85" s="146"/>
      <c r="C85" s="146"/>
      <c r="D85" s="146"/>
      <c r="E85" s="146"/>
      <c r="F85" s="146"/>
      <c r="G85" s="146"/>
      <c r="H85" s="146"/>
      <c r="I85" s="146"/>
    </row>
    <row r="86" spans="1:9" ht="15.75" customHeight="1">
      <c r="A86" s="30">
        <v>15</v>
      </c>
      <c r="B86" s="41" t="s">
        <v>121</v>
      </c>
      <c r="C86" s="42" t="s">
        <v>54</v>
      </c>
      <c r="D86" s="59" t="s">
        <v>55</v>
      </c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16</v>
      </c>
      <c r="B87" s="14" t="s">
        <v>78</v>
      </c>
      <c r="C87" s="16"/>
      <c r="D87" s="59" t="s">
        <v>55</v>
      </c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81</v>
      </c>
      <c r="C88" s="98"/>
      <c r="D88" s="97"/>
      <c r="E88" s="87"/>
      <c r="F88" s="87"/>
      <c r="G88" s="87"/>
      <c r="H88" s="99">
        <f>H87</f>
        <v>89.678399999999996</v>
      </c>
      <c r="I88" s="87">
        <f>I16+I17+I18+I20+I27+I28+I31+I32+I34+I35++I63+I65+I79+I80+I86+I87</f>
        <v>33672.238773444442</v>
      </c>
    </row>
    <row r="89" spans="1:9" ht="15.75" customHeight="1">
      <c r="A89" s="158" t="s">
        <v>60</v>
      </c>
      <c r="B89" s="159"/>
      <c r="C89" s="159"/>
      <c r="D89" s="159"/>
      <c r="E89" s="159"/>
      <c r="F89" s="159"/>
      <c r="G89" s="159"/>
      <c r="H89" s="159"/>
      <c r="I89" s="160"/>
    </row>
    <row r="90" spans="1:9" ht="15.75" customHeight="1">
      <c r="A90" s="30">
        <v>17</v>
      </c>
      <c r="B90" s="56" t="s">
        <v>124</v>
      </c>
      <c r="C90" s="61" t="s">
        <v>113</v>
      </c>
      <c r="D90" s="60"/>
      <c r="E90" s="39"/>
      <c r="F90" s="39">
        <v>120</v>
      </c>
      <c r="G90" s="39">
        <v>53.42</v>
      </c>
      <c r="H90" s="79">
        <f>G90*F90/1000</f>
        <v>6.410400000000001</v>
      </c>
      <c r="I90" s="13">
        <f>G90*40</f>
        <v>2136.8000000000002</v>
      </c>
    </row>
    <row r="91" spans="1:9" ht="15.75" customHeight="1">
      <c r="A91" s="30">
        <v>18</v>
      </c>
      <c r="B91" s="56" t="s">
        <v>146</v>
      </c>
      <c r="C91" s="57" t="s">
        <v>147</v>
      </c>
      <c r="D91" s="52"/>
      <c r="E91" s="13"/>
      <c r="F91" s="13">
        <v>1</v>
      </c>
      <c r="G91" s="13">
        <v>206.54</v>
      </c>
      <c r="H91" s="80">
        <f>G91*F91/1000</f>
        <v>0.20654</v>
      </c>
      <c r="I91" s="13">
        <f>G91</f>
        <v>206.54</v>
      </c>
    </row>
    <row r="92" spans="1:9" ht="31.5" customHeight="1">
      <c r="A92" s="30">
        <v>19</v>
      </c>
      <c r="B92" s="56" t="s">
        <v>221</v>
      </c>
      <c r="C92" s="57" t="s">
        <v>134</v>
      </c>
      <c r="D92" s="60"/>
      <c r="E92" s="39"/>
      <c r="F92" s="39">
        <v>1</v>
      </c>
      <c r="G92" s="39">
        <v>803.54</v>
      </c>
      <c r="H92" s="79">
        <f t="shared" ref="H92:H93" si="13">G92*F92/1000</f>
        <v>0.80353999999999992</v>
      </c>
      <c r="I92" s="13">
        <f t="shared" ref="I92:I93" si="14">G92</f>
        <v>803.54</v>
      </c>
    </row>
    <row r="93" spans="1:9" ht="31.5" customHeight="1">
      <c r="A93" s="30">
        <v>20</v>
      </c>
      <c r="B93" s="56" t="s">
        <v>133</v>
      </c>
      <c r="C93" s="57" t="s">
        <v>134</v>
      </c>
      <c r="D93" s="60"/>
      <c r="E93" s="39"/>
      <c r="F93" s="39">
        <v>2</v>
      </c>
      <c r="G93" s="39">
        <v>589.84</v>
      </c>
      <c r="H93" s="79">
        <f t="shared" si="13"/>
        <v>1.1796800000000001</v>
      </c>
      <c r="I93" s="13">
        <f t="shared" si="14"/>
        <v>589.84</v>
      </c>
    </row>
    <row r="94" spans="1:9" ht="15.75" customHeight="1">
      <c r="A94" s="30"/>
      <c r="B94" s="50" t="s">
        <v>51</v>
      </c>
      <c r="C94" s="57"/>
      <c r="D94" s="52"/>
      <c r="E94" s="13"/>
      <c r="F94" s="13"/>
      <c r="G94" s="13"/>
      <c r="H94" s="80"/>
      <c r="I94" s="87">
        <f>SUM(I90:I93)</f>
        <v>3736.7200000000003</v>
      </c>
    </row>
    <row r="95" spans="1:9">
      <c r="A95" s="30"/>
      <c r="B95" s="52" t="s">
        <v>79</v>
      </c>
      <c r="C95" s="15"/>
      <c r="D95" s="15"/>
      <c r="E95" s="47"/>
      <c r="F95" s="47"/>
      <c r="G95" s="48"/>
      <c r="H95" s="48"/>
      <c r="I95" s="17">
        <v>0</v>
      </c>
    </row>
    <row r="96" spans="1:9">
      <c r="A96" s="54"/>
      <c r="B96" s="51" t="s">
        <v>169</v>
      </c>
      <c r="C96" s="38"/>
      <c r="D96" s="38"/>
      <c r="E96" s="38"/>
      <c r="F96" s="38"/>
      <c r="G96" s="38"/>
      <c r="H96" s="38"/>
      <c r="I96" s="49">
        <f>I88+I94</f>
        <v>37408.958773444443</v>
      </c>
    </row>
    <row r="97" spans="1:9" ht="15.75" customHeight="1">
      <c r="A97" s="165" t="s">
        <v>222</v>
      </c>
      <c r="B97" s="165"/>
      <c r="C97" s="165"/>
      <c r="D97" s="165"/>
      <c r="E97" s="165"/>
      <c r="F97" s="165"/>
      <c r="G97" s="165"/>
      <c r="H97" s="165"/>
      <c r="I97" s="165"/>
    </row>
    <row r="98" spans="1:9" ht="15.75" customHeight="1">
      <c r="A98" s="68"/>
      <c r="B98" s="166" t="s">
        <v>223</v>
      </c>
      <c r="C98" s="166"/>
      <c r="D98" s="166"/>
      <c r="E98" s="166"/>
      <c r="F98" s="166"/>
      <c r="G98" s="166"/>
      <c r="H98" s="78"/>
      <c r="I98" s="3"/>
    </row>
    <row r="99" spans="1:9">
      <c r="A99" s="74"/>
      <c r="B99" s="163" t="s">
        <v>6</v>
      </c>
      <c r="C99" s="163"/>
      <c r="D99" s="163"/>
      <c r="E99" s="163"/>
      <c r="F99" s="163"/>
      <c r="G99" s="163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67" t="s">
        <v>7</v>
      </c>
      <c r="B101" s="167"/>
      <c r="C101" s="167"/>
      <c r="D101" s="167"/>
      <c r="E101" s="167"/>
      <c r="F101" s="167"/>
      <c r="G101" s="167"/>
      <c r="H101" s="167"/>
      <c r="I101" s="167"/>
    </row>
    <row r="102" spans="1:9" ht="15.75" customHeight="1">
      <c r="A102" s="167" t="s">
        <v>8</v>
      </c>
      <c r="B102" s="167"/>
      <c r="C102" s="167"/>
      <c r="D102" s="167"/>
      <c r="E102" s="167"/>
      <c r="F102" s="167"/>
      <c r="G102" s="167"/>
      <c r="H102" s="167"/>
      <c r="I102" s="167"/>
    </row>
    <row r="103" spans="1:9" ht="15.75">
      <c r="A103" s="144" t="s">
        <v>61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5.75">
      <c r="A104" s="11"/>
    </row>
    <row r="105" spans="1:9" ht="15.75" customHeight="1">
      <c r="A105" s="145" t="s">
        <v>9</v>
      </c>
      <c r="B105" s="145"/>
      <c r="C105" s="145"/>
      <c r="D105" s="145"/>
      <c r="E105" s="145"/>
      <c r="F105" s="145"/>
      <c r="G105" s="145"/>
      <c r="H105" s="145"/>
      <c r="I105" s="145"/>
    </row>
    <row r="106" spans="1:9" ht="15.75" customHeight="1">
      <c r="A106" s="4"/>
    </row>
    <row r="107" spans="1:9" ht="15.75" customHeight="1">
      <c r="B107" s="71" t="s">
        <v>10</v>
      </c>
      <c r="C107" s="162" t="s">
        <v>139</v>
      </c>
      <c r="D107" s="162"/>
      <c r="E107" s="162"/>
      <c r="F107" s="76"/>
      <c r="I107" s="73"/>
    </row>
    <row r="108" spans="1:9" ht="15.75" customHeight="1">
      <c r="A108" s="74"/>
      <c r="C108" s="163" t="s">
        <v>11</v>
      </c>
      <c r="D108" s="163"/>
      <c r="E108" s="163"/>
      <c r="F108" s="25"/>
      <c r="I108" s="72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71" t="s">
        <v>13</v>
      </c>
      <c r="C110" s="164"/>
      <c r="D110" s="164"/>
      <c r="E110" s="164"/>
      <c r="F110" s="77"/>
      <c r="I110" s="73"/>
    </row>
    <row r="111" spans="1:9">
      <c r="A111" s="74"/>
      <c r="C111" s="147" t="s">
        <v>11</v>
      </c>
      <c r="D111" s="147"/>
      <c r="E111" s="147"/>
      <c r="F111" s="74"/>
      <c r="I111" s="72" t="s">
        <v>12</v>
      </c>
    </row>
    <row r="112" spans="1:9" ht="15.75">
      <c r="A112" s="4" t="s">
        <v>14</v>
      </c>
    </row>
    <row r="113" spans="1:9">
      <c r="A113" s="161" t="s">
        <v>15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45" customHeight="1">
      <c r="A114" s="157" t="s">
        <v>16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30" customHeight="1">
      <c r="A115" s="157" t="s">
        <v>17</v>
      </c>
      <c r="B115" s="157"/>
      <c r="C115" s="157"/>
      <c r="D115" s="157"/>
      <c r="E115" s="157"/>
      <c r="F115" s="157"/>
      <c r="G115" s="157"/>
      <c r="H115" s="157"/>
      <c r="I115" s="157"/>
    </row>
    <row r="116" spans="1:9" ht="30" customHeight="1">
      <c r="A116" s="157" t="s">
        <v>21</v>
      </c>
      <c r="B116" s="157"/>
      <c r="C116" s="157"/>
      <c r="D116" s="157"/>
      <c r="E116" s="157"/>
      <c r="F116" s="157"/>
      <c r="G116" s="157"/>
      <c r="H116" s="157"/>
      <c r="I116" s="157"/>
    </row>
    <row r="117" spans="1:9" ht="15" customHeight="1">
      <c r="A117" s="157" t="s">
        <v>20</v>
      </c>
      <c r="B117" s="157"/>
      <c r="C117" s="157"/>
      <c r="D117" s="157"/>
      <c r="E117" s="157"/>
      <c r="F117" s="157"/>
      <c r="G117" s="157"/>
      <c r="H117" s="157"/>
      <c r="I117" s="157"/>
    </row>
  </sheetData>
  <autoFilter ref="I12:I62"/>
  <mergeCells count="29">
    <mergeCell ref="A14:I14"/>
    <mergeCell ref="A15:I15"/>
    <mergeCell ref="A29:I29"/>
    <mergeCell ref="A46:I46"/>
    <mergeCell ref="A57:I57"/>
    <mergeCell ref="A3:I3"/>
    <mergeCell ref="A4:I4"/>
    <mergeCell ref="A5:I5"/>
    <mergeCell ref="A8:I8"/>
    <mergeCell ref="A10:I10"/>
    <mergeCell ref="R68:U68"/>
    <mergeCell ref="C111:E111"/>
    <mergeCell ref="A89:I89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5:I85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224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225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110"/>
      <c r="C6" s="110"/>
      <c r="D6" s="110"/>
      <c r="E6" s="110"/>
      <c r="F6" s="110"/>
      <c r="G6" s="110"/>
      <c r="H6" s="110"/>
      <c r="I6" s="31">
        <v>43069</v>
      </c>
      <c r="J6" s="2"/>
      <c r="K6" s="2"/>
      <c r="L6" s="2"/>
      <c r="M6" s="2"/>
    </row>
    <row r="7" spans="1:13" ht="15.75">
      <c r="B7" s="106"/>
      <c r="C7" s="106"/>
      <c r="D7" s="10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213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35" t="s">
        <v>88</v>
      </c>
      <c r="C16" s="46" t="s">
        <v>89</v>
      </c>
      <c r="D16" s="35" t="s">
        <v>164</v>
      </c>
      <c r="E16" s="113">
        <v>37.78</v>
      </c>
      <c r="F16" s="34">
        <f>SUM(E16*156/100)</f>
        <v>58.936800000000005</v>
      </c>
      <c r="G16" s="34">
        <v>230</v>
      </c>
      <c r="H16" s="114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141</v>
      </c>
      <c r="C17" s="46" t="s">
        <v>89</v>
      </c>
      <c r="D17" s="35" t="s">
        <v>165</v>
      </c>
      <c r="E17" s="113">
        <v>151.12</v>
      </c>
      <c r="F17" s="34">
        <f>SUM(E17*104/100)</f>
        <v>157.16479999999999</v>
      </c>
      <c r="G17" s="34">
        <v>230</v>
      </c>
      <c r="H17" s="114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142</v>
      </c>
      <c r="C18" s="46" t="s">
        <v>89</v>
      </c>
      <c r="D18" s="35" t="s">
        <v>166</v>
      </c>
      <c r="E18" s="113">
        <v>188.9</v>
      </c>
      <c r="F18" s="34">
        <f>SUM(E18*24/100)</f>
        <v>45.336000000000006</v>
      </c>
      <c r="G18" s="34">
        <v>661.67</v>
      </c>
      <c r="H18" s="114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96</v>
      </c>
      <c r="C19" s="46" t="s">
        <v>97</v>
      </c>
      <c r="D19" s="35" t="s">
        <v>98</v>
      </c>
      <c r="E19" s="113">
        <v>18</v>
      </c>
      <c r="F19" s="34">
        <f>SUM(E19/10)</f>
        <v>1.8</v>
      </c>
      <c r="G19" s="34">
        <v>223.17</v>
      </c>
      <c r="H19" s="114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99</v>
      </c>
      <c r="C20" s="46" t="s">
        <v>89</v>
      </c>
      <c r="D20" s="35" t="s">
        <v>29</v>
      </c>
      <c r="E20" s="113">
        <v>14.6</v>
      </c>
      <c r="F20" s="34">
        <f>SUM(E20*12/100)</f>
        <v>1.7519999999999998</v>
      </c>
      <c r="G20" s="34">
        <v>285.76</v>
      </c>
      <c r="H20" s="114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100</v>
      </c>
      <c r="C21" s="46" t="s">
        <v>89</v>
      </c>
      <c r="D21" s="35" t="s">
        <v>42</v>
      </c>
      <c r="E21" s="113">
        <v>2.7</v>
      </c>
      <c r="F21" s="34">
        <f>SUM(E21*2/100)</f>
        <v>5.4000000000000006E-2</v>
      </c>
      <c r="G21" s="34">
        <v>283.44</v>
      </c>
      <c r="H21" s="114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101</v>
      </c>
      <c r="C22" s="46" t="s">
        <v>52</v>
      </c>
      <c r="D22" s="35" t="s">
        <v>98</v>
      </c>
      <c r="E22" s="113">
        <v>259.2</v>
      </c>
      <c r="F22" s="34">
        <f>SUM(E22/100)</f>
        <v>2.5920000000000001</v>
      </c>
      <c r="G22" s="34">
        <v>353.14</v>
      </c>
      <c r="H22" s="114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102</v>
      </c>
      <c r="C23" s="46" t="s">
        <v>52</v>
      </c>
      <c r="D23" s="35" t="s">
        <v>98</v>
      </c>
      <c r="E23" s="115">
        <v>24.15</v>
      </c>
      <c r="F23" s="34">
        <f>SUM(E23/100)</f>
        <v>0.24149999999999999</v>
      </c>
      <c r="G23" s="34">
        <v>58.08</v>
      </c>
      <c r="H23" s="114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103</v>
      </c>
      <c r="C24" s="46" t="s">
        <v>52</v>
      </c>
      <c r="D24" s="35" t="s">
        <v>104</v>
      </c>
      <c r="E24" s="113">
        <v>10</v>
      </c>
      <c r="F24" s="34">
        <f>E24/100</f>
        <v>0.1</v>
      </c>
      <c r="G24" s="34">
        <v>511.12</v>
      </c>
      <c r="H24" s="114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105</v>
      </c>
      <c r="C25" s="46" t="s">
        <v>52</v>
      </c>
      <c r="D25" s="35" t="s">
        <v>53</v>
      </c>
      <c r="E25" s="113">
        <v>9.5</v>
      </c>
      <c r="F25" s="34">
        <f>E25/100</f>
        <v>9.5000000000000001E-2</v>
      </c>
      <c r="G25" s="34">
        <v>283.44</v>
      </c>
      <c r="H25" s="114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106</v>
      </c>
      <c r="C26" s="46" t="s">
        <v>52</v>
      </c>
      <c r="D26" s="35" t="s">
        <v>98</v>
      </c>
      <c r="E26" s="113">
        <v>4.25</v>
      </c>
      <c r="F26" s="34">
        <f>SUM(E26/100)</f>
        <v>4.2500000000000003E-2</v>
      </c>
      <c r="G26" s="34">
        <v>683.05</v>
      </c>
      <c r="H26" s="114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64</v>
      </c>
      <c r="C27" s="46" t="s">
        <v>32</v>
      </c>
      <c r="D27" s="35" t="s">
        <v>191</v>
      </c>
      <c r="E27" s="116">
        <v>0.1</v>
      </c>
      <c r="F27" s="34">
        <f>SUM(E27*182)</f>
        <v>18.2</v>
      </c>
      <c r="G27" s="34">
        <v>264.85000000000002</v>
      </c>
      <c r="H27" s="114">
        <f t="shared" ref="H27:H28" si="1">SUM(F27*G27/1000)</f>
        <v>4.8202700000000007</v>
      </c>
      <c r="I27" s="13">
        <f>F27/12*G27</f>
        <v>401.68916666666667</v>
      </c>
      <c r="J27" s="24"/>
    </row>
    <row r="28" spans="1:13" ht="15.75" customHeight="1">
      <c r="A28" s="30">
        <v>6</v>
      </c>
      <c r="B28" s="89" t="s">
        <v>23</v>
      </c>
      <c r="C28" s="82" t="s">
        <v>24</v>
      </c>
      <c r="D28" s="35" t="s">
        <v>220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si="1"/>
        <v>91.728191999999993</v>
      </c>
      <c r="I28" s="13">
        <f>F28/12*G28</f>
        <v>7644.0159999999996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hidden="1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hidden="1" customHeight="1">
      <c r="A31" s="30">
        <v>7</v>
      </c>
      <c r="B31" s="81" t="s">
        <v>111</v>
      </c>
      <c r="C31" s="46" t="s">
        <v>92</v>
      </c>
      <c r="D31" s="35" t="s">
        <v>180</v>
      </c>
      <c r="E31" s="34">
        <v>331.9</v>
      </c>
      <c r="F31" s="34">
        <f>SUM(E31*52/1000)</f>
        <v>17.258800000000001</v>
      </c>
      <c r="G31" s="34">
        <v>204.44</v>
      </c>
      <c r="H31" s="114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hidden="1" customHeight="1">
      <c r="A32" s="30">
        <v>8</v>
      </c>
      <c r="B32" s="81" t="s">
        <v>110</v>
      </c>
      <c r="C32" s="46" t="s">
        <v>92</v>
      </c>
      <c r="D32" s="35" t="s">
        <v>181</v>
      </c>
      <c r="E32" s="34">
        <v>108.9</v>
      </c>
      <c r="F32" s="34">
        <f>SUM(E32*78/1000)</f>
        <v>8.4942000000000011</v>
      </c>
      <c r="G32" s="34">
        <v>339.21</v>
      </c>
      <c r="H32" s="114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92</v>
      </c>
      <c r="D33" s="35" t="s">
        <v>53</v>
      </c>
      <c r="E33" s="34">
        <v>331.9</v>
      </c>
      <c r="F33" s="34">
        <f>SUM(E33/1000)</f>
        <v>0.33189999999999997</v>
      </c>
      <c r="G33" s="34">
        <v>3961.23</v>
      </c>
      <c r="H33" s="114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hidden="1" customHeight="1">
      <c r="A34" s="30">
        <v>9</v>
      </c>
      <c r="B34" s="81" t="s">
        <v>143</v>
      </c>
      <c r="C34" s="46" t="s">
        <v>40</v>
      </c>
      <c r="D34" s="35" t="s">
        <v>63</v>
      </c>
      <c r="E34" s="34">
        <v>2</v>
      </c>
      <c r="F34" s="34">
        <v>3.1</v>
      </c>
      <c r="G34" s="34">
        <v>1707.63</v>
      </c>
      <c r="H34" s="114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hidden="1" customHeight="1">
      <c r="A35" s="30">
        <v>10</v>
      </c>
      <c r="B35" s="81" t="s">
        <v>109</v>
      </c>
      <c r="C35" s="46" t="s">
        <v>30</v>
      </c>
      <c r="D35" s="35" t="s">
        <v>63</v>
      </c>
      <c r="E35" s="117">
        <f>1/3</f>
        <v>0.33333333333333331</v>
      </c>
      <c r="F35" s="34">
        <f>155/3</f>
        <v>51.666666666666664</v>
      </c>
      <c r="G35" s="34">
        <v>74.349999999999994</v>
      </c>
      <c r="H35" s="114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65</v>
      </c>
      <c r="C36" s="46" t="s">
        <v>32</v>
      </c>
      <c r="D36" s="35" t="s">
        <v>67</v>
      </c>
      <c r="E36" s="113"/>
      <c r="F36" s="34">
        <v>2</v>
      </c>
      <c r="G36" s="34">
        <v>250.92</v>
      </c>
      <c r="H36" s="114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66</v>
      </c>
      <c r="C37" s="46" t="s">
        <v>31</v>
      </c>
      <c r="D37" s="35" t="s">
        <v>67</v>
      </c>
      <c r="E37" s="113"/>
      <c r="F37" s="34">
        <v>1</v>
      </c>
      <c r="G37" s="34">
        <v>1490.31</v>
      </c>
      <c r="H37" s="114">
        <f t="shared" si="2"/>
        <v>1.49031</v>
      </c>
      <c r="I37" s="13">
        <v>0</v>
      </c>
      <c r="J37" s="24"/>
    </row>
    <row r="38" spans="1:14" ht="15.75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customHeight="1">
      <c r="A39" s="30">
        <v>8</v>
      </c>
      <c r="B39" s="36" t="s">
        <v>25</v>
      </c>
      <c r="C39" s="46" t="s">
        <v>31</v>
      </c>
      <c r="D39" s="35"/>
      <c r="E39" s="113"/>
      <c r="F39" s="34">
        <v>4</v>
      </c>
      <c r="G39" s="34">
        <v>2003</v>
      </c>
      <c r="H39" s="114">
        <f t="shared" ref="H39:H45" si="4">SUM(F39*G39/1000)</f>
        <v>8.0120000000000005</v>
      </c>
      <c r="I39" s="13">
        <f t="shared" ref="I39:I45" si="5">F39/6*G39</f>
        <v>1335.3333333333333</v>
      </c>
      <c r="J39" s="24"/>
      <c r="L39" s="19"/>
      <c r="M39" s="20"/>
      <c r="N39" s="21"/>
    </row>
    <row r="40" spans="1:14" ht="15.75" customHeight="1">
      <c r="A40" s="30">
        <v>9</v>
      </c>
      <c r="B40" s="36" t="s">
        <v>192</v>
      </c>
      <c r="C40" s="55" t="s">
        <v>28</v>
      </c>
      <c r="D40" s="35" t="s">
        <v>90</v>
      </c>
      <c r="E40" s="113">
        <v>108.9</v>
      </c>
      <c r="F40" s="37">
        <f>E40*30/1000</f>
        <v>3.2669999999999999</v>
      </c>
      <c r="G40" s="34">
        <v>2757.78</v>
      </c>
      <c r="H40" s="114">
        <f t="shared" si="4"/>
        <v>9.0096672600000005</v>
      </c>
      <c r="I40" s="13">
        <f t="shared" si="5"/>
        <v>1501.61121</v>
      </c>
      <c r="J40" s="24"/>
      <c r="L40" s="19"/>
      <c r="M40" s="20"/>
      <c r="N40" s="21"/>
    </row>
    <row r="41" spans="1:14" ht="15.75" customHeight="1">
      <c r="A41" s="30">
        <v>10</v>
      </c>
      <c r="B41" s="35" t="s">
        <v>68</v>
      </c>
      <c r="C41" s="46" t="s">
        <v>28</v>
      </c>
      <c r="D41" s="35" t="s">
        <v>91</v>
      </c>
      <c r="E41" s="34">
        <v>108.9</v>
      </c>
      <c r="F41" s="37">
        <f>SUM(E41*155/1000)</f>
        <v>16.8795</v>
      </c>
      <c r="G41" s="34">
        <v>460.02</v>
      </c>
      <c r="H41" s="114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193</v>
      </c>
      <c r="C42" s="46" t="s">
        <v>194</v>
      </c>
      <c r="D42" s="35" t="s">
        <v>67</v>
      </c>
      <c r="E42" s="113"/>
      <c r="F42" s="37">
        <v>39</v>
      </c>
      <c r="G42" s="34">
        <v>314</v>
      </c>
      <c r="H42" s="114">
        <f t="shared" si="4"/>
        <v>12.246</v>
      </c>
      <c r="I42" s="13"/>
      <c r="J42" s="24"/>
      <c r="L42" s="19"/>
      <c r="M42" s="20"/>
      <c r="N42" s="21"/>
    </row>
    <row r="43" spans="1:14" ht="47.25" customHeight="1">
      <c r="A43" s="30">
        <v>11</v>
      </c>
      <c r="B43" s="35" t="s">
        <v>84</v>
      </c>
      <c r="C43" s="46" t="s">
        <v>92</v>
      </c>
      <c r="D43" s="35" t="s">
        <v>127</v>
      </c>
      <c r="E43" s="34">
        <v>40</v>
      </c>
      <c r="F43" s="37">
        <f>SUM(E43*35/1000)</f>
        <v>1.4</v>
      </c>
      <c r="G43" s="34">
        <v>7611.16</v>
      </c>
      <c r="H43" s="114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hidden="1" customHeight="1">
      <c r="A44" s="30">
        <v>12</v>
      </c>
      <c r="B44" s="35" t="s">
        <v>128</v>
      </c>
      <c r="C44" s="46" t="s">
        <v>92</v>
      </c>
      <c r="D44" s="35" t="s">
        <v>69</v>
      </c>
      <c r="E44" s="34">
        <v>108.9</v>
      </c>
      <c r="F44" s="37">
        <f>SUM(E44*45/1000)</f>
        <v>4.9005000000000001</v>
      </c>
      <c r="G44" s="34">
        <v>562.25</v>
      </c>
      <c r="H44" s="114">
        <f t="shared" si="4"/>
        <v>2.7553061250000002</v>
      </c>
      <c r="I44" s="13">
        <f t="shared" si="5"/>
        <v>459.21768750000001</v>
      </c>
      <c r="J44" s="24"/>
      <c r="L44" s="19"/>
      <c r="M44" s="20"/>
      <c r="N44" s="21"/>
    </row>
    <row r="45" spans="1:14" ht="15.75" customHeight="1">
      <c r="A45" s="30">
        <v>12</v>
      </c>
      <c r="B45" s="36" t="s">
        <v>70</v>
      </c>
      <c r="C45" s="55" t="s">
        <v>32</v>
      </c>
      <c r="D45" s="36"/>
      <c r="E45" s="116"/>
      <c r="F45" s="37">
        <v>0.5</v>
      </c>
      <c r="G45" s="37">
        <v>974.83</v>
      </c>
      <c r="H45" s="114">
        <f t="shared" si="4"/>
        <v>0.48741500000000004</v>
      </c>
      <c r="I45" s="13">
        <f t="shared" si="5"/>
        <v>81.235833333333332</v>
      </c>
      <c r="J45" s="24"/>
      <c r="L45" s="19"/>
      <c r="M45" s="20"/>
      <c r="N45" s="21"/>
    </row>
    <row r="46" spans="1:14" ht="15.75" customHeight="1">
      <c r="A46" s="154" t="s">
        <v>138</v>
      </c>
      <c r="B46" s="155"/>
      <c r="C46" s="155"/>
      <c r="D46" s="155"/>
      <c r="E46" s="155"/>
      <c r="F46" s="155"/>
      <c r="G46" s="155"/>
      <c r="H46" s="155"/>
      <c r="I46" s="156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112</v>
      </c>
      <c r="C47" s="46" t="s">
        <v>92</v>
      </c>
      <c r="D47" s="35" t="s">
        <v>42</v>
      </c>
      <c r="E47" s="113">
        <v>838.88</v>
      </c>
      <c r="F47" s="34">
        <f>SUM(E47*2/1000)</f>
        <v>1.6777599999999999</v>
      </c>
      <c r="G47" s="39">
        <v>1062</v>
      </c>
      <c r="H47" s="114">
        <f t="shared" ref="H47:H56" si="6">SUM(F47*G47/1000)</f>
        <v>1.7817811199999998</v>
      </c>
      <c r="I47" s="13">
        <f t="shared" ref="I47:I50" si="7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35</v>
      </c>
      <c r="C48" s="46" t="s">
        <v>92</v>
      </c>
      <c r="D48" s="35" t="s">
        <v>42</v>
      </c>
      <c r="E48" s="113">
        <v>26</v>
      </c>
      <c r="F48" s="34">
        <f>E48*2/1000</f>
        <v>5.1999999999999998E-2</v>
      </c>
      <c r="G48" s="39">
        <v>759.98</v>
      </c>
      <c r="H48" s="114">
        <f t="shared" si="6"/>
        <v>3.9518959999999999E-2</v>
      </c>
      <c r="I48" s="13">
        <f t="shared" si="7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36</v>
      </c>
      <c r="C49" s="46" t="s">
        <v>92</v>
      </c>
      <c r="D49" s="35" t="s">
        <v>42</v>
      </c>
      <c r="E49" s="113">
        <v>879</v>
      </c>
      <c r="F49" s="34">
        <f>SUM(E49*2/1000)</f>
        <v>1.758</v>
      </c>
      <c r="G49" s="39">
        <v>759.98</v>
      </c>
      <c r="H49" s="114">
        <f t="shared" si="6"/>
        <v>1.33604484</v>
      </c>
      <c r="I49" s="13">
        <f t="shared" si="7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37</v>
      </c>
      <c r="C50" s="46" t="s">
        <v>92</v>
      </c>
      <c r="D50" s="35" t="s">
        <v>42</v>
      </c>
      <c r="E50" s="113">
        <v>1490.75</v>
      </c>
      <c r="F50" s="34">
        <f>SUM(E50*2/1000)</f>
        <v>2.9815</v>
      </c>
      <c r="G50" s="39">
        <v>795.82</v>
      </c>
      <c r="H50" s="114">
        <f t="shared" si="6"/>
        <v>2.3727373300000005</v>
      </c>
      <c r="I50" s="13">
        <f t="shared" si="7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33</v>
      </c>
      <c r="C51" s="46" t="s">
        <v>34</v>
      </c>
      <c r="D51" s="35" t="s">
        <v>42</v>
      </c>
      <c r="E51" s="113">
        <v>61.04</v>
      </c>
      <c r="F51" s="34">
        <f>SUM(E51*2/100)</f>
        <v>1.2207999999999999</v>
      </c>
      <c r="G51" s="39">
        <v>95.49</v>
      </c>
      <c r="H51" s="114">
        <f t="shared" si="6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hidden="1" customHeight="1">
      <c r="A52" s="30">
        <v>17</v>
      </c>
      <c r="B52" s="35" t="s">
        <v>56</v>
      </c>
      <c r="C52" s="46" t="s">
        <v>92</v>
      </c>
      <c r="D52" s="35" t="s">
        <v>150</v>
      </c>
      <c r="E52" s="113">
        <v>2135.1999999999998</v>
      </c>
      <c r="F52" s="34">
        <f>SUM(E52*5/1000)</f>
        <v>10.676</v>
      </c>
      <c r="G52" s="39">
        <v>1591.6</v>
      </c>
      <c r="H52" s="114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customHeight="1">
      <c r="A53" s="30">
        <v>13</v>
      </c>
      <c r="B53" s="35" t="s">
        <v>93</v>
      </c>
      <c r="C53" s="46" t="s">
        <v>92</v>
      </c>
      <c r="D53" s="35" t="s">
        <v>42</v>
      </c>
      <c r="E53" s="113">
        <v>2135.1999999999998</v>
      </c>
      <c r="F53" s="34">
        <f>SUM(E53*2/1000)</f>
        <v>4.2703999999999995</v>
      </c>
      <c r="G53" s="39">
        <v>1591.6</v>
      </c>
      <c r="H53" s="114">
        <f t="shared" si="6"/>
        <v>6.796768639999998</v>
      </c>
      <c r="I53" s="13">
        <f>F53/2*G53</f>
        <v>3398.3843199999992</v>
      </c>
      <c r="J53" s="24"/>
      <c r="L53" s="19"/>
      <c r="M53" s="20"/>
      <c r="N53" s="21"/>
    </row>
    <row r="54" spans="1:14" ht="31.5" customHeight="1">
      <c r="A54" s="30">
        <v>14</v>
      </c>
      <c r="B54" s="35" t="s">
        <v>94</v>
      </c>
      <c r="C54" s="46" t="s">
        <v>38</v>
      </c>
      <c r="D54" s="35" t="s">
        <v>42</v>
      </c>
      <c r="E54" s="113">
        <v>10</v>
      </c>
      <c r="F54" s="34">
        <f>SUM(E54*2/100)</f>
        <v>0.2</v>
      </c>
      <c r="G54" s="39">
        <v>3581.13</v>
      </c>
      <c r="H54" s="114">
        <f t="shared" si="6"/>
        <v>0.71622600000000014</v>
      </c>
      <c r="I54" s="13">
        <f t="shared" ref="I54:I55" si="8">F54/2*G54</f>
        <v>358.11300000000006</v>
      </c>
      <c r="J54" s="24"/>
      <c r="L54" s="19"/>
      <c r="M54" s="20"/>
      <c r="N54" s="21"/>
    </row>
    <row r="55" spans="1:14" ht="15.75" customHeight="1">
      <c r="A55" s="30">
        <v>15</v>
      </c>
      <c r="B55" s="35" t="s">
        <v>39</v>
      </c>
      <c r="C55" s="46" t="s">
        <v>40</v>
      </c>
      <c r="D55" s="35" t="s">
        <v>42</v>
      </c>
      <c r="E55" s="113">
        <v>1</v>
      </c>
      <c r="F55" s="34">
        <v>0.02</v>
      </c>
      <c r="G55" s="39">
        <v>7412.92</v>
      </c>
      <c r="H55" s="114">
        <f t="shared" si="6"/>
        <v>0.14825839999999998</v>
      </c>
      <c r="I55" s="13">
        <f t="shared" si="8"/>
        <v>74.129199999999997</v>
      </c>
      <c r="J55" s="24"/>
      <c r="L55" s="19"/>
      <c r="M55" s="20"/>
      <c r="N55" s="21"/>
    </row>
    <row r="56" spans="1:14" ht="15.75" hidden="1" customHeight="1">
      <c r="A56" s="122">
        <v>18</v>
      </c>
      <c r="B56" s="118" t="s">
        <v>41</v>
      </c>
      <c r="C56" s="119" t="s">
        <v>113</v>
      </c>
      <c r="D56" s="118" t="s">
        <v>71</v>
      </c>
      <c r="E56" s="120">
        <v>80</v>
      </c>
      <c r="F56" s="121">
        <f>SUM(E56)*3</f>
        <v>240</v>
      </c>
      <c r="G56" s="123">
        <v>86.15</v>
      </c>
      <c r="H56" s="124">
        <f t="shared" si="6"/>
        <v>20.675999999999998</v>
      </c>
      <c r="I56" s="125">
        <f>E56*G56</f>
        <v>6892</v>
      </c>
      <c r="J56" s="24"/>
      <c r="L56" s="19"/>
      <c r="M56" s="20"/>
      <c r="N56" s="21"/>
    </row>
    <row r="57" spans="1:14" ht="15.75" customHeight="1">
      <c r="A57" s="146" t="s">
        <v>137</v>
      </c>
      <c r="B57" s="146"/>
      <c r="C57" s="146"/>
      <c r="D57" s="146"/>
      <c r="E57" s="146"/>
      <c r="F57" s="146"/>
      <c r="G57" s="146"/>
      <c r="H57" s="146"/>
      <c r="I57" s="146"/>
      <c r="J57" s="24"/>
      <c r="L57" s="19"/>
      <c r="M57" s="20"/>
      <c r="N57" s="21"/>
    </row>
    <row r="58" spans="1:14" ht="15.75" customHeight="1">
      <c r="A58" s="30"/>
      <c r="B58" s="111" t="s">
        <v>43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customHeight="1">
      <c r="A59" s="30">
        <v>16</v>
      </c>
      <c r="B59" s="41" t="s">
        <v>114</v>
      </c>
      <c r="C59" s="42" t="s">
        <v>89</v>
      </c>
      <c r="D59" s="41" t="s">
        <v>115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195</v>
      </c>
      <c r="C60" s="42" t="s">
        <v>196</v>
      </c>
      <c r="D60" s="41" t="s">
        <v>67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111" t="s">
        <v>44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132</v>
      </c>
      <c r="C62" s="42" t="s">
        <v>89</v>
      </c>
      <c r="D62" s="41" t="s">
        <v>53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17</v>
      </c>
      <c r="B63" s="41" t="s">
        <v>197</v>
      </c>
      <c r="C63" s="42" t="s">
        <v>198</v>
      </c>
      <c r="D63" s="41" t="s">
        <v>199</v>
      </c>
      <c r="E63" s="17">
        <v>134.19999999999999</v>
      </c>
      <c r="F63" s="39">
        <f>E63*12</f>
        <v>1610.3999999999999</v>
      </c>
      <c r="G63" s="39">
        <v>2.8</v>
      </c>
      <c r="H63" s="39">
        <f>F63*G63/1000</f>
        <v>4.5091199999999994</v>
      </c>
      <c r="I63" s="13">
        <f>F63/12*G63</f>
        <v>375.75999999999993</v>
      </c>
    </row>
    <row r="64" spans="1:14" ht="15.75" hidden="1" customHeight="1">
      <c r="A64" s="126"/>
      <c r="B64" s="127" t="s">
        <v>45</v>
      </c>
      <c r="C64" s="128"/>
      <c r="D64" s="129"/>
      <c r="E64" s="86"/>
      <c r="F64" s="130"/>
      <c r="G64" s="130"/>
      <c r="H64" s="131" t="s">
        <v>122</v>
      </c>
      <c r="I64" s="132"/>
    </row>
    <row r="65" spans="1:22" ht="15.75" hidden="1" customHeight="1">
      <c r="A65" s="30">
        <v>12</v>
      </c>
      <c r="B65" s="58" t="s">
        <v>46</v>
      </c>
      <c r="C65" s="42" t="s">
        <v>113</v>
      </c>
      <c r="D65" s="41" t="s">
        <v>67</v>
      </c>
      <c r="E65" s="17">
        <v>5</v>
      </c>
      <c r="F65" s="34">
        <f>E65</f>
        <v>5</v>
      </c>
      <c r="G65" s="39">
        <v>291.68</v>
      </c>
      <c r="H65" s="79">
        <f t="shared" ref="H65:H72" si="9">SUM(F65*G65/1000)</f>
        <v>1.4584000000000001</v>
      </c>
      <c r="I65" s="13">
        <f>G65*2</f>
        <v>583.36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47</v>
      </c>
      <c r="C66" s="42" t="s">
        <v>113</v>
      </c>
      <c r="D66" s="41" t="s">
        <v>67</v>
      </c>
      <c r="E66" s="17">
        <v>5</v>
      </c>
      <c r="F66" s="34">
        <f>E66</f>
        <v>5</v>
      </c>
      <c r="G66" s="39">
        <v>100.01</v>
      </c>
      <c r="H66" s="79">
        <f t="shared" si="9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48</v>
      </c>
      <c r="C67" s="44" t="s">
        <v>116</v>
      </c>
      <c r="D67" s="41" t="s">
        <v>53</v>
      </c>
      <c r="E67" s="113">
        <v>10348</v>
      </c>
      <c r="F67" s="40">
        <f>SUM(E67/100)</f>
        <v>103.48</v>
      </c>
      <c r="G67" s="39">
        <v>278.24</v>
      </c>
      <c r="H67" s="79">
        <f t="shared" si="9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49</v>
      </c>
      <c r="C68" s="42" t="s">
        <v>117</v>
      </c>
      <c r="D68" s="41" t="s">
        <v>53</v>
      </c>
      <c r="E68" s="113">
        <v>10348</v>
      </c>
      <c r="F68" s="39">
        <f>SUM(E68/1000)</f>
        <v>10.348000000000001</v>
      </c>
      <c r="G68" s="39">
        <v>216.68</v>
      </c>
      <c r="H68" s="79">
        <f t="shared" si="9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47"/>
      <c r="S68" s="147"/>
      <c r="T68" s="147"/>
      <c r="U68" s="147"/>
    </row>
    <row r="69" spans="1:22" ht="15.75" hidden="1" customHeight="1">
      <c r="A69" s="30"/>
      <c r="B69" s="58" t="s">
        <v>50</v>
      </c>
      <c r="C69" s="42" t="s">
        <v>77</v>
      </c>
      <c r="D69" s="41" t="s">
        <v>53</v>
      </c>
      <c r="E69" s="113">
        <v>1645</v>
      </c>
      <c r="F69" s="39">
        <f>SUM(E69/100)</f>
        <v>16.45</v>
      </c>
      <c r="G69" s="39">
        <v>2720.94</v>
      </c>
      <c r="H69" s="79">
        <f t="shared" si="9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118</v>
      </c>
      <c r="C70" s="42" t="s">
        <v>32</v>
      </c>
      <c r="D70" s="41"/>
      <c r="E70" s="113">
        <v>9</v>
      </c>
      <c r="F70" s="39">
        <f>E70</f>
        <v>9</v>
      </c>
      <c r="G70" s="39">
        <v>42.61</v>
      </c>
      <c r="H70" s="79">
        <f t="shared" si="9"/>
        <v>0.38349</v>
      </c>
      <c r="I70" s="13">
        <v>0</v>
      </c>
    </row>
    <row r="71" spans="1:22" ht="15.75" hidden="1" customHeight="1">
      <c r="A71" s="30"/>
      <c r="B71" s="53" t="s">
        <v>119</v>
      </c>
      <c r="C71" s="42" t="s">
        <v>32</v>
      </c>
      <c r="D71" s="41"/>
      <c r="E71" s="113">
        <v>9</v>
      </c>
      <c r="F71" s="39">
        <f t="shared" ref="F71:F72" si="10">E71</f>
        <v>9</v>
      </c>
      <c r="G71" s="39">
        <v>46.04</v>
      </c>
      <c r="H71" s="79">
        <f t="shared" si="9"/>
        <v>0.41436000000000001</v>
      </c>
      <c r="I71" s="13">
        <v>0</v>
      </c>
    </row>
    <row r="72" spans="1:22" ht="15.75" hidden="1" customHeight="1">
      <c r="A72" s="30">
        <v>21</v>
      </c>
      <c r="B72" s="41" t="s">
        <v>57</v>
      </c>
      <c r="C72" s="42" t="s">
        <v>58</v>
      </c>
      <c r="D72" s="41" t="s">
        <v>53</v>
      </c>
      <c r="E72" s="17">
        <v>2</v>
      </c>
      <c r="F72" s="39">
        <f t="shared" si="10"/>
        <v>2</v>
      </c>
      <c r="G72" s="39">
        <v>65.42</v>
      </c>
      <c r="H72" s="79">
        <f t="shared" si="9"/>
        <v>0.13084000000000001</v>
      </c>
      <c r="I72" s="13">
        <f>F72*G72</f>
        <v>130.84</v>
      </c>
    </row>
    <row r="73" spans="1:22" ht="15.75" customHeight="1">
      <c r="A73" s="30"/>
      <c r="B73" s="111" t="s">
        <v>72</v>
      </c>
      <c r="C73" s="16"/>
      <c r="D73" s="14"/>
      <c r="E73" s="18"/>
      <c r="F73" s="13"/>
      <c r="G73" s="13"/>
      <c r="H73" s="80" t="s">
        <v>122</v>
      </c>
      <c r="I73" s="13"/>
    </row>
    <row r="74" spans="1:22" ht="15.75" hidden="1" customHeight="1">
      <c r="A74" s="30"/>
      <c r="B74" s="14" t="s">
        <v>200</v>
      </c>
      <c r="C74" s="16" t="s">
        <v>201</v>
      </c>
      <c r="D74" s="41" t="s">
        <v>67</v>
      </c>
      <c r="E74" s="18">
        <v>1</v>
      </c>
      <c r="F74" s="13">
        <f>E74</f>
        <v>1</v>
      </c>
      <c r="G74" s="13">
        <v>1029.1199999999999</v>
      </c>
      <c r="H74" s="80">
        <f t="shared" ref="H74:H75" si="11">SUM(F74*G74/1000)</f>
        <v>1.0291199999999998</v>
      </c>
      <c r="I74" s="13">
        <v>0</v>
      </c>
    </row>
    <row r="75" spans="1:22" ht="15.75" hidden="1" customHeight="1">
      <c r="A75" s="30"/>
      <c r="B75" s="14" t="s">
        <v>202</v>
      </c>
      <c r="C75" s="16" t="s">
        <v>203</v>
      </c>
      <c r="D75" s="133"/>
      <c r="E75" s="18">
        <v>1</v>
      </c>
      <c r="F75" s="13">
        <v>1</v>
      </c>
      <c r="G75" s="13">
        <v>735</v>
      </c>
      <c r="H75" s="80">
        <f t="shared" si="11"/>
        <v>0.73499999999999999</v>
      </c>
      <c r="I75" s="13">
        <v>0</v>
      </c>
    </row>
    <row r="76" spans="1:22" ht="15.75" hidden="1" customHeight="1">
      <c r="A76" s="30"/>
      <c r="B76" s="14" t="s">
        <v>73</v>
      </c>
      <c r="C76" s="16" t="s">
        <v>75</v>
      </c>
      <c r="D76" s="41" t="s">
        <v>67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204</v>
      </c>
      <c r="C77" s="16" t="s">
        <v>113</v>
      </c>
      <c r="D77" s="41" t="s">
        <v>67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205</v>
      </c>
      <c r="C78" s="57" t="s">
        <v>113</v>
      </c>
      <c r="D78" s="41" t="s">
        <v>67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18</v>
      </c>
      <c r="B79" s="56" t="s">
        <v>206</v>
      </c>
      <c r="C79" s="57" t="s">
        <v>113</v>
      </c>
      <c r="D79" s="14" t="s">
        <v>29</v>
      </c>
      <c r="E79" s="18">
        <v>2</v>
      </c>
      <c r="F79" s="84">
        <f>E79*12</f>
        <v>24</v>
      </c>
      <c r="G79" s="13">
        <v>53.42</v>
      </c>
      <c r="H79" s="80">
        <f t="shared" ref="H79:H80" si="12">SUM(F79*G79/1000)</f>
        <v>1.2820799999999999</v>
      </c>
      <c r="I79" s="13">
        <f>G79*2</f>
        <v>106.84</v>
      </c>
    </row>
    <row r="80" spans="1:22" ht="31.5" customHeight="1">
      <c r="A80" s="30">
        <v>19</v>
      </c>
      <c r="B80" s="56" t="s">
        <v>207</v>
      </c>
      <c r="C80" s="57" t="s">
        <v>113</v>
      </c>
      <c r="D80" s="14" t="s">
        <v>29</v>
      </c>
      <c r="E80" s="18">
        <v>1</v>
      </c>
      <c r="F80" s="84">
        <f>E80*12</f>
        <v>12</v>
      </c>
      <c r="G80" s="13">
        <v>1194</v>
      </c>
      <c r="H80" s="80">
        <f t="shared" si="12"/>
        <v>14.327999999999999</v>
      </c>
      <c r="I80" s="13">
        <f>G80</f>
        <v>1194</v>
      </c>
    </row>
    <row r="81" spans="1:9" ht="15.75" hidden="1" customHeight="1">
      <c r="A81" s="30"/>
      <c r="B81" s="98" t="s">
        <v>76</v>
      </c>
      <c r="C81" s="16"/>
      <c r="D81" s="14"/>
      <c r="E81" s="18"/>
      <c r="F81" s="13"/>
      <c r="G81" s="13" t="s">
        <v>122</v>
      </c>
      <c r="H81" s="80" t="s">
        <v>122</v>
      </c>
      <c r="I81" s="13"/>
    </row>
    <row r="82" spans="1:9" ht="15.75" hidden="1" customHeight="1">
      <c r="A82" s="30"/>
      <c r="B82" s="43" t="s">
        <v>123</v>
      </c>
      <c r="C82" s="44" t="s">
        <v>77</v>
      </c>
      <c r="D82" s="58"/>
      <c r="E82" s="134"/>
      <c r="F82" s="40">
        <v>0.6</v>
      </c>
      <c r="G82" s="40">
        <v>3619.09</v>
      </c>
      <c r="H82" s="79">
        <f t="shared" ref="H82" si="13">SUM(F82*G82/1000)</f>
        <v>2.1714540000000002</v>
      </c>
      <c r="I82" s="13">
        <v>0</v>
      </c>
    </row>
    <row r="83" spans="1:9" ht="15.75" hidden="1" customHeight="1">
      <c r="A83" s="30"/>
      <c r="B83" s="105" t="s">
        <v>95</v>
      </c>
      <c r="C83" s="98"/>
      <c r="D83" s="32"/>
      <c r="E83" s="33"/>
      <c r="F83" s="87"/>
      <c r="G83" s="87"/>
      <c r="H83" s="99">
        <f>SUM(H59:H82)</f>
        <v>118.31888176</v>
      </c>
      <c r="I83" s="87"/>
    </row>
    <row r="84" spans="1:9" ht="15.75" hidden="1" customHeight="1">
      <c r="A84" s="122">
        <v>17</v>
      </c>
      <c r="B84" s="136" t="s">
        <v>120</v>
      </c>
      <c r="C84" s="137"/>
      <c r="D84" s="138"/>
      <c r="E84" s="135"/>
      <c r="F84" s="139">
        <v>1</v>
      </c>
      <c r="G84" s="139">
        <v>7005.5</v>
      </c>
      <c r="H84" s="140">
        <f>G84*F84/1000</f>
        <v>7.0054999999999996</v>
      </c>
      <c r="I84" s="125">
        <f>G84</f>
        <v>7005.5</v>
      </c>
    </row>
    <row r="85" spans="1:9" ht="15.75" customHeight="1">
      <c r="A85" s="146" t="s">
        <v>136</v>
      </c>
      <c r="B85" s="146"/>
      <c r="C85" s="146"/>
      <c r="D85" s="146"/>
      <c r="E85" s="146"/>
      <c r="F85" s="146"/>
      <c r="G85" s="146"/>
      <c r="H85" s="146"/>
      <c r="I85" s="146"/>
    </row>
    <row r="86" spans="1:9" ht="15.75" customHeight="1">
      <c r="A86" s="30">
        <v>20</v>
      </c>
      <c r="B86" s="41" t="s">
        <v>121</v>
      </c>
      <c r="C86" s="42" t="s">
        <v>54</v>
      </c>
      <c r="D86" s="59" t="s">
        <v>55</v>
      </c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21</v>
      </c>
      <c r="B87" s="14" t="s">
        <v>78</v>
      </c>
      <c r="C87" s="16"/>
      <c r="D87" s="59" t="s">
        <v>55</v>
      </c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81</v>
      </c>
      <c r="C88" s="98"/>
      <c r="D88" s="97"/>
      <c r="E88" s="87"/>
      <c r="F88" s="87"/>
      <c r="G88" s="87"/>
      <c r="H88" s="99">
        <f>H87</f>
        <v>89.678399999999996</v>
      </c>
      <c r="I88" s="87">
        <f>I16+I17+I18+I20+I27+I28+I39+I40+I41+I43+I45+I53+I54+I55+I59+I63+I79+I80+I86+I87</f>
        <v>41432.889834999994</v>
      </c>
    </row>
    <row r="89" spans="1:9" ht="15.75" customHeight="1">
      <c r="A89" s="158" t="s">
        <v>60</v>
      </c>
      <c r="B89" s="159"/>
      <c r="C89" s="159"/>
      <c r="D89" s="159"/>
      <c r="E89" s="159"/>
      <c r="F89" s="159"/>
      <c r="G89" s="159"/>
      <c r="H89" s="159"/>
      <c r="I89" s="160"/>
    </row>
    <row r="90" spans="1:9" ht="15.75" customHeight="1">
      <c r="A90" s="30">
        <v>22</v>
      </c>
      <c r="B90" s="56" t="s">
        <v>124</v>
      </c>
      <c r="C90" s="61" t="s">
        <v>113</v>
      </c>
      <c r="D90" s="60"/>
      <c r="E90" s="39"/>
      <c r="F90" s="39">
        <v>120</v>
      </c>
      <c r="G90" s="39">
        <v>53.42</v>
      </c>
      <c r="H90" s="79">
        <f>G90*F90/1000</f>
        <v>6.410400000000001</v>
      </c>
      <c r="I90" s="13">
        <f>G90*40</f>
        <v>2136.8000000000002</v>
      </c>
    </row>
    <row r="91" spans="1:9" ht="31.5" customHeight="1">
      <c r="A91" s="30">
        <v>23</v>
      </c>
      <c r="B91" s="141" t="s">
        <v>226</v>
      </c>
      <c r="C91" s="61" t="s">
        <v>28</v>
      </c>
      <c r="D91" s="60"/>
      <c r="E91" s="39"/>
      <c r="F91" s="142">
        <f>0.001</f>
        <v>1E-3</v>
      </c>
      <c r="G91" s="39">
        <v>1591.6</v>
      </c>
      <c r="H91" s="143">
        <f t="shared" ref="H91:H94" si="14">G91*F91/1000</f>
        <v>1.5915999999999999E-3</v>
      </c>
      <c r="I91" s="13">
        <f>G91*0.001</f>
        <v>1.5915999999999999</v>
      </c>
    </row>
    <row r="92" spans="1:9" ht="15.75" customHeight="1">
      <c r="A92" s="30">
        <v>24</v>
      </c>
      <c r="B92" s="56" t="s">
        <v>227</v>
      </c>
      <c r="C92" s="61" t="s">
        <v>203</v>
      </c>
      <c r="D92" s="60"/>
      <c r="E92" s="39"/>
      <c r="F92" s="39">
        <v>1</v>
      </c>
      <c r="G92" s="13">
        <v>122000</v>
      </c>
      <c r="H92" s="13">
        <f t="shared" si="14"/>
        <v>122</v>
      </c>
      <c r="I92" s="13">
        <f>G92</f>
        <v>122000</v>
      </c>
    </row>
    <row r="93" spans="1:9" ht="31.5" customHeight="1">
      <c r="A93" s="30">
        <v>25</v>
      </c>
      <c r="B93" s="56" t="s">
        <v>168</v>
      </c>
      <c r="C93" s="16" t="s">
        <v>30</v>
      </c>
      <c r="D93" s="52"/>
      <c r="E93" s="13"/>
      <c r="F93" s="13">
        <v>1</v>
      </c>
      <c r="G93" s="13">
        <v>83.36</v>
      </c>
      <c r="H93" s="13">
        <f t="shared" si="14"/>
        <v>8.3360000000000004E-2</v>
      </c>
      <c r="I93" s="13">
        <f t="shared" ref="I93" si="15">G93</f>
        <v>83.36</v>
      </c>
    </row>
    <row r="94" spans="1:9" ht="31.5" customHeight="1">
      <c r="A94" s="30">
        <v>26</v>
      </c>
      <c r="B94" s="56" t="s">
        <v>83</v>
      </c>
      <c r="C94" s="61" t="s">
        <v>38</v>
      </c>
      <c r="D94" s="60"/>
      <c r="E94" s="39"/>
      <c r="F94" s="39">
        <v>0.01</v>
      </c>
      <c r="G94" s="39">
        <v>3581.13</v>
      </c>
      <c r="H94" s="79">
        <f t="shared" si="14"/>
        <v>3.5811300000000004E-2</v>
      </c>
      <c r="I94" s="13">
        <f>G94*0.01</f>
        <v>35.811300000000003</v>
      </c>
    </row>
    <row r="95" spans="1:9" ht="15.75" customHeight="1">
      <c r="A95" s="30"/>
      <c r="B95" s="50" t="s">
        <v>51</v>
      </c>
      <c r="C95" s="57"/>
      <c r="D95" s="52"/>
      <c r="E95" s="13"/>
      <c r="F95" s="13"/>
      <c r="G95" s="13"/>
      <c r="H95" s="80"/>
      <c r="I95" s="87">
        <f>SUM(I90:I94)</f>
        <v>124257.5629</v>
      </c>
    </row>
    <row r="96" spans="1:9">
      <c r="A96" s="30"/>
      <c r="B96" s="52" t="s">
        <v>79</v>
      </c>
      <c r="C96" s="15"/>
      <c r="D96" s="15"/>
      <c r="E96" s="47"/>
      <c r="F96" s="47"/>
      <c r="G96" s="48"/>
      <c r="H96" s="48"/>
      <c r="I96" s="17">
        <v>0</v>
      </c>
    </row>
    <row r="97" spans="1:9">
      <c r="A97" s="54"/>
      <c r="B97" s="51" t="s">
        <v>169</v>
      </c>
      <c r="C97" s="38"/>
      <c r="D97" s="38"/>
      <c r="E97" s="38"/>
      <c r="F97" s="38"/>
      <c r="G97" s="38"/>
      <c r="H97" s="38"/>
      <c r="I97" s="49">
        <f>I88+I95</f>
        <v>165690.452735</v>
      </c>
    </row>
    <row r="98" spans="1:9" ht="15.75" customHeight="1">
      <c r="A98" s="165" t="s">
        <v>236</v>
      </c>
      <c r="B98" s="165"/>
      <c r="C98" s="165"/>
      <c r="D98" s="165"/>
      <c r="E98" s="165"/>
      <c r="F98" s="165"/>
      <c r="G98" s="165"/>
      <c r="H98" s="165"/>
      <c r="I98" s="165"/>
    </row>
    <row r="99" spans="1:9" ht="15.75" customHeight="1">
      <c r="A99" s="68"/>
      <c r="B99" s="166" t="s">
        <v>237</v>
      </c>
      <c r="C99" s="166"/>
      <c r="D99" s="166"/>
      <c r="E99" s="166"/>
      <c r="F99" s="166"/>
      <c r="G99" s="166"/>
      <c r="H99" s="78"/>
      <c r="I99" s="3"/>
    </row>
    <row r="100" spans="1:9">
      <c r="A100" s="109"/>
      <c r="B100" s="163" t="s">
        <v>6</v>
      </c>
      <c r="C100" s="163"/>
      <c r="D100" s="163"/>
      <c r="E100" s="163"/>
      <c r="F100" s="163"/>
      <c r="G100" s="163"/>
      <c r="H100" s="25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67" t="s">
        <v>7</v>
      </c>
      <c r="B102" s="167"/>
      <c r="C102" s="167"/>
      <c r="D102" s="167"/>
      <c r="E102" s="167"/>
      <c r="F102" s="167"/>
      <c r="G102" s="167"/>
      <c r="H102" s="167"/>
      <c r="I102" s="167"/>
    </row>
    <row r="103" spans="1:9" ht="15.75" customHeight="1">
      <c r="A103" s="167" t="s">
        <v>8</v>
      </c>
      <c r="B103" s="167"/>
      <c r="C103" s="167"/>
      <c r="D103" s="167"/>
      <c r="E103" s="167"/>
      <c r="F103" s="167"/>
      <c r="G103" s="167"/>
      <c r="H103" s="167"/>
      <c r="I103" s="167"/>
    </row>
    <row r="104" spans="1:9" ht="15.75">
      <c r="A104" s="144" t="s">
        <v>61</v>
      </c>
      <c r="B104" s="144"/>
      <c r="C104" s="144"/>
      <c r="D104" s="144"/>
      <c r="E104" s="144"/>
      <c r="F104" s="144"/>
      <c r="G104" s="144"/>
      <c r="H104" s="144"/>
      <c r="I104" s="144"/>
    </row>
    <row r="105" spans="1:9" ht="15.75">
      <c r="A105" s="11"/>
    </row>
    <row r="106" spans="1:9" ht="15.75" customHeight="1">
      <c r="A106" s="145" t="s">
        <v>9</v>
      </c>
      <c r="B106" s="145"/>
      <c r="C106" s="145"/>
      <c r="D106" s="145"/>
      <c r="E106" s="145"/>
      <c r="F106" s="145"/>
      <c r="G106" s="145"/>
      <c r="H106" s="145"/>
      <c r="I106" s="145"/>
    </row>
    <row r="107" spans="1:9" ht="15.75" customHeight="1">
      <c r="A107" s="4"/>
    </row>
    <row r="108" spans="1:9" ht="15.75" customHeight="1">
      <c r="B108" s="106" t="s">
        <v>10</v>
      </c>
      <c r="C108" s="162" t="s">
        <v>139</v>
      </c>
      <c r="D108" s="162"/>
      <c r="E108" s="162"/>
      <c r="F108" s="76"/>
      <c r="I108" s="108"/>
    </row>
    <row r="109" spans="1:9" ht="15.75" customHeight="1">
      <c r="A109" s="109"/>
      <c r="C109" s="163" t="s">
        <v>11</v>
      </c>
      <c r="D109" s="163"/>
      <c r="E109" s="163"/>
      <c r="F109" s="25"/>
      <c r="I109" s="107" t="s">
        <v>12</v>
      </c>
    </row>
    <row r="110" spans="1:9" ht="15.75" customHeight="1">
      <c r="A110" s="26"/>
      <c r="C110" s="12"/>
      <c r="D110" s="12"/>
      <c r="G110" s="12"/>
      <c r="H110" s="12"/>
    </row>
    <row r="111" spans="1:9" ht="15.75" customHeight="1">
      <c r="B111" s="106" t="s">
        <v>13</v>
      </c>
      <c r="C111" s="164"/>
      <c r="D111" s="164"/>
      <c r="E111" s="164"/>
      <c r="F111" s="77"/>
      <c r="I111" s="108"/>
    </row>
    <row r="112" spans="1:9">
      <c r="A112" s="109"/>
      <c r="C112" s="147" t="s">
        <v>11</v>
      </c>
      <c r="D112" s="147"/>
      <c r="E112" s="147"/>
      <c r="F112" s="109"/>
      <c r="I112" s="107" t="s">
        <v>12</v>
      </c>
    </row>
    <row r="113" spans="1:9" ht="15.75">
      <c r="A113" s="4" t="s">
        <v>14</v>
      </c>
    </row>
    <row r="114" spans="1:9">
      <c r="A114" s="161" t="s">
        <v>15</v>
      </c>
      <c r="B114" s="161"/>
      <c r="C114" s="161"/>
      <c r="D114" s="161"/>
      <c r="E114" s="161"/>
      <c r="F114" s="161"/>
      <c r="G114" s="161"/>
      <c r="H114" s="161"/>
      <c r="I114" s="161"/>
    </row>
    <row r="115" spans="1:9" ht="45" customHeight="1">
      <c r="A115" s="157" t="s">
        <v>16</v>
      </c>
      <c r="B115" s="157"/>
      <c r="C115" s="157"/>
      <c r="D115" s="157"/>
      <c r="E115" s="157"/>
      <c r="F115" s="157"/>
      <c r="G115" s="157"/>
      <c r="H115" s="157"/>
      <c r="I115" s="157"/>
    </row>
    <row r="116" spans="1:9" ht="30" customHeight="1">
      <c r="A116" s="157" t="s">
        <v>17</v>
      </c>
      <c r="B116" s="157"/>
      <c r="C116" s="157"/>
      <c r="D116" s="157"/>
      <c r="E116" s="157"/>
      <c r="F116" s="157"/>
      <c r="G116" s="157"/>
      <c r="H116" s="157"/>
      <c r="I116" s="157"/>
    </row>
    <row r="117" spans="1:9" ht="30" customHeight="1">
      <c r="A117" s="157" t="s">
        <v>21</v>
      </c>
      <c r="B117" s="157"/>
      <c r="C117" s="157"/>
      <c r="D117" s="157"/>
      <c r="E117" s="157"/>
      <c r="F117" s="157"/>
      <c r="G117" s="157"/>
      <c r="H117" s="157"/>
      <c r="I117" s="157"/>
    </row>
    <row r="118" spans="1:9" ht="15" customHeight="1">
      <c r="A118" s="157" t="s">
        <v>20</v>
      </c>
      <c r="B118" s="157"/>
      <c r="C118" s="157"/>
      <c r="D118" s="157"/>
      <c r="E118" s="157"/>
      <c r="F118" s="157"/>
      <c r="G118" s="157"/>
      <c r="H118" s="157"/>
      <c r="I118" s="157"/>
    </row>
  </sheetData>
  <autoFilter ref="I12:I62"/>
  <mergeCells count="29">
    <mergeCell ref="A114:I114"/>
    <mergeCell ref="A115:I115"/>
    <mergeCell ref="A116:I116"/>
    <mergeCell ref="A117:I117"/>
    <mergeCell ref="A118:I118"/>
    <mergeCell ref="R68:U68"/>
    <mergeCell ref="C112:E112"/>
    <mergeCell ref="A89:I89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230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228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110"/>
      <c r="C6" s="110"/>
      <c r="D6" s="110"/>
      <c r="E6" s="110"/>
      <c r="F6" s="110"/>
      <c r="G6" s="110"/>
      <c r="H6" s="110"/>
      <c r="I6" s="31">
        <v>43100</v>
      </c>
      <c r="J6" s="2"/>
      <c r="K6" s="2"/>
      <c r="L6" s="2"/>
      <c r="M6" s="2"/>
    </row>
    <row r="7" spans="1:13" ht="15.75">
      <c r="B7" s="106"/>
      <c r="C7" s="106"/>
      <c r="D7" s="10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213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35" t="s">
        <v>88</v>
      </c>
      <c r="C16" s="46" t="s">
        <v>89</v>
      </c>
      <c r="D16" s="35" t="s">
        <v>164</v>
      </c>
      <c r="E16" s="113">
        <v>37.78</v>
      </c>
      <c r="F16" s="34">
        <f>SUM(E16*156/100)</f>
        <v>58.936800000000005</v>
      </c>
      <c r="G16" s="34">
        <v>230</v>
      </c>
      <c r="H16" s="114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141</v>
      </c>
      <c r="C17" s="46" t="s">
        <v>89</v>
      </c>
      <c r="D17" s="35" t="s">
        <v>165</v>
      </c>
      <c r="E17" s="113">
        <v>151.12</v>
      </c>
      <c r="F17" s="34">
        <f>SUM(E17*104/100)</f>
        <v>157.16479999999999</v>
      </c>
      <c r="G17" s="34">
        <v>230</v>
      </c>
      <c r="H17" s="114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142</v>
      </c>
      <c r="C18" s="46" t="s">
        <v>89</v>
      </c>
      <c r="D18" s="35" t="s">
        <v>166</v>
      </c>
      <c r="E18" s="113">
        <v>188.9</v>
      </c>
      <c r="F18" s="34">
        <f>SUM(E18*24/100)</f>
        <v>45.336000000000006</v>
      </c>
      <c r="G18" s="34">
        <v>661.67</v>
      </c>
      <c r="H18" s="114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96</v>
      </c>
      <c r="C19" s="46" t="s">
        <v>97</v>
      </c>
      <c r="D19" s="35" t="s">
        <v>98</v>
      </c>
      <c r="E19" s="113">
        <v>18</v>
      </c>
      <c r="F19" s="34">
        <f>SUM(E19/10)</f>
        <v>1.8</v>
      </c>
      <c r="G19" s="34">
        <v>223.17</v>
      </c>
      <c r="H19" s="114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99</v>
      </c>
      <c r="C20" s="46" t="s">
        <v>89</v>
      </c>
      <c r="D20" s="35" t="s">
        <v>29</v>
      </c>
      <c r="E20" s="113">
        <v>14.6</v>
      </c>
      <c r="F20" s="34">
        <f>SUM(E20*12/100)</f>
        <v>1.7519999999999998</v>
      </c>
      <c r="G20" s="34">
        <v>285.76</v>
      </c>
      <c r="H20" s="114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100</v>
      </c>
      <c r="C21" s="46" t="s">
        <v>89</v>
      </c>
      <c r="D21" s="35" t="s">
        <v>42</v>
      </c>
      <c r="E21" s="113">
        <v>2.7</v>
      </c>
      <c r="F21" s="34">
        <f>SUM(E21*2/100)</f>
        <v>5.4000000000000006E-2</v>
      </c>
      <c r="G21" s="34">
        <v>283.44</v>
      </c>
      <c r="H21" s="114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101</v>
      </c>
      <c r="C22" s="46" t="s">
        <v>52</v>
      </c>
      <c r="D22" s="35" t="s">
        <v>98</v>
      </c>
      <c r="E22" s="113">
        <v>259.2</v>
      </c>
      <c r="F22" s="34">
        <f>SUM(E22/100)</f>
        <v>2.5920000000000001</v>
      </c>
      <c r="G22" s="34">
        <v>353.14</v>
      </c>
      <c r="H22" s="114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102</v>
      </c>
      <c r="C23" s="46" t="s">
        <v>52</v>
      </c>
      <c r="D23" s="35" t="s">
        <v>98</v>
      </c>
      <c r="E23" s="115">
        <v>24.15</v>
      </c>
      <c r="F23" s="34">
        <f>SUM(E23/100)</f>
        <v>0.24149999999999999</v>
      </c>
      <c r="G23" s="34">
        <v>58.08</v>
      </c>
      <c r="H23" s="114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103</v>
      </c>
      <c r="C24" s="46" t="s">
        <v>52</v>
      </c>
      <c r="D24" s="35" t="s">
        <v>104</v>
      </c>
      <c r="E24" s="113">
        <v>10</v>
      </c>
      <c r="F24" s="34">
        <f>E24/100</f>
        <v>0.1</v>
      </c>
      <c r="G24" s="34">
        <v>511.12</v>
      </c>
      <c r="H24" s="114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105</v>
      </c>
      <c r="C25" s="46" t="s">
        <v>52</v>
      </c>
      <c r="D25" s="35" t="s">
        <v>53</v>
      </c>
      <c r="E25" s="113">
        <v>9.5</v>
      </c>
      <c r="F25" s="34">
        <f>E25/100</f>
        <v>9.5000000000000001E-2</v>
      </c>
      <c r="G25" s="34">
        <v>283.44</v>
      </c>
      <c r="H25" s="114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106</v>
      </c>
      <c r="C26" s="46" t="s">
        <v>52</v>
      </c>
      <c r="D26" s="35" t="s">
        <v>98</v>
      </c>
      <c r="E26" s="113">
        <v>4.25</v>
      </c>
      <c r="F26" s="34">
        <f>SUM(E26/100)</f>
        <v>4.2500000000000003E-2</v>
      </c>
      <c r="G26" s="34">
        <v>683.05</v>
      </c>
      <c r="H26" s="114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64</v>
      </c>
      <c r="C27" s="46" t="s">
        <v>32</v>
      </c>
      <c r="D27" s="35" t="s">
        <v>191</v>
      </c>
      <c r="E27" s="116">
        <v>0.1</v>
      </c>
      <c r="F27" s="34">
        <f>SUM(E27*182)</f>
        <v>18.2</v>
      </c>
      <c r="G27" s="34">
        <v>264.85000000000002</v>
      </c>
      <c r="H27" s="114">
        <f t="shared" ref="H27:H28" si="1">SUM(F27*G27/1000)</f>
        <v>4.8202700000000007</v>
      </c>
      <c r="I27" s="13">
        <f>F27/12*G27</f>
        <v>401.68916666666667</v>
      </c>
      <c r="J27" s="24"/>
    </row>
    <row r="28" spans="1:13" ht="15.75" customHeight="1">
      <c r="A28" s="30">
        <v>6</v>
      </c>
      <c r="B28" s="89" t="s">
        <v>23</v>
      </c>
      <c r="C28" s="82" t="s">
        <v>24</v>
      </c>
      <c r="D28" s="35" t="s">
        <v>220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si="1"/>
        <v>91.728191999999993</v>
      </c>
      <c r="I28" s="13">
        <f>F28/12*G28</f>
        <v>7644.0159999999996</v>
      </c>
      <c r="J28" s="24"/>
    </row>
    <row r="29" spans="1:13" ht="15.75" customHeight="1">
      <c r="A29" s="154" t="s">
        <v>229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hidden="1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hidden="1" customHeight="1">
      <c r="A31" s="30">
        <v>7</v>
      </c>
      <c r="B31" s="81" t="s">
        <v>111</v>
      </c>
      <c r="C31" s="46" t="s">
        <v>92</v>
      </c>
      <c r="D31" s="35" t="s">
        <v>180</v>
      </c>
      <c r="E31" s="34">
        <v>331.9</v>
      </c>
      <c r="F31" s="34">
        <f>SUM(E31*52/1000)</f>
        <v>17.258800000000001</v>
      </c>
      <c r="G31" s="34">
        <v>204.44</v>
      </c>
      <c r="H31" s="114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hidden="1" customHeight="1">
      <c r="A32" s="30">
        <v>8</v>
      </c>
      <c r="B32" s="81" t="s">
        <v>110</v>
      </c>
      <c r="C32" s="46" t="s">
        <v>92</v>
      </c>
      <c r="D32" s="35" t="s">
        <v>181</v>
      </c>
      <c r="E32" s="34">
        <v>108.9</v>
      </c>
      <c r="F32" s="34">
        <f>SUM(E32*78/1000)</f>
        <v>8.4942000000000011</v>
      </c>
      <c r="G32" s="34">
        <v>339.21</v>
      </c>
      <c r="H32" s="114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92</v>
      </c>
      <c r="D33" s="35" t="s">
        <v>53</v>
      </c>
      <c r="E33" s="34">
        <v>331.9</v>
      </c>
      <c r="F33" s="34">
        <f>SUM(E33/1000)</f>
        <v>0.33189999999999997</v>
      </c>
      <c r="G33" s="34">
        <v>3961.23</v>
      </c>
      <c r="H33" s="114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hidden="1" customHeight="1">
      <c r="A34" s="30">
        <v>9</v>
      </c>
      <c r="B34" s="81" t="s">
        <v>143</v>
      </c>
      <c r="C34" s="46" t="s">
        <v>40</v>
      </c>
      <c r="D34" s="35" t="s">
        <v>63</v>
      </c>
      <c r="E34" s="34">
        <v>2</v>
      </c>
      <c r="F34" s="34">
        <v>3.1</v>
      </c>
      <c r="G34" s="34">
        <v>1707.63</v>
      </c>
      <c r="H34" s="114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hidden="1" customHeight="1">
      <c r="A35" s="30">
        <v>10</v>
      </c>
      <c r="B35" s="81" t="s">
        <v>109</v>
      </c>
      <c r="C35" s="46" t="s">
        <v>30</v>
      </c>
      <c r="D35" s="35" t="s">
        <v>63</v>
      </c>
      <c r="E35" s="117">
        <f>1/3</f>
        <v>0.33333333333333331</v>
      </c>
      <c r="F35" s="34">
        <f>155/3</f>
        <v>51.666666666666664</v>
      </c>
      <c r="G35" s="34">
        <v>74.349999999999994</v>
      </c>
      <c r="H35" s="114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65</v>
      </c>
      <c r="C36" s="46" t="s">
        <v>32</v>
      </c>
      <c r="D36" s="35" t="s">
        <v>67</v>
      </c>
      <c r="E36" s="113"/>
      <c r="F36" s="34">
        <v>2</v>
      </c>
      <c r="G36" s="34">
        <v>250.92</v>
      </c>
      <c r="H36" s="114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66</v>
      </c>
      <c r="C37" s="46" t="s">
        <v>31</v>
      </c>
      <c r="D37" s="35" t="s">
        <v>67</v>
      </c>
      <c r="E37" s="113"/>
      <c r="F37" s="34">
        <v>1</v>
      </c>
      <c r="G37" s="34">
        <v>1490.31</v>
      </c>
      <c r="H37" s="114">
        <f t="shared" si="2"/>
        <v>1.49031</v>
      </c>
      <c r="I37" s="13">
        <v>0</v>
      </c>
      <c r="J37" s="24"/>
    </row>
    <row r="38" spans="1:14" ht="15.75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customHeight="1">
      <c r="A39" s="30">
        <v>7</v>
      </c>
      <c r="B39" s="36" t="s">
        <v>25</v>
      </c>
      <c r="C39" s="46" t="s">
        <v>31</v>
      </c>
      <c r="D39" s="35"/>
      <c r="E39" s="113"/>
      <c r="F39" s="34">
        <v>4</v>
      </c>
      <c r="G39" s="34">
        <v>2003</v>
      </c>
      <c r="H39" s="114">
        <f t="shared" ref="H39:H45" si="4">SUM(F39*G39/1000)</f>
        <v>8.0120000000000005</v>
      </c>
      <c r="I39" s="13">
        <f t="shared" ref="I39:I45" si="5">F39/6*G39</f>
        <v>1335.3333333333333</v>
      </c>
      <c r="J39" s="24"/>
      <c r="L39" s="19"/>
      <c r="M39" s="20"/>
      <c r="N39" s="21"/>
    </row>
    <row r="40" spans="1:14" ht="15.75" customHeight="1">
      <c r="A40" s="30">
        <v>8</v>
      </c>
      <c r="B40" s="36" t="s">
        <v>192</v>
      </c>
      <c r="C40" s="55" t="s">
        <v>28</v>
      </c>
      <c r="D40" s="35" t="s">
        <v>90</v>
      </c>
      <c r="E40" s="113">
        <v>108.9</v>
      </c>
      <c r="F40" s="37">
        <f>E40*30/1000</f>
        <v>3.2669999999999999</v>
      </c>
      <c r="G40" s="34">
        <v>2757.78</v>
      </c>
      <c r="H40" s="114">
        <f t="shared" si="4"/>
        <v>9.0096672600000005</v>
      </c>
      <c r="I40" s="13">
        <f t="shared" si="5"/>
        <v>1501.61121</v>
      </c>
      <c r="J40" s="24"/>
      <c r="L40" s="19"/>
      <c r="M40" s="20"/>
      <c r="N40" s="21"/>
    </row>
    <row r="41" spans="1:14" ht="15.75" customHeight="1">
      <c r="A41" s="30">
        <v>9</v>
      </c>
      <c r="B41" s="35" t="s">
        <v>68</v>
      </c>
      <c r="C41" s="46" t="s">
        <v>28</v>
      </c>
      <c r="D41" s="35" t="s">
        <v>91</v>
      </c>
      <c r="E41" s="34">
        <v>108.9</v>
      </c>
      <c r="F41" s="37">
        <f>SUM(E41*155/1000)</f>
        <v>16.8795</v>
      </c>
      <c r="G41" s="34">
        <v>460.02</v>
      </c>
      <c r="H41" s="114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193</v>
      </c>
      <c r="C42" s="46" t="s">
        <v>194</v>
      </c>
      <c r="D42" s="35" t="s">
        <v>67</v>
      </c>
      <c r="E42" s="113"/>
      <c r="F42" s="37">
        <v>39</v>
      </c>
      <c r="G42" s="34">
        <v>314</v>
      </c>
      <c r="H42" s="114">
        <f t="shared" si="4"/>
        <v>12.246</v>
      </c>
      <c r="I42" s="13"/>
      <c r="J42" s="24"/>
      <c r="L42" s="19"/>
      <c r="M42" s="20"/>
      <c r="N42" s="21"/>
    </row>
    <row r="43" spans="1:14" ht="47.25" customHeight="1">
      <c r="A43" s="30">
        <v>10</v>
      </c>
      <c r="B43" s="35" t="s">
        <v>84</v>
      </c>
      <c r="C43" s="46" t="s">
        <v>92</v>
      </c>
      <c r="D43" s="35" t="s">
        <v>127</v>
      </c>
      <c r="E43" s="34">
        <v>40</v>
      </c>
      <c r="F43" s="37">
        <f>SUM(E43*35/1000)</f>
        <v>1.4</v>
      </c>
      <c r="G43" s="34">
        <v>7611.16</v>
      </c>
      <c r="H43" s="114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hidden="1" customHeight="1">
      <c r="A44" s="30">
        <v>11</v>
      </c>
      <c r="B44" s="35" t="s">
        <v>128</v>
      </c>
      <c r="C44" s="46" t="s">
        <v>92</v>
      </c>
      <c r="D44" s="35" t="s">
        <v>69</v>
      </c>
      <c r="E44" s="34">
        <v>108.9</v>
      </c>
      <c r="F44" s="37">
        <f>SUM(E44*45/1000)</f>
        <v>4.9005000000000001</v>
      </c>
      <c r="G44" s="34">
        <v>562.25</v>
      </c>
      <c r="H44" s="114">
        <f t="shared" si="4"/>
        <v>2.7553061250000002</v>
      </c>
      <c r="I44" s="13">
        <f t="shared" si="5"/>
        <v>459.21768750000001</v>
      </c>
      <c r="J44" s="24"/>
      <c r="L44" s="19"/>
      <c r="M44" s="20"/>
      <c r="N44" s="21"/>
    </row>
    <row r="45" spans="1:14" ht="15.75" customHeight="1">
      <c r="A45" s="30">
        <v>11</v>
      </c>
      <c r="B45" s="36" t="s">
        <v>70</v>
      </c>
      <c r="C45" s="55" t="s">
        <v>32</v>
      </c>
      <c r="D45" s="36"/>
      <c r="E45" s="116"/>
      <c r="F45" s="37">
        <v>0.5</v>
      </c>
      <c r="G45" s="37">
        <v>974.83</v>
      </c>
      <c r="H45" s="114">
        <f t="shared" si="4"/>
        <v>0.48741500000000004</v>
      </c>
      <c r="I45" s="13">
        <f t="shared" si="5"/>
        <v>81.235833333333332</v>
      </c>
      <c r="J45" s="24"/>
      <c r="L45" s="19"/>
      <c r="M45" s="20"/>
      <c r="N45" s="21"/>
    </row>
    <row r="46" spans="1:14" ht="15.75" customHeight="1">
      <c r="A46" s="154" t="s">
        <v>138</v>
      </c>
      <c r="B46" s="155"/>
      <c r="C46" s="155"/>
      <c r="D46" s="155"/>
      <c r="E46" s="155"/>
      <c r="F46" s="155"/>
      <c r="G46" s="155"/>
      <c r="H46" s="155"/>
      <c r="I46" s="156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112</v>
      </c>
      <c r="C47" s="46" t="s">
        <v>92</v>
      </c>
      <c r="D47" s="35" t="s">
        <v>42</v>
      </c>
      <c r="E47" s="113">
        <v>838.88</v>
      </c>
      <c r="F47" s="34">
        <f>SUM(E47*2/1000)</f>
        <v>1.6777599999999999</v>
      </c>
      <c r="G47" s="39">
        <v>1062</v>
      </c>
      <c r="H47" s="114">
        <f t="shared" ref="H47:H56" si="6">SUM(F47*G47/1000)</f>
        <v>1.7817811199999998</v>
      </c>
      <c r="I47" s="13">
        <f t="shared" ref="I47:I50" si="7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35</v>
      </c>
      <c r="C48" s="46" t="s">
        <v>92</v>
      </c>
      <c r="D48" s="35" t="s">
        <v>42</v>
      </c>
      <c r="E48" s="113">
        <v>26</v>
      </c>
      <c r="F48" s="34">
        <f>E48*2/1000</f>
        <v>5.1999999999999998E-2</v>
      </c>
      <c r="G48" s="39">
        <v>759.98</v>
      </c>
      <c r="H48" s="114">
        <f t="shared" si="6"/>
        <v>3.9518959999999999E-2</v>
      </c>
      <c r="I48" s="13">
        <f t="shared" si="7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36</v>
      </c>
      <c r="C49" s="46" t="s">
        <v>92</v>
      </c>
      <c r="D49" s="35" t="s">
        <v>42</v>
      </c>
      <c r="E49" s="113">
        <v>879</v>
      </c>
      <c r="F49" s="34">
        <f>SUM(E49*2/1000)</f>
        <v>1.758</v>
      </c>
      <c r="G49" s="39">
        <v>759.98</v>
      </c>
      <c r="H49" s="114">
        <f t="shared" si="6"/>
        <v>1.33604484</v>
      </c>
      <c r="I49" s="13">
        <f t="shared" si="7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37</v>
      </c>
      <c r="C50" s="46" t="s">
        <v>92</v>
      </c>
      <c r="D50" s="35" t="s">
        <v>42</v>
      </c>
      <c r="E50" s="113">
        <v>1490.75</v>
      </c>
      <c r="F50" s="34">
        <f>SUM(E50*2/1000)</f>
        <v>2.9815</v>
      </c>
      <c r="G50" s="39">
        <v>795.82</v>
      </c>
      <c r="H50" s="114">
        <f t="shared" si="6"/>
        <v>2.3727373300000005</v>
      </c>
      <c r="I50" s="13">
        <f t="shared" si="7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33</v>
      </c>
      <c r="C51" s="46" t="s">
        <v>34</v>
      </c>
      <c r="D51" s="35" t="s">
        <v>42</v>
      </c>
      <c r="E51" s="113">
        <v>61.04</v>
      </c>
      <c r="F51" s="34">
        <f>SUM(E51*2/100)</f>
        <v>1.2207999999999999</v>
      </c>
      <c r="G51" s="39">
        <v>95.49</v>
      </c>
      <c r="H51" s="114">
        <f t="shared" si="6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customHeight="1">
      <c r="A52" s="30">
        <v>12</v>
      </c>
      <c r="B52" s="35" t="s">
        <v>56</v>
      </c>
      <c r="C52" s="46" t="s">
        <v>92</v>
      </c>
      <c r="D52" s="35" t="s">
        <v>150</v>
      </c>
      <c r="E52" s="113">
        <v>2135.1999999999998</v>
      </c>
      <c r="F52" s="34">
        <f>SUM(E52*5/1000)</f>
        <v>10.676</v>
      </c>
      <c r="G52" s="39">
        <v>1591.6</v>
      </c>
      <c r="H52" s="114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>
        <v>14</v>
      </c>
      <c r="B53" s="35" t="s">
        <v>93</v>
      </c>
      <c r="C53" s="46" t="s">
        <v>92</v>
      </c>
      <c r="D53" s="35" t="s">
        <v>42</v>
      </c>
      <c r="E53" s="113">
        <v>2135.1999999999998</v>
      </c>
      <c r="F53" s="34">
        <f>SUM(E53*2/1000)</f>
        <v>4.2703999999999995</v>
      </c>
      <c r="G53" s="39">
        <v>1591.6</v>
      </c>
      <c r="H53" s="114">
        <f t="shared" si="6"/>
        <v>6.796768639999998</v>
      </c>
      <c r="I53" s="13">
        <f>F53/2*G53</f>
        <v>3398.3843199999992</v>
      </c>
      <c r="J53" s="24"/>
      <c r="L53" s="19"/>
      <c r="M53" s="20"/>
      <c r="N53" s="21"/>
    </row>
    <row r="54" spans="1:14" ht="31.5" hidden="1" customHeight="1">
      <c r="A54" s="30">
        <v>15</v>
      </c>
      <c r="B54" s="35" t="s">
        <v>94</v>
      </c>
      <c r="C54" s="46" t="s">
        <v>38</v>
      </c>
      <c r="D54" s="35" t="s">
        <v>42</v>
      </c>
      <c r="E54" s="113">
        <v>10</v>
      </c>
      <c r="F54" s="34">
        <f>SUM(E54*2/100)</f>
        <v>0.2</v>
      </c>
      <c r="G54" s="39">
        <v>3581.13</v>
      </c>
      <c r="H54" s="114">
        <f t="shared" si="6"/>
        <v>0.71622600000000014</v>
      </c>
      <c r="I54" s="13">
        <f t="shared" ref="I54:I55" si="8">F54/2*G54</f>
        <v>358.11300000000006</v>
      </c>
      <c r="J54" s="24"/>
      <c r="L54" s="19"/>
      <c r="M54" s="20"/>
      <c r="N54" s="21"/>
    </row>
    <row r="55" spans="1:14" ht="15.75" hidden="1" customHeight="1">
      <c r="A55" s="30">
        <v>16</v>
      </c>
      <c r="B55" s="35" t="s">
        <v>39</v>
      </c>
      <c r="C55" s="46" t="s">
        <v>40</v>
      </c>
      <c r="D55" s="35" t="s">
        <v>42</v>
      </c>
      <c r="E55" s="113">
        <v>1</v>
      </c>
      <c r="F55" s="34">
        <v>0.02</v>
      </c>
      <c r="G55" s="39">
        <v>7412.92</v>
      </c>
      <c r="H55" s="114">
        <f t="shared" si="6"/>
        <v>0.14825839999999998</v>
      </c>
      <c r="I55" s="13">
        <f t="shared" si="8"/>
        <v>74.129199999999997</v>
      </c>
      <c r="J55" s="24"/>
      <c r="L55" s="19"/>
      <c r="M55" s="20"/>
      <c r="N55" s="21"/>
    </row>
    <row r="56" spans="1:14" ht="15.75" hidden="1" customHeight="1">
      <c r="A56" s="122">
        <v>18</v>
      </c>
      <c r="B56" s="118" t="s">
        <v>41</v>
      </c>
      <c r="C56" s="119" t="s">
        <v>113</v>
      </c>
      <c r="D56" s="118" t="s">
        <v>71</v>
      </c>
      <c r="E56" s="120">
        <v>80</v>
      </c>
      <c r="F56" s="121">
        <f>SUM(E56)*3</f>
        <v>240</v>
      </c>
      <c r="G56" s="123">
        <v>86.15</v>
      </c>
      <c r="H56" s="124">
        <f t="shared" si="6"/>
        <v>20.675999999999998</v>
      </c>
      <c r="I56" s="125">
        <f>E56*G56</f>
        <v>6892</v>
      </c>
      <c r="J56" s="24"/>
      <c r="L56" s="19"/>
      <c r="M56" s="20"/>
      <c r="N56" s="21"/>
    </row>
    <row r="57" spans="1:14" ht="15.75" customHeight="1">
      <c r="A57" s="146" t="s">
        <v>137</v>
      </c>
      <c r="B57" s="146"/>
      <c r="C57" s="146"/>
      <c r="D57" s="146"/>
      <c r="E57" s="146"/>
      <c r="F57" s="146"/>
      <c r="G57" s="146"/>
      <c r="H57" s="146"/>
      <c r="I57" s="146"/>
      <c r="J57" s="24"/>
      <c r="L57" s="19"/>
      <c r="M57" s="20"/>
      <c r="N57" s="21"/>
    </row>
    <row r="58" spans="1:14" ht="15.75" customHeight="1">
      <c r="A58" s="30"/>
      <c r="B58" s="111" t="s">
        <v>43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customHeight="1">
      <c r="A59" s="30">
        <v>13</v>
      </c>
      <c r="B59" s="41" t="s">
        <v>114</v>
      </c>
      <c r="C59" s="42" t="s">
        <v>89</v>
      </c>
      <c r="D59" s="41" t="s">
        <v>115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195</v>
      </c>
      <c r="C60" s="42" t="s">
        <v>196</v>
      </c>
      <c r="D60" s="41" t="s">
        <v>67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111" t="s">
        <v>44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132</v>
      </c>
      <c r="C62" s="42" t="s">
        <v>89</v>
      </c>
      <c r="D62" s="41" t="s">
        <v>53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14</v>
      </c>
      <c r="B63" s="41" t="s">
        <v>197</v>
      </c>
      <c r="C63" s="42" t="s">
        <v>198</v>
      </c>
      <c r="D63" s="41" t="s">
        <v>199</v>
      </c>
      <c r="E63" s="17">
        <v>134.19999999999999</v>
      </c>
      <c r="F63" s="39">
        <f>E63*12</f>
        <v>1610.3999999999999</v>
      </c>
      <c r="G63" s="39">
        <v>2.8</v>
      </c>
      <c r="H63" s="39">
        <f>F63*G63/1000</f>
        <v>4.5091199999999994</v>
      </c>
      <c r="I63" s="13">
        <f>F63/12*G63</f>
        <v>375.75999999999993</v>
      </c>
    </row>
    <row r="64" spans="1:14" ht="15.75" hidden="1" customHeight="1">
      <c r="A64" s="126"/>
      <c r="B64" s="127" t="s">
        <v>45</v>
      </c>
      <c r="C64" s="128"/>
      <c r="D64" s="129"/>
      <c r="E64" s="86"/>
      <c r="F64" s="130"/>
      <c r="G64" s="130"/>
      <c r="H64" s="131" t="s">
        <v>122</v>
      </c>
      <c r="I64" s="132"/>
    </row>
    <row r="65" spans="1:22" ht="15.75" hidden="1" customHeight="1">
      <c r="A65" s="30">
        <v>12</v>
      </c>
      <c r="B65" s="58" t="s">
        <v>46</v>
      </c>
      <c r="C65" s="42" t="s">
        <v>113</v>
      </c>
      <c r="D65" s="41" t="s">
        <v>67</v>
      </c>
      <c r="E65" s="17">
        <v>5</v>
      </c>
      <c r="F65" s="34">
        <f>E65</f>
        <v>5</v>
      </c>
      <c r="G65" s="39">
        <v>291.68</v>
      </c>
      <c r="H65" s="79">
        <f t="shared" ref="H65:H72" si="9">SUM(F65*G65/1000)</f>
        <v>1.4584000000000001</v>
      </c>
      <c r="I65" s="13">
        <f>G65*2</f>
        <v>583.36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47</v>
      </c>
      <c r="C66" s="42" t="s">
        <v>113</v>
      </c>
      <c r="D66" s="41" t="s">
        <v>67</v>
      </c>
      <c r="E66" s="17">
        <v>5</v>
      </c>
      <c r="F66" s="34">
        <f>E66</f>
        <v>5</v>
      </c>
      <c r="G66" s="39">
        <v>100.01</v>
      </c>
      <c r="H66" s="79">
        <f t="shared" si="9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48</v>
      </c>
      <c r="C67" s="44" t="s">
        <v>116</v>
      </c>
      <c r="D67" s="41" t="s">
        <v>53</v>
      </c>
      <c r="E67" s="113">
        <v>10348</v>
      </c>
      <c r="F67" s="40">
        <f>SUM(E67/100)</f>
        <v>103.48</v>
      </c>
      <c r="G67" s="39">
        <v>278.24</v>
      </c>
      <c r="H67" s="79">
        <f t="shared" si="9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49</v>
      </c>
      <c r="C68" s="42" t="s">
        <v>117</v>
      </c>
      <c r="D68" s="41" t="s">
        <v>53</v>
      </c>
      <c r="E68" s="113">
        <v>10348</v>
      </c>
      <c r="F68" s="39">
        <f>SUM(E68/1000)</f>
        <v>10.348000000000001</v>
      </c>
      <c r="G68" s="39">
        <v>216.68</v>
      </c>
      <c r="H68" s="79">
        <f t="shared" si="9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47"/>
      <c r="S68" s="147"/>
      <c r="T68" s="147"/>
      <c r="U68" s="147"/>
    </row>
    <row r="69" spans="1:22" ht="15.75" hidden="1" customHeight="1">
      <c r="A69" s="30"/>
      <c r="B69" s="58" t="s">
        <v>50</v>
      </c>
      <c r="C69" s="42" t="s">
        <v>77</v>
      </c>
      <c r="D69" s="41" t="s">
        <v>53</v>
      </c>
      <c r="E69" s="113">
        <v>1645</v>
      </c>
      <c r="F69" s="39">
        <f>SUM(E69/100)</f>
        <v>16.45</v>
      </c>
      <c r="G69" s="39">
        <v>2720.94</v>
      </c>
      <c r="H69" s="79">
        <f t="shared" si="9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118</v>
      </c>
      <c r="C70" s="42" t="s">
        <v>32</v>
      </c>
      <c r="D70" s="41"/>
      <c r="E70" s="113">
        <v>9</v>
      </c>
      <c r="F70" s="39">
        <f>E70</f>
        <v>9</v>
      </c>
      <c r="G70" s="39">
        <v>42.61</v>
      </c>
      <c r="H70" s="79">
        <f t="shared" si="9"/>
        <v>0.38349</v>
      </c>
      <c r="I70" s="13">
        <v>0</v>
      </c>
    </row>
    <row r="71" spans="1:22" ht="15.75" hidden="1" customHeight="1">
      <c r="A71" s="30"/>
      <c r="B71" s="53" t="s">
        <v>119</v>
      </c>
      <c r="C71" s="42" t="s">
        <v>32</v>
      </c>
      <c r="D71" s="41"/>
      <c r="E71" s="113">
        <v>9</v>
      </c>
      <c r="F71" s="39">
        <f t="shared" ref="F71:F72" si="10">E71</f>
        <v>9</v>
      </c>
      <c r="G71" s="39">
        <v>46.04</v>
      </c>
      <c r="H71" s="79">
        <f t="shared" si="9"/>
        <v>0.41436000000000001</v>
      </c>
      <c r="I71" s="13">
        <v>0</v>
      </c>
    </row>
    <row r="72" spans="1:22" ht="15.75" hidden="1" customHeight="1">
      <c r="A72" s="30">
        <v>21</v>
      </c>
      <c r="B72" s="41" t="s">
        <v>57</v>
      </c>
      <c r="C72" s="42" t="s">
        <v>58</v>
      </c>
      <c r="D72" s="41" t="s">
        <v>53</v>
      </c>
      <c r="E72" s="17">
        <v>2</v>
      </c>
      <c r="F72" s="39">
        <f t="shared" si="10"/>
        <v>2</v>
      </c>
      <c r="G72" s="39">
        <v>65.42</v>
      </c>
      <c r="H72" s="79">
        <f t="shared" si="9"/>
        <v>0.13084000000000001</v>
      </c>
      <c r="I72" s="13">
        <f>F72*G72</f>
        <v>130.84</v>
      </c>
    </row>
    <row r="73" spans="1:22" ht="15.75" customHeight="1">
      <c r="A73" s="30"/>
      <c r="B73" s="111" t="s">
        <v>72</v>
      </c>
      <c r="C73" s="16"/>
      <c r="D73" s="14"/>
      <c r="E73" s="18"/>
      <c r="F73" s="13"/>
      <c r="G73" s="13"/>
      <c r="H73" s="80" t="s">
        <v>122</v>
      </c>
      <c r="I73" s="13"/>
    </row>
    <row r="74" spans="1:22" ht="15.75" hidden="1" customHeight="1">
      <c r="A74" s="30"/>
      <c r="B74" s="14" t="s">
        <v>200</v>
      </c>
      <c r="C74" s="16" t="s">
        <v>201</v>
      </c>
      <c r="D74" s="41" t="s">
        <v>67</v>
      </c>
      <c r="E74" s="18">
        <v>1</v>
      </c>
      <c r="F74" s="13">
        <f>E74</f>
        <v>1</v>
      </c>
      <c r="G74" s="13">
        <v>1029.1199999999999</v>
      </c>
      <c r="H74" s="80">
        <f t="shared" ref="H74:H75" si="11">SUM(F74*G74/1000)</f>
        <v>1.0291199999999998</v>
      </c>
      <c r="I74" s="13">
        <v>0</v>
      </c>
    </row>
    <row r="75" spans="1:22" ht="15.75" hidden="1" customHeight="1">
      <c r="A75" s="30"/>
      <c r="B75" s="14" t="s">
        <v>202</v>
      </c>
      <c r="C75" s="16" t="s">
        <v>203</v>
      </c>
      <c r="D75" s="133"/>
      <c r="E75" s="18">
        <v>1</v>
      </c>
      <c r="F75" s="13">
        <v>1</v>
      </c>
      <c r="G75" s="13">
        <v>735</v>
      </c>
      <c r="H75" s="80">
        <f t="shared" si="11"/>
        <v>0.73499999999999999</v>
      </c>
      <c r="I75" s="13">
        <v>0</v>
      </c>
    </row>
    <row r="76" spans="1:22" ht="15.75" hidden="1" customHeight="1">
      <c r="A76" s="30"/>
      <c r="B76" s="14" t="s">
        <v>73</v>
      </c>
      <c r="C76" s="16" t="s">
        <v>75</v>
      </c>
      <c r="D76" s="41" t="s">
        <v>67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204</v>
      </c>
      <c r="C77" s="16" t="s">
        <v>113</v>
      </c>
      <c r="D77" s="41" t="s">
        <v>67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205</v>
      </c>
      <c r="C78" s="57" t="s">
        <v>113</v>
      </c>
      <c r="D78" s="41" t="s">
        <v>67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15</v>
      </c>
      <c r="B79" s="56" t="s">
        <v>206</v>
      </c>
      <c r="C79" s="57" t="s">
        <v>113</v>
      </c>
      <c r="D79" s="14" t="s">
        <v>29</v>
      </c>
      <c r="E79" s="18">
        <v>2</v>
      </c>
      <c r="F79" s="84">
        <f>E79*12</f>
        <v>24</v>
      </c>
      <c r="G79" s="13">
        <v>53.42</v>
      </c>
      <c r="H79" s="80">
        <f t="shared" ref="H79:H80" si="12">SUM(F79*G79/1000)</f>
        <v>1.2820799999999999</v>
      </c>
      <c r="I79" s="13">
        <f>G79*2</f>
        <v>106.84</v>
      </c>
    </row>
    <row r="80" spans="1:22" ht="31.5" customHeight="1">
      <c r="A80" s="30">
        <v>16</v>
      </c>
      <c r="B80" s="56" t="s">
        <v>207</v>
      </c>
      <c r="C80" s="57" t="s">
        <v>113</v>
      </c>
      <c r="D80" s="14" t="s">
        <v>29</v>
      </c>
      <c r="E80" s="18">
        <v>1</v>
      </c>
      <c r="F80" s="84">
        <f>E80*12</f>
        <v>12</v>
      </c>
      <c r="G80" s="13">
        <v>1194</v>
      </c>
      <c r="H80" s="80">
        <f t="shared" si="12"/>
        <v>14.327999999999999</v>
      </c>
      <c r="I80" s="13">
        <f>G80</f>
        <v>1194</v>
      </c>
    </row>
    <row r="81" spans="1:9" ht="15.75" hidden="1" customHeight="1">
      <c r="A81" s="30"/>
      <c r="B81" s="98" t="s">
        <v>76</v>
      </c>
      <c r="C81" s="16"/>
      <c r="D81" s="14"/>
      <c r="E81" s="18"/>
      <c r="F81" s="13"/>
      <c r="G81" s="13" t="s">
        <v>122</v>
      </c>
      <c r="H81" s="80" t="s">
        <v>122</v>
      </c>
      <c r="I81" s="13"/>
    </row>
    <row r="82" spans="1:9" ht="15.75" hidden="1" customHeight="1">
      <c r="A82" s="30"/>
      <c r="B82" s="43" t="s">
        <v>123</v>
      </c>
      <c r="C82" s="44" t="s">
        <v>77</v>
      </c>
      <c r="D82" s="58"/>
      <c r="E82" s="134"/>
      <c r="F82" s="40">
        <v>0.6</v>
      </c>
      <c r="G82" s="40">
        <v>3619.09</v>
      </c>
      <c r="H82" s="79">
        <f t="shared" ref="H82" si="13">SUM(F82*G82/1000)</f>
        <v>2.1714540000000002</v>
      </c>
      <c r="I82" s="13">
        <v>0</v>
      </c>
    </row>
    <row r="83" spans="1:9" ht="15.75" hidden="1" customHeight="1">
      <c r="A83" s="30"/>
      <c r="B83" s="105" t="s">
        <v>95</v>
      </c>
      <c r="C83" s="98"/>
      <c r="D83" s="32"/>
      <c r="E83" s="33"/>
      <c r="F83" s="87"/>
      <c r="G83" s="87"/>
      <c r="H83" s="99">
        <f>SUM(H59:H82)</f>
        <v>118.31888176</v>
      </c>
      <c r="I83" s="87"/>
    </row>
    <row r="84" spans="1:9" ht="15.75" hidden="1" customHeight="1">
      <c r="A84" s="122">
        <v>17</v>
      </c>
      <c r="B84" s="136" t="s">
        <v>120</v>
      </c>
      <c r="C84" s="137"/>
      <c r="D84" s="138"/>
      <c r="E84" s="135"/>
      <c r="F84" s="139">
        <v>1</v>
      </c>
      <c r="G84" s="139">
        <v>7005.5</v>
      </c>
      <c r="H84" s="140">
        <f>G84*F84/1000</f>
        <v>7.0054999999999996</v>
      </c>
      <c r="I84" s="125">
        <f>G84</f>
        <v>7005.5</v>
      </c>
    </row>
    <row r="85" spans="1:9" ht="15.75" customHeight="1">
      <c r="A85" s="146" t="s">
        <v>136</v>
      </c>
      <c r="B85" s="146"/>
      <c r="C85" s="146"/>
      <c r="D85" s="146"/>
      <c r="E85" s="146"/>
      <c r="F85" s="146"/>
      <c r="G85" s="146"/>
      <c r="H85" s="146"/>
      <c r="I85" s="146"/>
    </row>
    <row r="86" spans="1:9" ht="15.75" customHeight="1">
      <c r="A86" s="30">
        <v>17</v>
      </c>
      <c r="B86" s="41" t="s">
        <v>121</v>
      </c>
      <c r="C86" s="42" t="s">
        <v>54</v>
      </c>
      <c r="D86" s="59" t="s">
        <v>55</v>
      </c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18</v>
      </c>
      <c r="B87" s="14" t="s">
        <v>78</v>
      </c>
      <c r="C87" s="16"/>
      <c r="D87" s="59" t="s">
        <v>55</v>
      </c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81</v>
      </c>
      <c r="C88" s="98"/>
      <c r="D88" s="97"/>
      <c r="E88" s="87"/>
      <c r="F88" s="87"/>
      <c r="G88" s="87"/>
      <c r="H88" s="99">
        <f>H87</f>
        <v>89.678399999999996</v>
      </c>
      <c r="I88" s="87">
        <f>I16+I17+I18+I20+I27+I28+I39+I40+I41+I43+I45+I52+I59+I63+I79+I80+I86+I87</f>
        <v>41000.647634999994</v>
      </c>
    </row>
    <row r="89" spans="1:9" ht="15.75" customHeight="1">
      <c r="A89" s="158" t="s">
        <v>60</v>
      </c>
      <c r="B89" s="159"/>
      <c r="C89" s="159"/>
      <c r="D89" s="159"/>
      <c r="E89" s="159"/>
      <c r="F89" s="159"/>
      <c r="G89" s="159"/>
      <c r="H89" s="159"/>
      <c r="I89" s="160"/>
    </row>
    <row r="90" spans="1:9" ht="15.75" customHeight="1">
      <c r="A90" s="30">
        <v>19</v>
      </c>
      <c r="B90" s="56" t="s">
        <v>124</v>
      </c>
      <c r="C90" s="61" t="s">
        <v>113</v>
      </c>
      <c r="D90" s="60"/>
      <c r="E90" s="39"/>
      <c r="F90" s="39">
        <v>120</v>
      </c>
      <c r="G90" s="39">
        <v>53.42</v>
      </c>
      <c r="H90" s="79">
        <f>G90*F90/1000</f>
        <v>6.410400000000001</v>
      </c>
      <c r="I90" s="13">
        <f>G90*40</f>
        <v>2136.8000000000002</v>
      </c>
    </row>
    <row r="91" spans="1:9" ht="31.5" customHeight="1">
      <c r="A91" s="30">
        <v>20</v>
      </c>
      <c r="B91" s="56" t="s">
        <v>133</v>
      </c>
      <c r="C91" s="57" t="s">
        <v>134</v>
      </c>
      <c r="D91" s="60"/>
      <c r="E91" s="39"/>
      <c r="F91" s="39">
        <v>2</v>
      </c>
      <c r="G91" s="39">
        <v>589.84</v>
      </c>
      <c r="H91" s="79">
        <f t="shared" ref="H91" si="14">G91*F91/1000</f>
        <v>1.1796800000000001</v>
      </c>
      <c r="I91" s="13">
        <f>G91</f>
        <v>589.84</v>
      </c>
    </row>
    <row r="92" spans="1:9" ht="15.75" customHeight="1">
      <c r="A92" s="30"/>
      <c r="B92" s="50" t="s">
        <v>51</v>
      </c>
      <c r="C92" s="57"/>
      <c r="D92" s="52"/>
      <c r="E92" s="13"/>
      <c r="F92" s="13"/>
      <c r="G92" s="13"/>
      <c r="H92" s="80"/>
      <c r="I92" s="87">
        <f>SUM(I90:I91)</f>
        <v>2726.6400000000003</v>
      </c>
    </row>
    <row r="93" spans="1:9">
      <c r="A93" s="30"/>
      <c r="B93" s="52" t="s">
        <v>79</v>
      </c>
      <c r="C93" s="15"/>
      <c r="D93" s="15"/>
      <c r="E93" s="47"/>
      <c r="F93" s="47"/>
      <c r="G93" s="48"/>
      <c r="H93" s="48"/>
      <c r="I93" s="17">
        <v>0</v>
      </c>
    </row>
    <row r="94" spans="1:9">
      <c r="A94" s="54"/>
      <c r="B94" s="51" t="s">
        <v>169</v>
      </c>
      <c r="C94" s="38"/>
      <c r="D94" s="38"/>
      <c r="E94" s="38"/>
      <c r="F94" s="38"/>
      <c r="G94" s="38"/>
      <c r="H94" s="38"/>
      <c r="I94" s="49">
        <f>I88+I92</f>
        <v>43727.287634999993</v>
      </c>
    </row>
    <row r="95" spans="1:9" ht="15.75" customHeight="1">
      <c r="A95" s="165" t="s">
        <v>238</v>
      </c>
      <c r="B95" s="165"/>
      <c r="C95" s="165"/>
      <c r="D95" s="165"/>
      <c r="E95" s="165"/>
      <c r="F95" s="165"/>
      <c r="G95" s="165"/>
      <c r="H95" s="165"/>
      <c r="I95" s="165"/>
    </row>
    <row r="96" spans="1:9" ht="15.75" customHeight="1">
      <c r="A96" s="68"/>
      <c r="B96" s="166" t="s">
        <v>239</v>
      </c>
      <c r="C96" s="166"/>
      <c r="D96" s="166"/>
      <c r="E96" s="166"/>
      <c r="F96" s="166"/>
      <c r="G96" s="166"/>
      <c r="H96" s="78"/>
      <c r="I96" s="3"/>
    </row>
    <row r="97" spans="1:9">
      <c r="A97" s="109"/>
      <c r="B97" s="163" t="s">
        <v>6</v>
      </c>
      <c r="C97" s="163"/>
      <c r="D97" s="163"/>
      <c r="E97" s="163"/>
      <c r="F97" s="163"/>
      <c r="G97" s="163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67" t="s">
        <v>7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 customHeight="1">
      <c r="A100" s="167" t="s">
        <v>8</v>
      </c>
      <c r="B100" s="167"/>
      <c r="C100" s="167"/>
      <c r="D100" s="167"/>
      <c r="E100" s="167"/>
      <c r="F100" s="167"/>
      <c r="G100" s="167"/>
      <c r="H100" s="167"/>
      <c r="I100" s="167"/>
    </row>
    <row r="101" spans="1:9" ht="15.75">
      <c r="A101" s="144" t="s">
        <v>61</v>
      </c>
      <c r="B101" s="144"/>
      <c r="C101" s="144"/>
      <c r="D101" s="144"/>
      <c r="E101" s="144"/>
      <c r="F101" s="144"/>
      <c r="G101" s="144"/>
      <c r="H101" s="144"/>
      <c r="I101" s="144"/>
    </row>
    <row r="102" spans="1:9" ht="15.75">
      <c r="A102" s="11"/>
    </row>
    <row r="103" spans="1:9" ht="15.75" customHeight="1">
      <c r="A103" s="145" t="s">
        <v>9</v>
      </c>
      <c r="B103" s="145"/>
      <c r="C103" s="145"/>
      <c r="D103" s="145"/>
      <c r="E103" s="145"/>
      <c r="F103" s="145"/>
      <c r="G103" s="145"/>
      <c r="H103" s="145"/>
      <c r="I103" s="145"/>
    </row>
    <row r="104" spans="1:9" ht="15.75" customHeight="1">
      <c r="A104" s="4"/>
    </row>
    <row r="105" spans="1:9" ht="15.75" customHeight="1">
      <c r="B105" s="106" t="s">
        <v>10</v>
      </c>
      <c r="C105" s="162" t="s">
        <v>139</v>
      </c>
      <c r="D105" s="162"/>
      <c r="E105" s="162"/>
      <c r="F105" s="76"/>
      <c r="I105" s="108"/>
    </row>
    <row r="106" spans="1:9" ht="15.75" customHeight="1">
      <c r="A106" s="109"/>
      <c r="C106" s="163" t="s">
        <v>11</v>
      </c>
      <c r="D106" s="163"/>
      <c r="E106" s="163"/>
      <c r="F106" s="25"/>
      <c r="I106" s="107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106" t="s">
        <v>13</v>
      </c>
      <c r="C108" s="164"/>
      <c r="D108" s="164"/>
      <c r="E108" s="164"/>
      <c r="F108" s="77"/>
      <c r="I108" s="108"/>
    </row>
    <row r="109" spans="1:9">
      <c r="A109" s="109"/>
      <c r="C109" s="147" t="s">
        <v>11</v>
      </c>
      <c r="D109" s="147"/>
      <c r="E109" s="147"/>
      <c r="F109" s="109"/>
      <c r="I109" s="107" t="s">
        <v>12</v>
      </c>
    </row>
    <row r="110" spans="1:9" ht="15.75">
      <c r="A110" s="4" t="s">
        <v>14</v>
      </c>
    </row>
    <row r="111" spans="1:9">
      <c r="A111" s="161" t="s">
        <v>15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45" customHeight="1">
      <c r="A112" s="157" t="s">
        <v>16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30" customHeight="1">
      <c r="A113" s="157" t="s">
        <v>17</v>
      </c>
      <c r="B113" s="157"/>
      <c r="C113" s="157"/>
      <c r="D113" s="157"/>
      <c r="E113" s="157"/>
      <c r="F113" s="157"/>
      <c r="G113" s="157"/>
      <c r="H113" s="157"/>
      <c r="I113" s="157"/>
    </row>
    <row r="114" spans="1:9" ht="30" customHeight="1">
      <c r="A114" s="157" t="s">
        <v>21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15" customHeight="1">
      <c r="A115" s="157" t="s">
        <v>20</v>
      </c>
      <c r="B115" s="157"/>
      <c r="C115" s="157"/>
      <c r="D115" s="157"/>
      <c r="E115" s="157"/>
      <c r="F115" s="157"/>
      <c r="G115" s="157"/>
      <c r="H115" s="157"/>
      <c r="I115" s="157"/>
    </row>
  </sheetData>
  <autoFilter ref="I12:I62"/>
  <mergeCells count="29">
    <mergeCell ref="A111:I111"/>
    <mergeCell ref="A112:I112"/>
    <mergeCell ref="A113:I113"/>
    <mergeCell ref="A114:I114"/>
    <mergeCell ref="A115:I115"/>
    <mergeCell ref="R68:U68"/>
    <mergeCell ref="C109:E109"/>
    <mergeCell ref="A89:I8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151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170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42794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162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81" t="s">
        <v>88</v>
      </c>
      <c r="C16" s="82" t="s">
        <v>89</v>
      </c>
      <c r="D16" s="81" t="s">
        <v>164</v>
      </c>
      <c r="E16" s="83">
        <v>37.78</v>
      </c>
      <c r="F16" s="84">
        <f>SUM(E16*156/100)</f>
        <v>58.936800000000005</v>
      </c>
      <c r="G16" s="84">
        <v>187.48</v>
      </c>
      <c r="H16" s="85">
        <f t="shared" ref="H16:H26" si="0">SUM(F16*G16/1000)</f>
        <v>11.049471263999999</v>
      </c>
      <c r="I16" s="13">
        <f>F16/12*G16</f>
        <v>920.78927199999998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141</v>
      </c>
      <c r="C17" s="82" t="s">
        <v>89</v>
      </c>
      <c r="D17" s="81" t="s">
        <v>165</v>
      </c>
      <c r="E17" s="83">
        <v>151.12</v>
      </c>
      <c r="F17" s="84">
        <f>SUM(E17*104/100)</f>
        <v>157.16479999999999</v>
      </c>
      <c r="G17" s="84">
        <v>187.48</v>
      </c>
      <c r="H17" s="85">
        <f t="shared" si="0"/>
        <v>29.465256703999994</v>
      </c>
      <c r="I17" s="13">
        <f>F17/12*G17</f>
        <v>2455.4380586666662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142</v>
      </c>
      <c r="C18" s="82" t="s">
        <v>89</v>
      </c>
      <c r="D18" s="81" t="s">
        <v>166</v>
      </c>
      <c r="E18" s="83">
        <v>188.9</v>
      </c>
      <c r="F18" s="84">
        <f>SUM(E18*24/100)</f>
        <v>45.336000000000006</v>
      </c>
      <c r="G18" s="84">
        <v>539.30999999999995</v>
      </c>
      <c r="H18" s="85">
        <f t="shared" si="0"/>
        <v>24.450158159999997</v>
      </c>
      <c r="I18" s="13">
        <f>F18/12*G18</f>
        <v>2037.5131800000001</v>
      </c>
      <c r="J18" s="23"/>
      <c r="K18" s="8"/>
      <c r="L18" s="8"/>
      <c r="M18" s="8"/>
    </row>
    <row r="19" spans="1:13" ht="15.75" hidden="1" customHeight="1">
      <c r="A19" s="30"/>
      <c r="B19" s="81" t="s">
        <v>96</v>
      </c>
      <c r="C19" s="82" t="s">
        <v>97</v>
      </c>
      <c r="D19" s="81" t="s">
        <v>98</v>
      </c>
      <c r="E19" s="83">
        <v>18</v>
      </c>
      <c r="F19" s="84">
        <f>SUM(E19/10)</f>
        <v>1.8</v>
      </c>
      <c r="G19" s="84">
        <v>181.91</v>
      </c>
      <c r="H19" s="85">
        <f t="shared" si="0"/>
        <v>0.32743800000000001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99</v>
      </c>
      <c r="C20" s="82" t="s">
        <v>89</v>
      </c>
      <c r="D20" s="81" t="s">
        <v>29</v>
      </c>
      <c r="E20" s="83">
        <v>14.6</v>
      </c>
      <c r="F20" s="84">
        <f>SUM(E20*12/100)</f>
        <v>1.7519999999999998</v>
      </c>
      <c r="G20" s="84">
        <v>232.92</v>
      </c>
      <c r="H20" s="85">
        <f t="shared" si="0"/>
        <v>0.40807583999999991</v>
      </c>
      <c r="I20" s="13">
        <f>F20/12*G20</f>
        <v>34.006319999999995</v>
      </c>
      <c r="J20" s="23"/>
      <c r="K20" s="8"/>
      <c r="L20" s="8"/>
      <c r="M20" s="8"/>
    </row>
    <row r="21" spans="1:13" ht="15.75" hidden="1" customHeight="1">
      <c r="A21" s="30">
        <v>5</v>
      </c>
      <c r="B21" s="81" t="s">
        <v>100</v>
      </c>
      <c r="C21" s="82" t="s">
        <v>89</v>
      </c>
      <c r="D21" s="81" t="s">
        <v>125</v>
      </c>
      <c r="E21" s="83">
        <v>2.7</v>
      </c>
      <c r="F21" s="84">
        <f>SUM(E21*6/100)</f>
        <v>0.16200000000000003</v>
      </c>
      <c r="G21" s="84">
        <v>231.03</v>
      </c>
      <c r="H21" s="85">
        <f t="shared" si="0"/>
        <v>3.7426860000000006E-2</v>
      </c>
      <c r="I21" s="13">
        <f>F21/6*G21</f>
        <v>6.2378100000000014</v>
      </c>
      <c r="J21" s="23"/>
      <c r="K21" s="8"/>
      <c r="L21" s="8"/>
      <c r="M21" s="8"/>
    </row>
    <row r="22" spans="1:13" ht="15.75" hidden="1" customHeight="1">
      <c r="A22" s="30"/>
      <c r="B22" s="81" t="s">
        <v>101</v>
      </c>
      <c r="C22" s="82" t="s">
        <v>52</v>
      </c>
      <c r="D22" s="81" t="s">
        <v>98</v>
      </c>
      <c r="E22" s="83">
        <v>259.2</v>
      </c>
      <c r="F22" s="84">
        <f>SUM(E22/100)</f>
        <v>2.5920000000000001</v>
      </c>
      <c r="G22" s="84">
        <v>287.83999999999997</v>
      </c>
      <c r="H22" s="85">
        <f t="shared" si="0"/>
        <v>0.74608127999999996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102</v>
      </c>
      <c r="C23" s="82" t="s">
        <v>52</v>
      </c>
      <c r="D23" s="81" t="s">
        <v>98</v>
      </c>
      <c r="E23" s="86">
        <v>24.15</v>
      </c>
      <c r="F23" s="84">
        <f>SUM(E23/100)</f>
        <v>0.24149999999999999</v>
      </c>
      <c r="G23" s="84">
        <v>47.34</v>
      </c>
      <c r="H23" s="85">
        <f t="shared" si="0"/>
        <v>1.1432610000000001E-2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81" t="s">
        <v>103</v>
      </c>
      <c r="C24" s="82" t="s">
        <v>52</v>
      </c>
      <c r="D24" s="81" t="s">
        <v>104</v>
      </c>
      <c r="E24" s="83">
        <v>10</v>
      </c>
      <c r="F24" s="84">
        <f>E24/100</f>
        <v>0.1</v>
      </c>
      <c r="G24" s="84">
        <v>416.62</v>
      </c>
      <c r="H24" s="85">
        <f t="shared" si="0"/>
        <v>4.1662000000000005E-2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81" t="s">
        <v>105</v>
      </c>
      <c r="C25" s="82" t="s">
        <v>52</v>
      </c>
      <c r="D25" s="81" t="s">
        <v>53</v>
      </c>
      <c r="E25" s="83">
        <v>9.5</v>
      </c>
      <c r="F25" s="84">
        <f>E25/100</f>
        <v>9.5000000000000001E-2</v>
      </c>
      <c r="G25" s="84">
        <v>231.03</v>
      </c>
      <c r="H25" s="85">
        <f>G25*F25/1000</f>
        <v>2.1947849999999998E-2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106</v>
      </c>
      <c r="C26" s="82" t="s">
        <v>52</v>
      </c>
      <c r="D26" s="81" t="s">
        <v>98</v>
      </c>
      <c r="E26" s="83">
        <v>4.25</v>
      </c>
      <c r="F26" s="84">
        <f>SUM(E26/100)</f>
        <v>4.2500000000000003E-2</v>
      </c>
      <c r="G26" s="84">
        <v>556.74</v>
      </c>
      <c r="H26" s="85">
        <f t="shared" si="0"/>
        <v>2.3661450000000001E-2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81" t="s">
        <v>64</v>
      </c>
      <c r="C27" s="82" t="s">
        <v>32</v>
      </c>
      <c r="D27" s="81" t="s">
        <v>167</v>
      </c>
      <c r="E27" s="83">
        <v>0.1</v>
      </c>
      <c r="F27" s="84">
        <f>SUM(E27*365)</f>
        <v>36.5</v>
      </c>
      <c r="G27" s="84">
        <v>157.18</v>
      </c>
      <c r="H27" s="85">
        <f>SUM(F27*G27/1000)</f>
        <v>5.737070000000001</v>
      </c>
      <c r="I27" s="13">
        <f>F27/12*G27</f>
        <v>478.08916666666664</v>
      </c>
      <c r="J27" s="24"/>
    </row>
    <row r="28" spans="1:13" ht="15.75" customHeight="1">
      <c r="A28" s="30">
        <v>6</v>
      </c>
      <c r="B28" s="89" t="s">
        <v>23</v>
      </c>
      <c r="C28" s="82" t="s">
        <v>24</v>
      </c>
      <c r="D28" s="81" t="s">
        <v>167</v>
      </c>
      <c r="E28" s="83">
        <v>2135.1999999999998</v>
      </c>
      <c r="F28" s="84">
        <f>SUM(E28*12)</f>
        <v>25622.399999999998</v>
      </c>
      <c r="G28" s="84">
        <v>6.15</v>
      </c>
      <c r="H28" s="85">
        <f>SUM(F28*G28/1000)</f>
        <v>157.57776000000001</v>
      </c>
      <c r="I28" s="13">
        <f>F28/12*G28</f>
        <v>13131.48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hidden="1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31.5" hidden="1" customHeight="1">
      <c r="A31" s="30">
        <v>8</v>
      </c>
      <c r="B31" s="81" t="s">
        <v>111</v>
      </c>
      <c r="C31" s="82" t="s">
        <v>92</v>
      </c>
      <c r="D31" s="81" t="s">
        <v>107</v>
      </c>
      <c r="E31" s="84">
        <v>331.9</v>
      </c>
      <c r="F31" s="84">
        <f>SUM(E31*52/1000)</f>
        <v>17.258800000000001</v>
      </c>
      <c r="G31" s="84">
        <v>166.65</v>
      </c>
      <c r="H31" s="85">
        <f t="shared" ref="H31:H37" si="1">SUM(F31*G31/1000)</f>
        <v>2.8761790199999999</v>
      </c>
      <c r="I31" s="13">
        <f t="shared" ref="I31:I35" si="2">F31/6*G31</f>
        <v>479.36317000000008</v>
      </c>
      <c r="J31" s="23"/>
      <c r="K31" s="8"/>
      <c r="L31" s="8"/>
      <c r="M31" s="8"/>
    </row>
    <row r="32" spans="1:13" ht="31.5" hidden="1" customHeight="1">
      <c r="A32" s="30">
        <v>9</v>
      </c>
      <c r="B32" s="81" t="s">
        <v>110</v>
      </c>
      <c r="C32" s="82" t="s">
        <v>92</v>
      </c>
      <c r="D32" s="81" t="s">
        <v>108</v>
      </c>
      <c r="E32" s="84">
        <v>115.82</v>
      </c>
      <c r="F32" s="84">
        <f>SUM(E32*78/1000)</f>
        <v>9.0339599999999987</v>
      </c>
      <c r="G32" s="84">
        <v>276.48</v>
      </c>
      <c r="H32" s="85">
        <f t="shared" si="1"/>
        <v>2.4977092607999998</v>
      </c>
      <c r="I32" s="13">
        <f t="shared" si="2"/>
        <v>416.28487679999995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82" t="s">
        <v>92</v>
      </c>
      <c r="D33" s="81" t="s">
        <v>53</v>
      </c>
      <c r="E33" s="84">
        <v>331.9</v>
      </c>
      <c r="F33" s="84">
        <f>SUM(E33/1000)</f>
        <v>0.33189999999999997</v>
      </c>
      <c r="G33" s="84">
        <v>3228.73</v>
      </c>
      <c r="H33" s="85">
        <f t="shared" si="1"/>
        <v>1.0716154870000001</v>
      </c>
      <c r="I33" s="13">
        <f>F33*G33</f>
        <v>1071.615487</v>
      </c>
      <c r="J33" s="23"/>
      <c r="K33" s="8"/>
      <c r="L33" s="8"/>
      <c r="M33" s="8"/>
    </row>
    <row r="34" spans="1:14" ht="15.75" hidden="1" customHeight="1">
      <c r="A34" s="30">
        <v>10</v>
      </c>
      <c r="B34" s="81" t="s">
        <v>143</v>
      </c>
      <c r="C34" s="82" t="s">
        <v>40</v>
      </c>
      <c r="D34" s="81" t="s">
        <v>63</v>
      </c>
      <c r="E34" s="84">
        <v>2</v>
      </c>
      <c r="F34" s="84">
        <v>3.1</v>
      </c>
      <c r="G34" s="84">
        <v>1391.86</v>
      </c>
      <c r="H34" s="85">
        <f>F34*G34/1000</f>
        <v>4.3147659999999997</v>
      </c>
      <c r="I34" s="13">
        <f t="shared" si="2"/>
        <v>719.12766666666664</v>
      </c>
      <c r="J34" s="23"/>
      <c r="K34" s="8"/>
    </row>
    <row r="35" spans="1:14" ht="15.75" hidden="1" customHeight="1">
      <c r="A35" s="30">
        <v>11</v>
      </c>
      <c r="B35" s="81" t="s">
        <v>109</v>
      </c>
      <c r="C35" s="82" t="s">
        <v>30</v>
      </c>
      <c r="D35" s="81" t="s">
        <v>63</v>
      </c>
      <c r="E35" s="88">
        <v>0.33333333333333331</v>
      </c>
      <c r="F35" s="84">
        <f>155/3</f>
        <v>51.666666666666664</v>
      </c>
      <c r="G35" s="84">
        <v>60.6</v>
      </c>
      <c r="H35" s="85">
        <f>SUM(G35*155/3/1000)</f>
        <v>3.1309999999999998</v>
      </c>
      <c r="I35" s="13">
        <f t="shared" si="2"/>
        <v>521.83333333333337</v>
      </c>
      <c r="J35" s="24"/>
    </row>
    <row r="36" spans="1:14" ht="15.75" hidden="1" customHeight="1">
      <c r="A36" s="30"/>
      <c r="B36" s="81" t="s">
        <v>65</v>
      </c>
      <c r="C36" s="82" t="s">
        <v>32</v>
      </c>
      <c r="D36" s="81" t="s">
        <v>67</v>
      </c>
      <c r="E36" s="83"/>
      <c r="F36" s="84">
        <v>3</v>
      </c>
      <c r="G36" s="84">
        <v>204.52</v>
      </c>
      <c r="H36" s="85">
        <f t="shared" si="1"/>
        <v>0.61356000000000011</v>
      </c>
      <c r="I36" s="13">
        <v>0</v>
      </c>
      <c r="J36" s="24"/>
    </row>
    <row r="37" spans="1:14" ht="15.75" hidden="1" customHeight="1">
      <c r="A37" s="30"/>
      <c r="B37" s="81" t="s">
        <v>66</v>
      </c>
      <c r="C37" s="82" t="s">
        <v>31</v>
      </c>
      <c r="D37" s="81" t="s">
        <v>67</v>
      </c>
      <c r="E37" s="83"/>
      <c r="F37" s="84">
        <v>2</v>
      </c>
      <c r="G37" s="84">
        <v>1214.74</v>
      </c>
      <c r="H37" s="85">
        <f t="shared" si="1"/>
        <v>2.4294799999999999</v>
      </c>
      <c r="I37" s="13">
        <v>0</v>
      </c>
      <c r="J37" s="24"/>
    </row>
    <row r="38" spans="1:14" ht="15.75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customHeight="1">
      <c r="A39" s="30">
        <v>7</v>
      </c>
      <c r="B39" s="81" t="s">
        <v>25</v>
      </c>
      <c r="C39" s="82" t="s">
        <v>31</v>
      </c>
      <c r="D39" s="81"/>
      <c r="E39" s="83"/>
      <c r="F39" s="84">
        <v>8</v>
      </c>
      <c r="G39" s="84">
        <v>1632.6</v>
      </c>
      <c r="H39" s="85">
        <f t="shared" ref="H39:H44" si="3">SUM(F39*G39/1000)</f>
        <v>13.060799999999999</v>
      </c>
      <c r="I39" s="13">
        <f t="shared" ref="I39:I44" si="4">F39/6*G39</f>
        <v>2176.7999999999997</v>
      </c>
      <c r="J39" s="24"/>
      <c r="L39" s="19"/>
      <c r="M39" s="20"/>
      <c r="N39" s="21"/>
    </row>
    <row r="40" spans="1:14" ht="15.75" customHeight="1">
      <c r="A40" s="30">
        <v>8</v>
      </c>
      <c r="B40" s="81" t="s">
        <v>126</v>
      </c>
      <c r="C40" s="82" t="s">
        <v>28</v>
      </c>
      <c r="D40" s="81" t="s">
        <v>90</v>
      </c>
      <c r="E40" s="83">
        <v>115.82</v>
      </c>
      <c r="F40" s="84">
        <f>E40*30/1000</f>
        <v>3.4745999999999997</v>
      </c>
      <c r="G40" s="84">
        <v>2247.8000000000002</v>
      </c>
      <c r="H40" s="85">
        <f>G40*F40/1000</f>
        <v>7.8102058799999998</v>
      </c>
      <c r="I40" s="13">
        <f t="shared" si="4"/>
        <v>1301.7009800000001</v>
      </c>
      <c r="J40" s="24"/>
      <c r="L40" s="19"/>
      <c r="M40" s="20"/>
      <c r="N40" s="21"/>
    </row>
    <row r="41" spans="1:14" ht="15.75" customHeight="1">
      <c r="A41" s="30">
        <v>9</v>
      </c>
      <c r="B41" s="81" t="s">
        <v>68</v>
      </c>
      <c r="C41" s="82" t="s">
        <v>28</v>
      </c>
      <c r="D41" s="81" t="s">
        <v>91</v>
      </c>
      <c r="E41" s="84">
        <v>115.82</v>
      </c>
      <c r="F41" s="84">
        <f>SUM(E41*155/1000)</f>
        <v>17.952099999999998</v>
      </c>
      <c r="G41" s="84">
        <v>374.95</v>
      </c>
      <c r="H41" s="85">
        <f t="shared" si="3"/>
        <v>6.7311398949999992</v>
      </c>
      <c r="I41" s="13">
        <f t="shared" si="4"/>
        <v>1121.8566491666666</v>
      </c>
      <c r="J41" s="24"/>
      <c r="L41" s="19"/>
      <c r="M41" s="20"/>
      <c r="N41" s="21"/>
    </row>
    <row r="42" spans="1:14" ht="47.25" customHeight="1">
      <c r="A42" s="30">
        <v>10</v>
      </c>
      <c r="B42" s="81" t="s">
        <v>84</v>
      </c>
      <c r="C42" s="82" t="s">
        <v>92</v>
      </c>
      <c r="D42" s="81" t="s">
        <v>127</v>
      </c>
      <c r="E42" s="84">
        <v>40</v>
      </c>
      <c r="F42" s="84">
        <f>SUM(E42*35/1000)</f>
        <v>1.4</v>
      </c>
      <c r="G42" s="84">
        <v>6203.7</v>
      </c>
      <c r="H42" s="85">
        <f t="shared" si="3"/>
        <v>8.685179999999999</v>
      </c>
      <c r="I42" s="13">
        <f t="shared" si="4"/>
        <v>1447.5299999999997</v>
      </c>
      <c r="J42" s="24"/>
      <c r="L42" s="19"/>
      <c r="M42" s="20"/>
      <c r="N42" s="21"/>
    </row>
    <row r="43" spans="1:14" ht="15.75" hidden="1" customHeight="1">
      <c r="A43" s="30">
        <v>11</v>
      </c>
      <c r="B43" s="81" t="s">
        <v>128</v>
      </c>
      <c r="C43" s="82" t="s">
        <v>92</v>
      </c>
      <c r="D43" s="81" t="s">
        <v>69</v>
      </c>
      <c r="E43" s="84">
        <v>115.82</v>
      </c>
      <c r="F43" s="84">
        <f>SUM(E43*45/1000)</f>
        <v>5.2119</v>
      </c>
      <c r="G43" s="84">
        <v>458.28</v>
      </c>
      <c r="H43" s="85">
        <f t="shared" si="3"/>
        <v>2.388509532</v>
      </c>
      <c r="I43" s="13">
        <f t="shared" si="4"/>
        <v>398.08492200000001</v>
      </c>
      <c r="J43" s="24"/>
      <c r="L43" s="19"/>
      <c r="M43" s="20"/>
      <c r="N43" s="21"/>
    </row>
    <row r="44" spans="1:14" ht="15.75" customHeight="1">
      <c r="A44" s="30">
        <v>11</v>
      </c>
      <c r="B44" s="81" t="s">
        <v>70</v>
      </c>
      <c r="C44" s="82" t="s">
        <v>32</v>
      </c>
      <c r="D44" s="81"/>
      <c r="E44" s="83"/>
      <c r="F44" s="84">
        <v>0.5</v>
      </c>
      <c r="G44" s="84">
        <v>853.06</v>
      </c>
      <c r="H44" s="85">
        <f t="shared" si="3"/>
        <v>0.42652999999999996</v>
      </c>
      <c r="I44" s="13">
        <f t="shared" si="4"/>
        <v>71.088333333333324</v>
      </c>
      <c r="J44" s="24"/>
      <c r="L44" s="19"/>
      <c r="M44" s="20"/>
      <c r="N44" s="21"/>
    </row>
    <row r="45" spans="1:14" ht="15.75" customHeight="1">
      <c r="A45" s="154" t="s">
        <v>138</v>
      </c>
      <c r="B45" s="155"/>
      <c r="C45" s="155"/>
      <c r="D45" s="155"/>
      <c r="E45" s="155"/>
      <c r="F45" s="155"/>
      <c r="G45" s="155"/>
      <c r="H45" s="155"/>
      <c r="I45" s="156"/>
      <c r="J45" s="24"/>
      <c r="L45" s="19"/>
      <c r="M45" s="20"/>
      <c r="N45" s="21"/>
    </row>
    <row r="46" spans="1:14" ht="15.75" hidden="1" customHeight="1">
      <c r="A46" s="30"/>
      <c r="B46" s="81" t="s">
        <v>112</v>
      </c>
      <c r="C46" s="82" t="s">
        <v>92</v>
      </c>
      <c r="D46" s="81" t="s">
        <v>42</v>
      </c>
      <c r="E46" s="83">
        <v>838.88</v>
      </c>
      <c r="F46" s="84">
        <f>SUM(E46*2/1000)</f>
        <v>1.6777599999999999</v>
      </c>
      <c r="G46" s="13">
        <v>865.61</v>
      </c>
      <c r="H46" s="85">
        <f t="shared" ref="H46:H55" si="5">SUM(F46*G46/1000)</f>
        <v>1.4522858336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81" t="s">
        <v>35</v>
      </c>
      <c r="C47" s="82" t="s">
        <v>92</v>
      </c>
      <c r="D47" s="81" t="s">
        <v>42</v>
      </c>
      <c r="E47" s="83">
        <v>26</v>
      </c>
      <c r="F47" s="84">
        <f>E47*2/1000</f>
        <v>5.1999999999999998E-2</v>
      </c>
      <c r="G47" s="13">
        <v>619.46</v>
      </c>
      <c r="H47" s="85">
        <f t="shared" si="5"/>
        <v>3.2211919999999998E-2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81" t="s">
        <v>36</v>
      </c>
      <c r="C48" s="82" t="s">
        <v>92</v>
      </c>
      <c r="D48" s="81" t="s">
        <v>42</v>
      </c>
      <c r="E48" s="83">
        <v>879</v>
      </c>
      <c r="F48" s="84">
        <f>SUM(E48*2/1000)</f>
        <v>1.758</v>
      </c>
      <c r="G48" s="13">
        <v>619.46</v>
      </c>
      <c r="H48" s="85">
        <f t="shared" si="5"/>
        <v>1.0890106800000001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81" t="s">
        <v>37</v>
      </c>
      <c r="C49" s="82" t="s">
        <v>92</v>
      </c>
      <c r="D49" s="81" t="s">
        <v>42</v>
      </c>
      <c r="E49" s="83">
        <v>1490.75</v>
      </c>
      <c r="F49" s="84">
        <f>SUM(E49*2/1000)</f>
        <v>2.9815</v>
      </c>
      <c r="G49" s="13">
        <v>648.64</v>
      </c>
      <c r="H49" s="85">
        <f t="shared" si="5"/>
        <v>1.93392016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81" t="s">
        <v>33</v>
      </c>
      <c r="C50" s="82" t="s">
        <v>34</v>
      </c>
      <c r="D50" s="81" t="s">
        <v>42</v>
      </c>
      <c r="E50" s="83">
        <v>61.04</v>
      </c>
      <c r="F50" s="84">
        <f>SUM(E50*2/100)</f>
        <v>1.2207999999999999</v>
      </c>
      <c r="G50" s="13">
        <v>77.84</v>
      </c>
      <c r="H50" s="85">
        <f t="shared" si="5"/>
        <v>9.502707199999999E-2</v>
      </c>
      <c r="I50" s="13">
        <v>0</v>
      </c>
      <c r="J50" s="24"/>
      <c r="L50" s="19"/>
      <c r="M50" s="20"/>
      <c r="N50" s="21"/>
    </row>
    <row r="51" spans="1:22" ht="15.75" customHeight="1">
      <c r="A51" s="30">
        <v>12</v>
      </c>
      <c r="B51" s="81" t="s">
        <v>56</v>
      </c>
      <c r="C51" s="82" t="s">
        <v>92</v>
      </c>
      <c r="D51" s="81" t="s">
        <v>150</v>
      </c>
      <c r="E51" s="83">
        <v>1342.2</v>
      </c>
      <c r="F51" s="84">
        <f>SUM(E51*5/1000)</f>
        <v>6.7110000000000003</v>
      </c>
      <c r="G51" s="13">
        <v>1297.28</v>
      </c>
      <c r="H51" s="85">
        <f t="shared" si="5"/>
        <v>8.7060460800000001</v>
      </c>
      <c r="I51" s="13">
        <f>F51/5*G51</f>
        <v>1741.209216</v>
      </c>
      <c r="J51" s="24"/>
      <c r="L51" s="19"/>
      <c r="M51" s="20"/>
      <c r="N51" s="21"/>
    </row>
    <row r="52" spans="1:22" ht="31.5" hidden="1" customHeight="1">
      <c r="A52" s="30"/>
      <c r="B52" s="81" t="s">
        <v>93</v>
      </c>
      <c r="C52" s="82" t="s">
        <v>92</v>
      </c>
      <c r="D52" s="81" t="s">
        <v>42</v>
      </c>
      <c r="E52" s="83">
        <v>1342.2</v>
      </c>
      <c r="F52" s="84">
        <f>SUM(E52*2/1000)</f>
        <v>2.6844000000000001</v>
      </c>
      <c r="G52" s="13">
        <v>1297.28</v>
      </c>
      <c r="H52" s="85">
        <f t="shared" si="5"/>
        <v>3.4824184319999998</v>
      </c>
      <c r="I52" s="13">
        <v>0</v>
      </c>
      <c r="J52" s="24"/>
      <c r="L52" s="19"/>
      <c r="M52" s="20"/>
      <c r="N52" s="21"/>
    </row>
    <row r="53" spans="1:22" ht="31.5" hidden="1" customHeight="1">
      <c r="A53" s="30"/>
      <c r="B53" s="81" t="s">
        <v>94</v>
      </c>
      <c r="C53" s="82" t="s">
        <v>38</v>
      </c>
      <c r="D53" s="81" t="s">
        <v>42</v>
      </c>
      <c r="E53" s="83">
        <v>10</v>
      </c>
      <c r="F53" s="84">
        <f>SUM(E53*2/100)</f>
        <v>0.2</v>
      </c>
      <c r="G53" s="13">
        <v>2918.89</v>
      </c>
      <c r="H53" s="85">
        <f t="shared" si="5"/>
        <v>0.58377800000000002</v>
      </c>
      <c r="I53" s="13">
        <v>0</v>
      </c>
      <c r="J53" s="24"/>
      <c r="L53" s="19"/>
      <c r="M53" s="20"/>
      <c r="N53" s="21"/>
    </row>
    <row r="54" spans="1:22" ht="15.75" hidden="1" customHeight="1">
      <c r="A54" s="30"/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3">
        <v>6042.12</v>
      </c>
      <c r="H54" s="85">
        <f t="shared" si="5"/>
        <v>0.1208424</v>
      </c>
      <c r="I54" s="13">
        <v>0</v>
      </c>
      <c r="J54" s="24"/>
      <c r="L54" s="19"/>
      <c r="M54" s="20"/>
      <c r="N54" s="21"/>
    </row>
    <row r="55" spans="1:22" ht="15.75" hidden="1" customHeight="1">
      <c r="A55" s="30">
        <v>15</v>
      </c>
      <c r="B55" s="81" t="s">
        <v>41</v>
      </c>
      <c r="C55" s="82" t="s">
        <v>113</v>
      </c>
      <c r="D55" s="81" t="s">
        <v>71</v>
      </c>
      <c r="E55" s="83">
        <v>80</v>
      </c>
      <c r="F55" s="84">
        <f>SUM(E55)*3</f>
        <v>240</v>
      </c>
      <c r="G55" s="13">
        <v>70.209999999999994</v>
      </c>
      <c r="H55" s="85">
        <f t="shared" si="5"/>
        <v>16.850399999999997</v>
      </c>
      <c r="I55" s="13">
        <f>E55*G55</f>
        <v>5616.7999999999993</v>
      </c>
      <c r="J55" s="24"/>
      <c r="L55" s="19"/>
      <c r="M55" s="20"/>
      <c r="N55" s="21"/>
    </row>
    <row r="56" spans="1:22" ht="15.75" customHeight="1">
      <c r="A56" s="154" t="s">
        <v>137</v>
      </c>
      <c r="B56" s="155"/>
      <c r="C56" s="155"/>
      <c r="D56" s="155"/>
      <c r="E56" s="155"/>
      <c r="F56" s="155"/>
      <c r="G56" s="155"/>
      <c r="H56" s="155"/>
      <c r="I56" s="156"/>
      <c r="J56" s="24"/>
      <c r="L56" s="19"/>
      <c r="M56" s="20"/>
      <c r="N56" s="21"/>
    </row>
    <row r="57" spans="1:22" ht="15.75" customHeight="1">
      <c r="A57" s="30"/>
      <c r="B57" s="103" t="s">
        <v>43</v>
      </c>
      <c r="C57" s="82"/>
      <c r="D57" s="81"/>
      <c r="E57" s="83"/>
      <c r="F57" s="84"/>
      <c r="G57" s="84"/>
      <c r="H57" s="85"/>
      <c r="I57" s="13"/>
      <c r="J57" s="24"/>
      <c r="L57" s="19"/>
      <c r="M57" s="20"/>
      <c r="N57" s="21"/>
    </row>
    <row r="58" spans="1:22" ht="31.5" customHeight="1">
      <c r="A58" s="30">
        <v>13</v>
      </c>
      <c r="B58" s="81" t="s">
        <v>114</v>
      </c>
      <c r="C58" s="82" t="s">
        <v>89</v>
      </c>
      <c r="D58" s="81" t="s">
        <v>115</v>
      </c>
      <c r="E58" s="83">
        <v>90.76</v>
      </c>
      <c r="F58" s="84">
        <f>SUM(E58*6/100)</f>
        <v>5.4456000000000007</v>
      </c>
      <c r="G58" s="13">
        <v>1654.04</v>
      </c>
      <c r="H58" s="85">
        <f>SUM(F58*G58/1000)</f>
        <v>9.0072402240000002</v>
      </c>
      <c r="I58" s="13">
        <f>F58/6*G58</f>
        <v>1501.2067040000002</v>
      </c>
      <c r="J58" s="24"/>
      <c r="L58" s="19"/>
    </row>
    <row r="59" spans="1:22" ht="15.75" hidden="1" customHeight="1">
      <c r="A59" s="30"/>
      <c r="B59" s="103" t="s">
        <v>44</v>
      </c>
      <c r="C59" s="82"/>
      <c r="D59" s="81"/>
      <c r="E59" s="83"/>
      <c r="F59" s="84"/>
      <c r="G59" s="75"/>
      <c r="H59" s="85"/>
      <c r="I59" s="13"/>
    </row>
    <row r="60" spans="1:22" ht="15.75" hidden="1" customHeight="1">
      <c r="A60" s="30"/>
      <c r="B60" s="81" t="s">
        <v>132</v>
      </c>
      <c r="C60" s="82" t="s">
        <v>89</v>
      </c>
      <c r="D60" s="81" t="s">
        <v>144</v>
      </c>
      <c r="E60" s="83">
        <v>1342.2</v>
      </c>
      <c r="F60" s="85">
        <f>E60/100</f>
        <v>13.422000000000001</v>
      </c>
      <c r="G60" s="13">
        <v>848.37</v>
      </c>
      <c r="H60" s="90">
        <f>F60*G60/1000</f>
        <v>11.38682214</v>
      </c>
      <c r="I60" s="13">
        <v>0</v>
      </c>
    </row>
    <row r="61" spans="1:22" ht="15.75" hidden="1" customHeight="1">
      <c r="A61" s="30"/>
      <c r="B61" s="104" t="s">
        <v>45</v>
      </c>
      <c r="C61" s="91"/>
      <c r="D61" s="92"/>
      <c r="E61" s="93"/>
      <c r="F61" s="94"/>
      <c r="G61" s="94"/>
      <c r="H61" s="95" t="s">
        <v>122</v>
      </c>
      <c r="I61" s="13"/>
    </row>
    <row r="62" spans="1:22" ht="15.75" hidden="1" customHeight="1">
      <c r="A62" s="30"/>
      <c r="B62" s="14" t="s">
        <v>46</v>
      </c>
      <c r="C62" s="16" t="s">
        <v>113</v>
      </c>
      <c r="D62" s="14" t="s">
        <v>67</v>
      </c>
      <c r="E62" s="18">
        <v>10</v>
      </c>
      <c r="F62" s="84">
        <v>10</v>
      </c>
      <c r="G62" s="13">
        <v>237.74</v>
      </c>
      <c r="H62" s="80">
        <f t="shared" ref="H62:H75" si="6">SUM(F62*G62/1000)</f>
        <v>2.3774000000000002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0"/>
      <c r="B63" s="14" t="s">
        <v>47</v>
      </c>
      <c r="C63" s="16" t="s">
        <v>113</v>
      </c>
      <c r="D63" s="14" t="s">
        <v>67</v>
      </c>
      <c r="E63" s="18">
        <v>5</v>
      </c>
      <c r="F63" s="84">
        <v>5</v>
      </c>
      <c r="G63" s="13">
        <v>81.510000000000005</v>
      </c>
      <c r="H63" s="80">
        <f t="shared" si="6"/>
        <v>0.40755000000000002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0"/>
      <c r="B64" s="14" t="s">
        <v>48</v>
      </c>
      <c r="C64" s="16" t="s">
        <v>116</v>
      </c>
      <c r="D64" s="14" t="s">
        <v>53</v>
      </c>
      <c r="E64" s="83">
        <v>10348</v>
      </c>
      <c r="F64" s="13">
        <f>SUM(E64/100)</f>
        <v>103.48</v>
      </c>
      <c r="G64" s="13">
        <v>226.79</v>
      </c>
      <c r="H64" s="80">
        <f t="shared" si="6"/>
        <v>23.468229200000003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0"/>
      <c r="B65" s="14" t="s">
        <v>49</v>
      </c>
      <c r="C65" s="16" t="s">
        <v>117</v>
      </c>
      <c r="D65" s="14"/>
      <c r="E65" s="83">
        <v>10348</v>
      </c>
      <c r="F65" s="13">
        <f>SUM(E65/1000)</f>
        <v>10.348000000000001</v>
      </c>
      <c r="G65" s="13">
        <v>176.61</v>
      </c>
      <c r="H65" s="80">
        <f t="shared" si="6"/>
        <v>1.8275602800000004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47"/>
      <c r="S65" s="147"/>
      <c r="T65" s="147"/>
      <c r="U65" s="147"/>
    </row>
    <row r="66" spans="1:21" ht="15.75" hidden="1" customHeight="1">
      <c r="A66" s="30"/>
      <c r="B66" s="14" t="s">
        <v>50</v>
      </c>
      <c r="C66" s="16" t="s">
        <v>77</v>
      </c>
      <c r="D66" s="14" t="s">
        <v>53</v>
      </c>
      <c r="E66" s="83">
        <v>1645</v>
      </c>
      <c r="F66" s="13">
        <f>SUM(E66/100)</f>
        <v>16.45</v>
      </c>
      <c r="G66" s="13">
        <v>2217.7800000000002</v>
      </c>
      <c r="H66" s="80">
        <f t="shared" si="6"/>
        <v>36.482481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0"/>
      <c r="B67" s="96" t="s">
        <v>118</v>
      </c>
      <c r="C67" s="16" t="s">
        <v>32</v>
      </c>
      <c r="D67" s="14"/>
      <c r="E67" s="83">
        <v>8.6</v>
      </c>
      <c r="F67" s="13">
        <f>SUM(E67)</f>
        <v>8.6</v>
      </c>
      <c r="G67" s="13">
        <v>42.67</v>
      </c>
      <c r="H67" s="80">
        <f t="shared" si="6"/>
        <v>0.36696200000000001</v>
      </c>
      <c r="I67" s="13">
        <v>0</v>
      </c>
    </row>
    <row r="68" spans="1:21" ht="15.75" hidden="1" customHeight="1">
      <c r="A68" s="30"/>
      <c r="B68" s="96" t="s">
        <v>119</v>
      </c>
      <c r="C68" s="16" t="s">
        <v>32</v>
      </c>
      <c r="D68" s="14"/>
      <c r="E68" s="83">
        <v>8.6</v>
      </c>
      <c r="F68" s="13">
        <f>SUM(E68)</f>
        <v>8.6</v>
      </c>
      <c r="G68" s="13">
        <v>39.81</v>
      </c>
      <c r="H68" s="80">
        <f t="shared" si="6"/>
        <v>0.342366</v>
      </c>
      <c r="I68" s="13">
        <v>0</v>
      </c>
    </row>
    <row r="69" spans="1:21" ht="15.75" hidden="1" customHeight="1">
      <c r="A69" s="30"/>
      <c r="B69" s="14" t="s">
        <v>57</v>
      </c>
      <c r="C69" s="16" t="s">
        <v>58</v>
      </c>
      <c r="D69" s="14" t="s">
        <v>53</v>
      </c>
      <c r="E69" s="18">
        <v>5</v>
      </c>
      <c r="F69" s="84">
        <v>5</v>
      </c>
      <c r="G69" s="13">
        <v>53.32</v>
      </c>
      <c r="H69" s="80">
        <f t="shared" si="6"/>
        <v>0.2666</v>
      </c>
      <c r="I69" s="13">
        <v>0</v>
      </c>
    </row>
    <row r="70" spans="1:21" ht="15.75" hidden="1" customHeight="1">
      <c r="A70" s="30"/>
      <c r="B70" s="66" t="s">
        <v>72</v>
      </c>
      <c r="C70" s="16"/>
      <c r="D70" s="14"/>
      <c r="E70" s="18"/>
      <c r="F70" s="13"/>
      <c r="G70" s="13"/>
      <c r="H70" s="80" t="s">
        <v>122</v>
      </c>
      <c r="I70" s="13"/>
    </row>
    <row r="71" spans="1:21" ht="15.75" hidden="1" customHeight="1">
      <c r="A71" s="30"/>
      <c r="B71" s="14" t="s">
        <v>73</v>
      </c>
      <c r="C71" s="16" t="s">
        <v>75</v>
      </c>
      <c r="D71" s="14"/>
      <c r="E71" s="18">
        <v>2</v>
      </c>
      <c r="F71" s="13">
        <v>0.2</v>
      </c>
      <c r="G71" s="13">
        <v>536.23</v>
      </c>
      <c r="H71" s="80">
        <f t="shared" si="6"/>
        <v>0.10724600000000001</v>
      </c>
      <c r="I71" s="13">
        <v>0</v>
      </c>
    </row>
    <row r="72" spans="1:21" ht="15.75" hidden="1" customHeight="1">
      <c r="A72" s="30"/>
      <c r="B72" s="14" t="s">
        <v>74</v>
      </c>
      <c r="C72" s="16" t="s">
        <v>30</v>
      </c>
      <c r="D72" s="14"/>
      <c r="E72" s="18">
        <v>2</v>
      </c>
      <c r="F72" s="75">
        <v>2</v>
      </c>
      <c r="G72" s="13">
        <v>911.85</v>
      </c>
      <c r="H72" s="80">
        <f>F72*G72/1000</f>
        <v>1.8237000000000001</v>
      </c>
      <c r="I72" s="13">
        <v>0</v>
      </c>
    </row>
    <row r="73" spans="1:21" ht="15.75" hidden="1" customHeight="1">
      <c r="A73" s="30"/>
      <c r="B73" s="14" t="s">
        <v>129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80">
        <f>G73*F73/1000</f>
        <v>0.38324999999999998</v>
      </c>
      <c r="I73" s="13">
        <v>0</v>
      </c>
    </row>
    <row r="74" spans="1:21" ht="15.75" hidden="1" customHeight="1">
      <c r="A74" s="30"/>
      <c r="B74" s="98" t="s">
        <v>76</v>
      </c>
      <c r="C74" s="16"/>
      <c r="D74" s="14"/>
      <c r="E74" s="18"/>
      <c r="F74" s="13"/>
      <c r="G74" s="13" t="s">
        <v>122</v>
      </c>
      <c r="H74" s="80" t="s">
        <v>122</v>
      </c>
      <c r="I74" s="13"/>
    </row>
    <row r="75" spans="1:21" ht="0.75" hidden="1" customHeight="1">
      <c r="A75" s="30"/>
      <c r="B75" s="52" t="s">
        <v>123</v>
      </c>
      <c r="C75" s="16" t="s">
        <v>77</v>
      </c>
      <c r="D75" s="14"/>
      <c r="E75" s="18"/>
      <c r="F75" s="13">
        <v>0.6</v>
      </c>
      <c r="G75" s="13">
        <v>2949.85</v>
      </c>
      <c r="H75" s="80">
        <f t="shared" si="6"/>
        <v>1.7699099999999999</v>
      </c>
      <c r="I75" s="13">
        <v>0</v>
      </c>
    </row>
    <row r="76" spans="1:21" ht="15.75" hidden="1" customHeight="1">
      <c r="A76" s="30"/>
      <c r="B76" s="105" t="s">
        <v>95</v>
      </c>
      <c r="C76" s="98"/>
      <c r="D76" s="32"/>
      <c r="E76" s="33"/>
      <c r="F76" s="87"/>
      <c r="G76" s="87"/>
      <c r="H76" s="99">
        <f>SUM(H58:H75)</f>
        <v>90.017316844000007</v>
      </c>
      <c r="I76" s="87"/>
    </row>
    <row r="77" spans="1:21" ht="15.75" hidden="1" customHeight="1">
      <c r="A77" s="30">
        <v>17</v>
      </c>
      <c r="B77" s="81" t="s">
        <v>120</v>
      </c>
      <c r="C77" s="16"/>
      <c r="D77" s="14"/>
      <c r="E77" s="100"/>
      <c r="F77" s="13">
        <v>1</v>
      </c>
      <c r="G77" s="13">
        <v>6480.5</v>
      </c>
      <c r="H77" s="80">
        <f>G77*F77/1000</f>
        <v>6.4805000000000001</v>
      </c>
      <c r="I77" s="13">
        <f>G77</f>
        <v>6480.5</v>
      </c>
    </row>
    <row r="78" spans="1:21" ht="15.75" customHeight="1">
      <c r="A78" s="154" t="s">
        <v>136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30">
        <v>14</v>
      </c>
      <c r="B79" s="81" t="s">
        <v>121</v>
      </c>
      <c r="C79" s="16" t="s">
        <v>54</v>
      </c>
      <c r="D79" s="59" t="s">
        <v>55</v>
      </c>
      <c r="E79" s="13">
        <v>2135.1999999999998</v>
      </c>
      <c r="F79" s="13">
        <f>SUM(E79*12)</f>
        <v>25622.399999999998</v>
      </c>
      <c r="G79" s="13">
        <v>2.2400000000000002</v>
      </c>
      <c r="H79" s="80">
        <f>SUM(F79*G79/1000)</f>
        <v>57.394176000000002</v>
      </c>
      <c r="I79" s="13">
        <f>F79/12*G79</f>
        <v>4782.848</v>
      </c>
    </row>
    <row r="80" spans="1:21" ht="31.5" customHeight="1">
      <c r="A80" s="30">
        <v>15</v>
      </c>
      <c r="B80" s="14" t="s">
        <v>78</v>
      </c>
      <c r="C80" s="16"/>
      <c r="D80" s="59" t="s">
        <v>55</v>
      </c>
      <c r="E80" s="83">
        <f>E79</f>
        <v>2135.1999999999998</v>
      </c>
      <c r="F80" s="13">
        <f>E80*12</f>
        <v>25622.399999999998</v>
      </c>
      <c r="G80" s="13">
        <v>1.74</v>
      </c>
      <c r="H80" s="80">
        <f>F80*G80/1000</f>
        <v>44.582975999999995</v>
      </c>
      <c r="I80" s="13">
        <f>F80/12*G80</f>
        <v>3715.2479999999996</v>
      </c>
    </row>
    <row r="81" spans="1:9" ht="15.75" customHeight="1">
      <c r="A81" s="30"/>
      <c r="B81" s="45" t="s">
        <v>81</v>
      </c>
      <c r="C81" s="98"/>
      <c r="D81" s="97"/>
      <c r="E81" s="87"/>
      <c r="F81" s="87"/>
      <c r="G81" s="87"/>
      <c r="H81" s="99">
        <f>H80</f>
        <v>44.582975999999995</v>
      </c>
      <c r="I81" s="87">
        <f>I16+I17+I18+I20+I27+I28+I39+I40+I41+I42+I44+I51+I58+I79+I80</f>
        <v>36916.803879833329</v>
      </c>
    </row>
    <row r="82" spans="1:9" ht="15.75" customHeight="1">
      <c r="A82" s="158" t="s">
        <v>60</v>
      </c>
      <c r="B82" s="159"/>
      <c r="C82" s="159"/>
      <c r="D82" s="159"/>
      <c r="E82" s="159"/>
      <c r="F82" s="159"/>
      <c r="G82" s="159"/>
      <c r="H82" s="159"/>
      <c r="I82" s="160"/>
    </row>
    <row r="83" spans="1:9" ht="15.75" customHeight="1">
      <c r="A83" s="30">
        <v>16</v>
      </c>
      <c r="B83" s="56" t="s">
        <v>124</v>
      </c>
      <c r="C83" s="57" t="s">
        <v>113</v>
      </c>
      <c r="D83" s="52"/>
      <c r="E83" s="13"/>
      <c r="F83" s="13">
        <v>492</v>
      </c>
      <c r="G83" s="13">
        <v>53.42</v>
      </c>
      <c r="H83" s="80">
        <f t="shared" ref="H83:H84" si="7">G83*F83/1000</f>
        <v>26.282640000000001</v>
      </c>
      <c r="I83" s="13">
        <f>G83*41</f>
        <v>2190.2200000000003</v>
      </c>
    </row>
    <row r="84" spans="1:9" ht="31.5" customHeight="1">
      <c r="A84" s="30">
        <v>17</v>
      </c>
      <c r="B84" s="56" t="s">
        <v>171</v>
      </c>
      <c r="C84" s="42" t="s">
        <v>172</v>
      </c>
      <c r="D84" s="60"/>
      <c r="E84" s="39"/>
      <c r="F84" s="13">
        <v>2.5</v>
      </c>
      <c r="G84" s="39">
        <v>1187</v>
      </c>
      <c r="H84" s="39">
        <f t="shared" si="7"/>
        <v>2.9674999999999998</v>
      </c>
      <c r="I84" s="13">
        <f>G84*2.5</f>
        <v>2967.5</v>
      </c>
    </row>
    <row r="85" spans="1:9" ht="15.75" customHeight="1">
      <c r="A85" s="30">
        <v>18</v>
      </c>
      <c r="B85" s="101" t="s">
        <v>148</v>
      </c>
      <c r="C85" s="102" t="s">
        <v>149</v>
      </c>
      <c r="D85" s="60"/>
      <c r="E85" s="39"/>
      <c r="F85" s="39">
        <f>3/3</f>
        <v>1</v>
      </c>
      <c r="G85" s="39">
        <v>1120.8900000000001</v>
      </c>
      <c r="H85" s="79">
        <f>G85*F85/1000</f>
        <v>1.1208900000000002</v>
      </c>
      <c r="I85" s="13">
        <f>G85</f>
        <v>1120.8900000000001</v>
      </c>
    </row>
    <row r="86" spans="1:9" ht="15.75" customHeight="1">
      <c r="A86" s="30"/>
      <c r="B86" s="50" t="s">
        <v>51</v>
      </c>
      <c r="C86" s="57"/>
      <c r="D86" s="52"/>
      <c r="E86" s="13"/>
      <c r="F86" s="13"/>
      <c r="G86" s="13"/>
      <c r="H86" s="80"/>
      <c r="I86" s="87">
        <f>SUM(I83:I85)</f>
        <v>6278.6100000000006</v>
      </c>
    </row>
    <row r="87" spans="1:9">
      <c r="A87" s="30"/>
      <c r="B87" s="52" t="s">
        <v>79</v>
      </c>
      <c r="C87" s="15"/>
      <c r="D87" s="15"/>
      <c r="E87" s="47"/>
      <c r="F87" s="47"/>
      <c r="G87" s="48"/>
      <c r="H87" s="48"/>
      <c r="I87" s="17">
        <v>0</v>
      </c>
    </row>
    <row r="88" spans="1:9">
      <c r="A88" s="54"/>
      <c r="B88" s="51" t="s">
        <v>169</v>
      </c>
      <c r="C88" s="38"/>
      <c r="D88" s="38"/>
      <c r="E88" s="38"/>
      <c r="F88" s="38"/>
      <c r="G88" s="38"/>
      <c r="H88" s="38"/>
      <c r="I88" s="49">
        <f>I81+I86</f>
        <v>43195.41387983333</v>
      </c>
    </row>
    <row r="89" spans="1:9" ht="15.75" customHeight="1">
      <c r="A89" s="165" t="s">
        <v>233</v>
      </c>
      <c r="B89" s="165"/>
      <c r="C89" s="165"/>
      <c r="D89" s="165"/>
      <c r="E89" s="165"/>
      <c r="F89" s="165"/>
      <c r="G89" s="165"/>
      <c r="H89" s="165"/>
      <c r="I89" s="165"/>
    </row>
    <row r="90" spans="1:9" ht="15.75" customHeight="1">
      <c r="A90" s="68"/>
      <c r="B90" s="166" t="s">
        <v>234</v>
      </c>
      <c r="C90" s="166"/>
      <c r="D90" s="166"/>
      <c r="E90" s="166"/>
      <c r="F90" s="166"/>
      <c r="G90" s="166"/>
      <c r="H90" s="78"/>
      <c r="I90" s="3"/>
    </row>
    <row r="91" spans="1:9">
      <c r="A91" s="64"/>
      <c r="B91" s="163" t="s">
        <v>6</v>
      </c>
      <c r="C91" s="163"/>
      <c r="D91" s="163"/>
      <c r="E91" s="163"/>
      <c r="F91" s="163"/>
      <c r="G91" s="163"/>
      <c r="H91" s="25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67" t="s">
        <v>7</v>
      </c>
      <c r="B93" s="167"/>
      <c r="C93" s="167"/>
      <c r="D93" s="167"/>
      <c r="E93" s="167"/>
      <c r="F93" s="167"/>
      <c r="G93" s="167"/>
      <c r="H93" s="167"/>
      <c r="I93" s="167"/>
    </row>
    <row r="94" spans="1:9" ht="15.75" customHeight="1">
      <c r="A94" s="167" t="s">
        <v>8</v>
      </c>
      <c r="B94" s="167"/>
      <c r="C94" s="167"/>
      <c r="D94" s="167"/>
      <c r="E94" s="167"/>
      <c r="F94" s="167"/>
      <c r="G94" s="167"/>
      <c r="H94" s="167"/>
      <c r="I94" s="167"/>
    </row>
    <row r="95" spans="1:9" ht="15.75">
      <c r="A95" s="144" t="s">
        <v>61</v>
      </c>
      <c r="B95" s="144"/>
      <c r="C95" s="144"/>
      <c r="D95" s="144"/>
      <c r="E95" s="144"/>
      <c r="F95" s="144"/>
      <c r="G95" s="144"/>
      <c r="H95" s="144"/>
      <c r="I95" s="144"/>
    </row>
    <row r="96" spans="1:9" ht="15.75">
      <c r="A96" s="11"/>
    </row>
    <row r="97" spans="1:9" ht="15.75" customHeight="1">
      <c r="A97" s="145" t="s">
        <v>9</v>
      </c>
      <c r="B97" s="145"/>
      <c r="C97" s="145"/>
      <c r="D97" s="145"/>
      <c r="E97" s="145"/>
      <c r="F97" s="145"/>
      <c r="G97" s="145"/>
      <c r="H97" s="145"/>
      <c r="I97" s="145"/>
    </row>
    <row r="98" spans="1:9" ht="15.75" customHeight="1">
      <c r="A98" s="4"/>
    </row>
    <row r="99" spans="1:9" ht="15.75" customHeight="1">
      <c r="B99" s="65" t="s">
        <v>10</v>
      </c>
      <c r="C99" s="162" t="s">
        <v>139</v>
      </c>
      <c r="D99" s="162"/>
      <c r="E99" s="162"/>
      <c r="F99" s="76"/>
      <c r="I99" s="63"/>
    </row>
    <row r="100" spans="1:9" ht="15.75" customHeight="1">
      <c r="A100" s="64"/>
      <c r="C100" s="163" t="s">
        <v>11</v>
      </c>
      <c r="D100" s="163"/>
      <c r="E100" s="163"/>
      <c r="F100" s="25"/>
      <c r="I100" s="62" t="s">
        <v>12</v>
      </c>
    </row>
    <row r="101" spans="1:9" ht="15.75" customHeight="1">
      <c r="A101" s="26"/>
      <c r="C101" s="12"/>
      <c r="D101" s="12"/>
      <c r="G101" s="12"/>
      <c r="H101" s="12"/>
    </row>
    <row r="102" spans="1:9" ht="15.75" customHeight="1">
      <c r="B102" s="65" t="s">
        <v>13</v>
      </c>
      <c r="C102" s="164"/>
      <c r="D102" s="164"/>
      <c r="E102" s="164"/>
      <c r="F102" s="77"/>
      <c r="I102" s="63"/>
    </row>
    <row r="103" spans="1:9">
      <c r="A103" s="64"/>
      <c r="C103" s="147" t="s">
        <v>11</v>
      </c>
      <c r="D103" s="147"/>
      <c r="E103" s="147"/>
      <c r="F103" s="64"/>
      <c r="I103" s="62" t="s">
        <v>12</v>
      </c>
    </row>
    <row r="104" spans="1:9" ht="15.75">
      <c r="A104" s="4" t="s">
        <v>14</v>
      </c>
    </row>
    <row r="105" spans="1:9">
      <c r="A105" s="161" t="s">
        <v>15</v>
      </c>
      <c r="B105" s="161"/>
      <c r="C105" s="161"/>
      <c r="D105" s="161"/>
      <c r="E105" s="161"/>
      <c r="F105" s="161"/>
      <c r="G105" s="161"/>
      <c r="H105" s="161"/>
      <c r="I105" s="161"/>
    </row>
    <row r="106" spans="1:9" ht="45" customHeight="1">
      <c r="A106" s="157" t="s">
        <v>16</v>
      </c>
      <c r="B106" s="157"/>
      <c r="C106" s="157"/>
      <c r="D106" s="157"/>
      <c r="E106" s="157"/>
      <c r="F106" s="157"/>
      <c r="G106" s="157"/>
      <c r="H106" s="157"/>
      <c r="I106" s="157"/>
    </row>
    <row r="107" spans="1:9" ht="30" customHeight="1">
      <c r="A107" s="157" t="s">
        <v>17</v>
      </c>
      <c r="B107" s="157"/>
      <c r="C107" s="157"/>
      <c r="D107" s="157"/>
      <c r="E107" s="157"/>
      <c r="F107" s="157"/>
      <c r="G107" s="157"/>
      <c r="H107" s="157"/>
      <c r="I107" s="157"/>
    </row>
    <row r="108" spans="1:9" ht="30" customHeight="1">
      <c r="A108" s="157" t="s">
        <v>21</v>
      </c>
      <c r="B108" s="157"/>
      <c r="C108" s="157"/>
      <c r="D108" s="157"/>
      <c r="E108" s="157"/>
      <c r="F108" s="157"/>
      <c r="G108" s="157"/>
      <c r="H108" s="157"/>
      <c r="I108" s="157"/>
    </row>
    <row r="109" spans="1:9" ht="15" customHeight="1">
      <c r="A109" s="157" t="s">
        <v>20</v>
      </c>
      <c r="B109" s="157"/>
      <c r="C109" s="157"/>
      <c r="D109" s="157"/>
      <c r="E109" s="157"/>
      <c r="F109" s="157"/>
      <c r="G109" s="157"/>
      <c r="H109" s="157"/>
      <c r="I109" s="157"/>
    </row>
  </sheetData>
  <autoFilter ref="I12:I60"/>
  <mergeCells count="29"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  <mergeCell ref="A95:I95"/>
    <mergeCell ref="A15:I15"/>
    <mergeCell ref="A29:I29"/>
    <mergeCell ref="A45:I45"/>
    <mergeCell ref="A56:I56"/>
    <mergeCell ref="A82:I82"/>
    <mergeCell ref="A89:I89"/>
    <mergeCell ref="B90:G90"/>
    <mergeCell ref="B91:G91"/>
    <mergeCell ref="A93:I93"/>
    <mergeCell ref="A94:I94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152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173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42825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162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81" t="s">
        <v>88</v>
      </c>
      <c r="C16" s="82" t="s">
        <v>89</v>
      </c>
      <c r="D16" s="81" t="s">
        <v>164</v>
      </c>
      <c r="E16" s="83">
        <v>37.78</v>
      </c>
      <c r="F16" s="84">
        <f>SUM(E16*156/100)</f>
        <v>58.936800000000005</v>
      </c>
      <c r="G16" s="84">
        <v>187.48</v>
      </c>
      <c r="H16" s="85">
        <f t="shared" ref="H16:H26" si="0">SUM(F16*G16/1000)</f>
        <v>11.049471263999999</v>
      </c>
      <c r="I16" s="13">
        <f>F16/12*G16</f>
        <v>920.78927199999998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141</v>
      </c>
      <c r="C17" s="82" t="s">
        <v>89</v>
      </c>
      <c r="D17" s="81" t="s">
        <v>165</v>
      </c>
      <c r="E17" s="83">
        <v>151.12</v>
      </c>
      <c r="F17" s="84">
        <f>SUM(E17*104/100)</f>
        <v>157.16479999999999</v>
      </c>
      <c r="G17" s="84">
        <v>187.48</v>
      </c>
      <c r="H17" s="85">
        <f t="shared" si="0"/>
        <v>29.465256703999994</v>
      </c>
      <c r="I17" s="13">
        <f>F17/12*G17</f>
        <v>2455.4380586666662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142</v>
      </c>
      <c r="C18" s="82" t="s">
        <v>89</v>
      </c>
      <c r="D18" s="81" t="s">
        <v>166</v>
      </c>
      <c r="E18" s="83">
        <v>188.9</v>
      </c>
      <c r="F18" s="84">
        <f>SUM(E18*24/100)</f>
        <v>45.336000000000006</v>
      </c>
      <c r="G18" s="84">
        <v>539.30999999999995</v>
      </c>
      <c r="H18" s="85">
        <f t="shared" si="0"/>
        <v>24.450158159999997</v>
      </c>
      <c r="I18" s="13">
        <f>F18/12*G18</f>
        <v>2037.5131800000001</v>
      </c>
      <c r="J18" s="23"/>
      <c r="K18" s="8"/>
      <c r="L18" s="8"/>
      <c r="M18" s="8"/>
    </row>
    <row r="19" spans="1:13" ht="15.75" hidden="1" customHeight="1">
      <c r="A19" s="30"/>
      <c r="B19" s="81" t="s">
        <v>96</v>
      </c>
      <c r="C19" s="82" t="s">
        <v>97</v>
      </c>
      <c r="D19" s="81" t="s">
        <v>98</v>
      </c>
      <c r="E19" s="83">
        <v>18</v>
      </c>
      <c r="F19" s="84">
        <f>SUM(E19/10)</f>
        <v>1.8</v>
      </c>
      <c r="G19" s="84">
        <v>181.91</v>
      </c>
      <c r="H19" s="85">
        <f t="shared" si="0"/>
        <v>0.32743800000000001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99</v>
      </c>
      <c r="C20" s="82" t="s">
        <v>89</v>
      </c>
      <c r="D20" s="81" t="s">
        <v>29</v>
      </c>
      <c r="E20" s="83">
        <v>14.6</v>
      </c>
      <c r="F20" s="84">
        <f>SUM(E20*12/100)</f>
        <v>1.7519999999999998</v>
      </c>
      <c r="G20" s="84">
        <v>232.92</v>
      </c>
      <c r="H20" s="85">
        <f t="shared" si="0"/>
        <v>0.40807583999999991</v>
      </c>
      <c r="I20" s="13">
        <f>F20/12*G20</f>
        <v>34.006319999999995</v>
      </c>
      <c r="J20" s="23"/>
      <c r="K20" s="8"/>
      <c r="L20" s="8"/>
      <c r="M20" s="8"/>
    </row>
    <row r="21" spans="1:13" ht="15.75" customHeight="1">
      <c r="A21" s="30">
        <v>5</v>
      </c>
      <c r="B21" s="81" t="s">
        <v>100</v>
      </c>
      <c r="C21" s="82" t="s">
        <v>89</v>
      </c>
      <c r="D21" s="81" t="s">
        <v>125</v>
      </c>
      <c r="E21" s="83">
        <v>2.7</v>
      </c>
      <c r="F21" s="84">
        <f>SUM(E21*6/100)</f>
        <v>0.16200000000000003</v>
      </c>
      <c r="G21" s="84">
        <v>231.03</v>
      </c>
      <c r="H21" s="85">
        <f t="shared" si="0"/>
        <v>3.7426860000000006E-2</v>
      </c>
      <c r="I21" s="13">
        <f>F21/6*G21</f>
        <v>6.2378100000000014</v>
      </c>
      <c r="J21" s="23"/>
      <c r="K21" s="8"/>
      <c r="L21" s="8"/>
      <c r="M21" s="8"/>
    </row>
    <row r="22" spans="1:13" ht="15.75" hidden="1" customHeight="1">
      <c r="A22" s="30"/>
      <c r="B22" s="81" t="s">
        <v>101</v>
      </c>
      <c r="C22" s="82" t="s">
        <v>52</v>
      </c>
      <c r="D22" s="81" t="s">
        <v>98</v>
      </c>
      <c r="E22" s="83">
        <v>259.2</v>
      </c>
      <c r="F22" s="84">
        <f>SUM(E22/100)</f>
        <v>2.5920000000000001</v>
      </c>
      <c r="G22" s="84">
        <v>287.83999999999997</v>
      </c>
      <c r="H22" s="85">
        <f t="shared" si="0"/>
        <v>0.74608127999999996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102</v>
      </c>
      <c r="C23" s="82" t="s">
        <v>52</v>
      </c>
      <c r="D23" s="81" t="s">
        <v>98</v>
      </c>
      <c r="E23" s="86">
        <v>24.15</v>
      </c>
      <c r="F23" s="84">
        <f>SUM(E23/100)</f>
        <v>0.24149999999999999</v>
      </c>
      <c r="G23" s="84">
        <v>47.34</v>
      </c>
      <c r="H23" s="85">
        <f t="shared" si="0"/>
        <v>1.1432610000000001E-2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81" t="s">
        <v>103</v>
      </c>
      <c r="C24" s="82" t="s">
        <v>52</v>
      </c>
      <c r="D24" s="81" t="s">
        <v>104</v>
      </c>
      <c r="E24" s="83">
        <v>10</v>
      </c>
      <c r="F24" s="84">
        <f>E24/100</f>
        <v>0.1</v>
      </c>
      <c r="G24" s="84">
        <v>416.62</v>
      </c>
      <c r="H24" s="85">
        <f t="shared" si="0"/>
        <v>4.1662000000000005E-2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81" t="s">
        <v>105</v>
      </c>
      <c r="C25" s="82" t="s">
        <v>52</v>
      </c>
      <c r="D25" s="81" t="s">
        <v>53</v>
      </c>
      <c r="E25" s="83">
        <v>9.5</v>
      </c>
      <c r="F25" s="84">
        <f>E25/100</f>
        <v>9.5000000000000001E-2</v>
      </c>
      <c r="G25" s="84">
        <v>231.03</v>
      </c>
      <c r="H25" s="85">
        <f>G25*F25/1000</f>
        <v>2.1947849999999998E-2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106</v>
      </c>
      <c r="C26" s="82" t="s">
        <v>52</v>
      </c>
      <c r="D26" s="81" t="s">
        <v>98</v>
      </c>
      <c r="E26" s="83">
        <v>4.25</v>
      </c>
      <c r="F26" s="84">
        <f>SUM(E26/100)</f>
        <v>4.2500000000000003E-2</v>
      </c>
      <c r="G26" s="84">
        <v>556.74</v>
      </c>
      <c r="H26" s="85">
        <f t="shared" si="0"/>
        <v>2.3661450000000001E-2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6</v>
      </c>
      <c r="B27" s="81" t="s">
        <v>64</v>
      </c>
      <c r="C27" s="82" t="s">
        <v>32</v>
      </c>
      <c r="D27" s="81" t="s">
        <v>167</v>
      </c>
      <c r="E27" s="83">
        <v>0.1</v>
      </c>
      <c r="F27" s="84">
        <f>SUM(E27*365)</f>
        <v>36.5</v>
      </c>
      <c r="G27" s="84">
        <v>157.18</v>
      </c>
      <c r="H27" s="85">
        <f>SUM(F27*G27/1000)</f>
        <v>5.737070000000001</v>
      </c>
      <c r="I27" s="13">
        <f>F27/12*G27</f>
        <v>478.08916666666664</v>
      </c>
      <c r="J27" s="24"/>
    </row>
    <row r="28" spans="1:13" ht="15.75" customHeight="1">
      <c r="A28" s="30">
        <v>7</v>
      </c>
      <c r="B28" s="89" t="s">
        <v>23</v>
      </c>
      <c r="C28" s="82" t="s">
        <v>24</v>
      </c>
      <c r="D28" s="81" t="s">
        <v>167</v>
      </c>
      <c r="E28" s="83">
        <v>2135.1999999999998</v>
      </c>
      <c r="F28" s="84">
        <f>SUM(E28*12)</f>
        <v>25622.399999999998</v>
      </c>
      <c r="G28" s="84">
        <v>6.15</v>
      </c>
      <c r="H28" s="85">
        <f>SUM(F28*G28/1000)</f>
        <v>157.57776000000001</v>
      </c>
      <c r="I28" s="13">
        <f>F28/12*G28</f>
        <v>13131.48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hidden="1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31.5" hidden="1" customHeight="1">
      <c r="A31" s="30">
        <v>8</v>
      </c>
      <c r="B31" s="81" t="s">
        <v>111</v>
      </c>
      <c r="C31" s="82" t="s">
        <v>92</v>
      </c>
      <c r="D31" s="81" t="s">
        <v>107</v>
      </c>
      <c r="E31" s="84">
        <v>331.9</v>
      </c>
      <c r="F31" s="84">
        <f>SUM(E31*52/1000)</f>
        <v>17.258800000000001</v>
      </c>
      <c r="G31" s="84">
        <v>166.65</v>
      </c>
      <c r="H31" s="85">
        <f t="shared" ref="H31:H37" si="1">SUM(F31*G31/1000)</f>
        <v>2.8761790199999999</v>
      </c>
      <c r="I31" s="13">
        <f t="shared" ref="I31:I35" si="2">F31/6*G31</f>
        <v>479.36317000000008</v>
      </c>
      <c r="J31" s="23"/>
      <c r="K31" s="8"/>
      <c r="L31" s="8"/>
      <c r="M31" s="8"/>
    </row>
    <row r="32" spans="1:13" ht="31.5" hidden="1" customHeight="1">
      <c r="A32" s="30">
        <v>9</v>
      </c>
      <c r="B32" s="81" t="s">
        <v>110</v>
      </c>
      <c r="C32" s="82" t="s">
        <v>92</v>
      </c>
      <c r="D32" s="81" t="s">
        <v>108</v>
      </c>
      <c r="E32" s="84">
        <v>115.82</v>
      </c>
      <c r="F32" s="84">
        <f>SUM(E32*78/1000)</f>
        <v>9.0339599999999987</v>
      </c>
      <c r="G32" s="84">
        <v>276.48</v>
      </c>
      <c r="H32" s="85">
        <f t="shared" si="1"/>
        <v>2.4977092607999998</v>
      </c>
      <c r="I32" s="13">
        <f t="shared" si="2"/>
        <v>416.28487679999995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82" t="s">
        <v>92</v>
      </c>
      <c r="D33" s="81" t="s">
        <v>53</v>
      </c>
      <c r="E33" s="84">
        <v>331.9</v>
      </c>
      <c r="F33" s="84">
        <f>SUM(E33/1000)</f>
        <v>0.33189999999999997</v>
      </c>
      <c r="G33" s="84">
        <v>3228.73</v>
      </c>
      <c r="H33" s="85">
        <f t="shared" si="1"/>
        <v>1.0716154870000001</v>
      </c>
      <c r="I33" s="13">
        <f>F33*G33</f>
        <v>1071.615487</v>
      </c>
      <c r="J33" s="23"/>
      <c r="K33" s="8"/>
      <c r="L33" s="8"/>
      <c r="M33" s="8"/>
    </row>
    <row r="34" spans="1:14" ht="15.75" hidden="1" customHeight="1">
      <c r="A34" s="30">
        <v>10</v>
      </c>
      <c r="B34" s="81" t="s">
        <v>143</v>
      </c>
      <c r="C34" s="82" t="s">
        <v>40</v>
      </c>
      <c r="D34" s="81" t="s">
        <v>63</v>
      </c>
      <c r="E34" s="84">
        <v>2</v>
      </c>
      <c r="F34" s="84">
        <v>3.1</v>
      </c>
      <c r="G34" s="84">
        <v>1391.86</v>
      </c>
      <c r="H34" s="85">
        <f>F34*G34/1000</f>
        <v>4.3147659999999997</v>
      </c>
      <c r="I34" s="13">
        <f t="shared" si="2"/>
        <v>719.12766666666664</v>
      </c>
      <c r="J34" s="23"/>
      <c r="K34" s="8"/>
    </row>
    <row r="35" spans="1:14" ht="15.75" hidden="1" customHeight="1">
      <c r="A35" s="30">
        <v>11</v>
      </c>
      <c r="B35" s="81" t="s">
        <v>109</v>
      </c>
      <c r="C35" s="82" t="s">
        <v>30</v>
      </c>
      <c r="D35" s="81" t="s">
        <v>63</v>
      </c>
      <c r="E35" s="88">
        <v>0.33333333333333331</v>
      </c>
      <c r="F35" s="84">
        <f>155/3</f>
        <v>51.666666666666664</v>
      </c>
      <c r="G35" s="84">
        <v>60.6</v>
      </c>
      <c r="H35" s="85">
        <f>SUM(G35*155/3/1000)</f>
        <v>3.1309999999999998</v>
      </c>
      <c r="I35" s="13">
        <f t="shared" si="2"/>
        <v>521.83333333333337</v>
      </c>
      <c r="J35" s="24"/>
    </row>
    <row r="36" spans="1:14" ht="15.75" hidden="1" customHeight="1">
      <c r="A36" s="30"/>
      <c r="B36" s="81" t="s">
        <v>65</v>
      </c>
      <c r="C36" s="82" t="s">
        <v>32</v>
      </c>
      <c r="D36" s="81" t="s">
        <v>67</v>
      </c>
      <c r="E36" s="83"/>
      <c r="F36" s="84">
        <v>3</v>
      </c>
      <c r="G36" s="84">
        <v>204.52</v>
      </c>
      <c r="H36" s="85">
        <f t="shared" si="1"/>
        <v>0.61356000000000011</v>
      </c>
      <c r="I36" s="13">
        <v>0</v>
      </c>
      <c r="J36" s="24"/>
    </row>
    <row r="37" spans="1:14" ht="15.75" hidden="1" customHeight="1">
      <c r="A37" s="30"/>
      <c r="B37" s="81" t="s">
        <v>66</v>
      </c>
      <c r="C37" s="82" t="s">
        <v>31</v>
      </c>
      <c r="D37" s="81" t="s">
        <v>67</v>
      </c>
      <c r="E37" s="83"/>
      <c r="F37" s="84">
        <v>2</v>
      </c>
      <c r="G37" s="84">
        <v>1214.74</v>
      </c>
      <c r="H37" s="85">
        <f t="shared" si="1"/>
        <v>2.4294799999999999</v>
      </c>
      <c r="I37" s="13">
        <v>0</v>
      </c>
      <c r="J37" s="24"/>
    </row>
    <row r="38" spans="1:14" ht="15.75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customHeight="1">
      <c r="A39" s="30">
        <v>8</v>
      </c>
      <c r="B39" s="81" t="s">
        <v>25</v>
      </c>
      <c r="C39" s="82" t="s">
        <v>31</v>
      </c>
      <c r="D39" s="81"/>
      <c r="E39" s="83"/>
      <c r="F39" s="84">
        <v>8</v>
      </c>
      <c r="G39" s="84">
        <v>1632.6</v>
      </c>
      <c r="H39" s="85">
        <f t="shared" ref="H39:H44" si="3">SUM(F39*G39/1000)</f>
        <v>13.060799999999999</v>
      </c>
      <c r="I39" s="13">
        <f t="shared" ref="I39:I44" si="4">F39/6*G39</f>
        <v>2176.7999999999997</v>
      </c>
      <c r="J39" s="24"/>
      <c r="L39" s="19"/>
      <c r="M39" s="20"/>
      <c r="N39" s="21"/>
    </row>
    <row r="40" spans="1:14" ht="15.75" customHeight="1">
      <c r="A40" s="30">
        <v>9</v>
      </c>
      <c r="B40" s="81" t="s">
        <v>126</v>
      </c>
      <c r="C40" s="82" t="s">
        <v>28</v>
      </c>
      <c r="D40" s="81" t="s">
        <v>90</v>
      </c>
      <c r="E40" s="83">
        <v>115.82</v>
      </c>
      <c r="F40" s="84">
        <f>E40*30/1000</f>
        <v>3.4745999999999997</v>
      </c>
      <c r="G40" s="84">
        <v>2247.8000000000002</v>
      </c>
      <c r="H40" s="85">
        <f>G40*F40/1000</f>
        <v>7.8102058799999998</v>
      </c>
      <c r="I40" s="13">
        <f t="shared" si="4"/>
        <v>1301.7009800000001</v>
      </c>
      <c r="J40" s="24"/>
      <c r="L40" s="19"/>
      <c r="M40" s="20"/>
      <c r="N40" s="21"/>
    </row>
    <row r="41" spans="1:14" ht="15.75" customHeight="1">
      <c r="A41" s="30">
        <v>10</v>
      </c>
      <c r="B41" s="81" t="s">
        <v>68</v>
      </c>
      <c r="C41" s="82" t="s">
        <v>28</v>
      </c>
      <c r="D41" s="81" t="s">
        <v>91</v>
      </c>
      <c r="E41" s="84">
        <v>115.82</v>
      </c>
      <c r="F41" s="84">
        <f>SUM(E41*155/1000)</f>
        <v>17.952099999999998</v>
      </c>
      <c r="G41" s="84">
        <v>374.95</v>
      </c>
      <c r="H41" s="85">
        <f t="shared" si="3"/>
        <v>6.7311398949999992</v>
      </c>
      <c r="I41" s="13">
        <f t="shared" si="4"/>
        <v>1121.8566491666666</v>
      </c>
      <c r="J41" s="24"/>
      <c r="L41" s="19"/>
      <c r="M41" s="20"/>
      <c r="N41" s="21"/>
    </row>
    <row r="42" spans="1:14" ht="47.25" customHeight="1">
      <c r="A42" s="30">
        <v>11</v>
      </c>
      <c r="B42" s="81" t="s">
        <v>84</v>
      </c>
      <c r="C42" s="82" t="s">
        <v>92</v>
      </c>
      <c r="D42" s="81" t="s">
        <v>127</v>
      </c>
      <c r="E42" s="84">
        <v>40</v>
      </c>
      <c r="F42" s="84">
        <f>SUM(E42*35/1000)</f>
        <v>1.4</v>
      </c>
      <c r="G42" s="84">
        <v>6203.7</v>
      </c>
      <c r="H42" s="85">
        <f t="shared" si="3"/>
        <v>8.685179999999999</v>
      </c>
      <c r="I42" s="13">
        <f t="shared" si="4"/>
        <v>1447.5299999999997</v>
      </c>
      <c r="J42" s="24"/>
      <c r="L42" s="19"/>
      <c r="M42" s="20"/>
      <c r="N42" s="21"/>
    </row>
    <row r="43" spans="1:14" ht="15.75" customHeight="1">
      <c r="A43" s="30">
        <v>12</v>
      </c>
      <c r="B43" s="81" t="s">
        <v>128</v>
      </c>
      <c r="C43" s="82" t="s">
        <v>92</v>
      </c>
      <c r="D43" s="35" t="s">
        <v>235</v>
      </c>
      <c r="E43" s="34">
        <v>115.82</v>
      </c>
      <c r="F43" s="37">
        <f>SUM(E43*15/1000)</f>
        <v>1.7372999999999998</v>
      </c>
      <c r="G43" s="34">
        <v>458.28</v>
      </c>
      <c r="H43" s="114">
        <f t="shared" ref="H43" si="5">SUM(F43*G43/1000)</f>
        <v>0.7961698439999999</v>
      </c>
      <c r="I43" s="13">
        <f>F43/2*G43</f>
        <v>398.08492199999995</v>
      </c>
      <c r="J43" s="24"/>
      <c r="L43" s="19"/>
      <c r="M43" s="20"/>
      <c r="N43" s="21"/>
    </row>
    <row r="44" spans="1:14" ht="15.75" customHeight="1">
      <c r="A44" s="30">
        <v>13</v>
      </c>
      <c r="B44" s="81" t="s">
        <v>70</v>
      </c>
      <c r="C44" s="82" t="s">
        <v>32</v>
      </c>
      <c r="D44" s="81"/>
      <c r="E44" s="83"/>
      <c r="F44" s="84">
        <v>0.5</v>
      </c>
      <c r="G44" s="84">
        <v>853.06</v>
      </c>
      <c r="H44" s="85">
        <f t="shared" si="3"/>
        <v>0.42652999999999996</v>
      </c>
      <c r="I44" s="13">
        <f t="shared" si="4"/>
        <v>71.088333333333324</v>
      </c>
      <c r="J44" s="24"/>
      <c r="L44" s="19"/>
      <c r="M44" s="20"/>
      <c r="N44" s="21"/>
    </row>
    <row r="45" spans="1:14" ht="15.75" hidden="1" customHeight="1">
      <c r="A45" s="154" t="s">
        <v>138</v>
      </c>
      <c r="B45" s="155"/>
      <c r="C45" s="155"/>
      <c r="D45" s="155"/>
      <c r="E45" s="155"/>
      <c r="F45" s="155"/>
      <c r="G45" s="155"/>
      <c r="H45" s="155"/>
      <c r="I45" s="156"/>
      <c r="J45" s="24"/>
      <c r="L45" s="19"/>
      <c r="M45" s="20"/>
      <c r="N45" s="21"/>
    </row>
    <row r="46" spans="1:14" ht="15.75" hidden="1" customHeight="1">
      <c r="A46" s="30"/>
      <c r="B46" s="81" t="s">
        <v>112</v>
      </c>
      <c r="C46" s="82" t="s">
        <v>92</v>
      </c>
      <c r="D46" s="81" t="s">
        <v>42</v>
      </c>
      <c r="E46" s="83">
        <v>838.88</v>
      </c>
      <c r="F46" s="84">
        <f>SUM(E46*2/1000)</f>
        <v>1.6777599999999999</v>
      </c>
      <c r="G46" s="13">
        <v>865.61</v>
      </c>
      <c r="H46" s="85">
        <f t="shared" ref="H46:H55" si="6">SUM(F46*G46/1000)</f>
        <v>1.4522858336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81" t="s">
        <v>35</v>
      </c>
      <c r="C47" s="82" t="s">
        <v>92</v>
      </c>
      <c r="D47" s="81" t="s">
        <v>42</v>
      </c>
      <c r="E47" s="83">
        <v>26</v>
      </c>
      <c r="F47" s="84">
        <f>E47*2/1000</f>
        <v>5.1999999999999998E-2</v>
      </c>
      <c r="G47" s="13">
        <v>619.46</v>
      </c>
      <c r="H47" s="85">
        <f t="shared" si="6"/>
        <v>3.2211919999999998E-2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81" t="s">
        <v>36</v>
      </c>
      <c r="C48" s="82" t="s">
        <v>92</v>
      </c>
      <c r="D48" s="81" t="s">
        <v>42</v>
      </c>
      <c r="E48" s="83">
        <v>879</v>
      </c>
      <c r="F48" s="84">
        <f>SUM(E48*2/1000)</f>
        <v>1.758</v>
      </c>
      <c r="G48" s="13">
        <v>619.46</v>
      </c>
      <c r="H48" s="85">
        <f t="shared" si="6"/>
        <v>1.0890106800000001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81" t="s">
        <v>37</v>
      </c>
      <c r="C49" s="82" t="s">
        <v>92</v>
      </c>
      <c r="D49" s="81" t="s">
        <v>42</v>
      </c>
      <c r="E49" s="83">
        <v>1490.75</v>
      </c>
      <c r="F49" s="84">
        <f>SUM(E49*2/1000)</f>
        <v>2.9815</v>
      </c>
      <c r="G49" s="13">
        <v>648.64</v>
      </c>
      <c r="H49" s="85">
        <f t="shared" si="6"/>
        <v>1.93392016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81" t="s">
        <v>33</v>
      </c>
      <c r="C50" s="82" t="s">
        <v>34</v>
      </c>
      <c r="D50" s="81" t="s">
        <v>42</v>
      </c>
      <c r="E50" s="83">
        <v>61.04</v>
      </c>
      <c r="F50" s="84">
        <f>SUM(E50*2/100)</f>
        <v>1.2207999999999999</v>
      </c>
      <c r="G50" s="13">
        <v>77.84</v>
      </c>
      <c r="H50" s="85">
        <f t="shared" si="6"/>
        <v>9.502707199999999E-2</v>
      </c>
      <c r="I50" s="13">
        <v>0</v>
      </c>
      <c r="J50" s="24"/>
      <c r="L50" s="19"/>
      <c r="M50" s="20"/>
      <c r="N50" s="21"/>
    </row>
    <row r="51" spans="1:22" ht="15.75" hidden="1" customHeight="1">
      <c r="A51" s="30">
        <v>14</v>
      </c>
      <c r="B51" s="81" t="s">
        <v>56</v>
      </c>
      <c r="C51" s="82" t="s">
        <v>92</v>
      </c>
      <c r="D51" s="81" t="s">
        <v>150</v>
      </c>
      <c r="E51" s="83">
        <v>1342.2</v>
      </c>
      <c r="F51" s="84">
        <f>SUM(E51*5/1000)</f>
        <v>6.7110000000000003</v>
      </c>
      <c r="G51" s="13">
        <v>1297.28</v>
      </c>
      <c r="H51" s="85">
        <f t="shared" si="6"/>
        <v>8.7060460800000001</v>
      </c>
      <c r="I51" s="13">
        <f>F51/5*G51</f>
        <v>1741.209216</v>
      </c>
      <c r="J51" s="24"/>
      <c r="L51" s="19"/>
      <c r="M51" s="20"/>
      <c r="N51" s="21"/>
    </row>
    <row r="52" spans="1:22" ht="31.5" hidden="1" customHeight="1">
      <c r="A52" s="30"/>
      <c r="B52" s="81" t="s">
        <v>93</v>
      </c>
      <c r="C52" s="82" t="s">
        <v>92</v>
      </c>
      <c r="D52" s="81" t="s">
        <v>42</v>
      </c>
      <c r="E52" s="83">
        <v>1342.2</v>
      </c>
      <c r="F52" s="84">
        <f>SUM(E52*2/1000)</f>
        <v>2.6844000000000001</v>
      </c>
      <c r="G52" s="13">
        <v>1297.28</v>
      </c>
      <c r="H52" s="85">
        <f t="shared" si="6"/>
        <v>3.4824184319999998</v>
      </c>
      <c r="I52" s="13">
        <v>0</v>
      </c>
      <c r="J52" s="24"/>
      <c r="L52" s="19"/>
      <c r="M52" s="20"/>
      <c r="N52" s="21"/>
    </row>
    <row r="53" spans="1:22" ht="31.5" hidden="1" customHeight="1">
      <c r="A53" s="30"/>
      <c r="B53" s="81" t="s">
        <v>94</v>
      </c>
      <c r="C53" s="82" t="s">
        <v>38</v>
      </c>
      <c r="D53" s="81" t="s">
        <v>42</v>
      </c>
      <c r="E53" s="83">
        <v>10</v>
      </c>
      <c r="F53" s="84">
        <f>SUM(E53*2/100)</f>
        <v>0.2</v>
      </c>
      <c r="G53" s="13">
        <v>2918.89</v>
      </c>
      <c r="H53" s="85">
        <f t="shared" si="6"/>
        <v>0.58377800000000002</v>
      </c>
      <c r="I53" s="13">
        <v>0</v>
      </c>
      <c r="J53" s="24"/>
      <c r="L53" s="19"/>
      <c r="M53" s="20"/>
      <c r="N53" s="21"/>
    </row>
    <row r="54" spans="1:22" ht="15.75" hidden="1" customHeight="1">
      <c r="A54" s="30"/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3">
        <v>6042.12</v>
      </c>
      <c r="H54" s="85">
        <f t="shared" si="6"/>
        <v>0.1208424</v>
      </c>
      <c r="I54" s="13">
        <v>0</v>
      </c>
      <c r="J54" s="24"/>
      <c r="L54" s="19"/>
      <c r="M54" s="20"/>
      <c r="N54" s="21"/>
    </row>
    <row r="55" spans="1:22" ht="15.75" hidden="1" customHeight="1">
      <c r="A55" s="30">
        <v>15</v>
      </c>
      <c r="B55" s="81" t="s">
        <v>41</v>
      </c>
      <c r="C55" s="82" t="s">
        <v>113</v>
      </c>
      <c r="D55" s="81" t="s">
        <v>71</v>
      </c>
      <c r="E55" s="83">
        <v>80</v>
      </c>
      <c r="F55" s="84">
        <f>SUM(E55)*3</f>
        <v>240</v>
      </c>
      <c r="G55" s="13">
        <v>70.209999999999994</v>
      </c>
      <c r="H55" s="85">
        <f t="shared" si="6"/>
        <v>16.850399999999997</v>
      </c>
      <c r="I55" s="13">
        <f>E55*G55</f>
        <v>5616.7999999999993</v>
      </c>
      <c r="J55" s="24"/>
      <c r="L55" s="19"/>
      <c r="M55" s="20"/>
      <c r="N55" s="21"/>
    </row>
    <row r="56" spans="1:22" ht="15.75" customHeight="1">
      <c r="A56" s="154" t="s">
        <v>153</v>
      </c>
      <c r="B56" s="155"/>
      <c r="C56" s="155"/>
      <c r="D56" s="155"/>
      <c r="E56" s="155"/>
      <c r="F56" s="155"/>
      <c r="G56" s="155"/>
      <c r="H56" s="155"/>
      <c r="I56" s="156"/>
      <c r="J56" s="24"/>
      <c r="L56" s="19"/>
      <c r="M56" s="20"/>
      <c r="N56" s="21"/>
    </row>
    <row r="57" spans="1:22" ht="15.75" customHeight="1">
      <c r="A57" s="30"/>
      <c r="B57" s="103" t="s">
        <v>43</v>
      </c>
      <c r="C57" s="82"/>
      <c r="D57" s="81"/>
      <c r="E57" s="83"/>
      <c r="F57" s="84"/>
      <c r="G57" s="84"/>
      <c r="H57" s="85"/>
      <c r="I57" s="13"/>
      <c r="J57" s="24"/>
      <c r="L57" s="19"/>
      <c r="M57" s="20"/>
      <c r="N57" s="21"/>
    </row>
    <row r="58" spans="1:22" ht="31.5" customHeight="1">
      <c r="A58" s="30">
        <v>14</v>
      </c>
      <c r="B58" s="81" t="s">
        <v>114</v>
      </c>
      <c r="C58" s="82" t="s">
        <v>89</v>
      </c>
      <c r="D58" s="81" t="s">
        <v>115</v>
      </c>
      <c r="E58" s="83">
        <v>90.76</v>
      </c>
      <c r="F58" s="84">
        <f>SUM(E58*6/100)</f>
        <v>5.4456000000000007</v>
      </c>
      <c r="G58" s="13">
        <v>1654.04</v>
      </c>
      <c r="H58" s="85">
        <f>SUM(F58*G58/1000)</f>
        <v>9.0072402240000002</v>
      </c>
      <c r="I58" s="13">
        <f>F58/6*G58</f>
        <v>1501.2067040000002</v>
      </c>
      <c r="J58" s="24"/>
      <c r="L58" s="19"/>
    </row>
    <row r="59" spans="1:22" ht="15.75" hidden="1" customHeight="1">
      <c r="A59" s="30"/>
      <c r="B59" s="103" t="s">
        <v>44</v>
      </c>
      <c r="C59" s="82"/>
      <c r="D59" s="81"/>
      <c r="E59" s="83"/>
      <c r="F59" s="84"/>
      <c r="G59" s="75"/>
      <c r="H59" s="85"/>
      <c r="I59" s="13"/>
    </row>
    <row r="60" spans="1:22" ht="15.75" hidden="1" customHeight="1">
      <c r="A60" s="30"/>
      <c r="B60" s="81" t="s">
        <v>132</v>
      </c>
      <c r="C60" s="82" t="s">
        <v>89</v>
      </c>
      <c r="D60" s="81" t="s">
        <v>144</v>
      </c>
      <c r="E60" s="83">
        <v>1342.2</v>
      </c>
      <c r="F60" s="85">
        <f>E60/100</f>
        <v>13.422000000000001</v>
      </c>
      <c r="G60" s="13">
        <v>848.37</v>
      </c>
      <c r="H60" s="90">
        <f>F60*G60/1000</f>
        <v>11.38682214</v>
      </c>
      <c r="I60" s="13">
        <v>0</v>
      </c>
    </row>
    <row r="61" spans="1:22" ht="15.75" hidden="1" customHeight="1">
      <c r="A61" s="30"/>
      <c r="B61" s="104" t="s">
        <v>45</v>
      </c>
      <c r="C61" s="91"/>
      <c r="D61" s="92"/>
      <c r="E61" s="93"/>
      <c r="F61" s="94"/>
      <c r="G61" s="94"/>
      <c r="H61" s="95" t="s">
        <v>122</v>
      </c>
      <c r="I61" s="13"/>
    </row>
    <row r="62" spans="1:22" ht="15.75" hidden="1" customHeight="1">
      <c r="A62" s="30"/>
      <c r="B62" s="14" t="s">
        <v>46</v>
      </c>
      <c r="C62" s="16" t="s">
        <v>113</v>
      </c>
      <c r="D62" s="14" t="s">
        <v>67</v>
      </c>
      <c r="E62" s="18">
        <v>10</v>
      </c>
      <c r="F62" s="84">
        <v>10</v>
      </c>
      <c r="G62" s="13">
        <v>237.74</v>
      </c>
      <c r="H62" s="80">
        <f t="shared" ref="H62:H75" si="7">SUM(F62*G62/1000)</f>
        <v>2.3774000000000002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0"/>
      <c r="B63" s="14" t="s">
        <v>47</v>
      </c>
      <c r="C63" s="16" t="s">
        <v>113</v>
      </c>
      <c r="D63" s="14" t="s">
        <v>67</v>
      </c>
      <c r="E63" s="18">
        <v>5</v>
      </c>
      <c r="F63" s="84">
        <v>5</v>
      </c>
      <c r="G63" s="13">
        <v>81.510000000000005</v>
      </c>
      <c r="H63" s="80">
        <f t="shared" si="7"/>
        <v>0.40755000000000002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0"/>
      <c r="B64" s="14" t="s">
        <v>48</v>
      </c>
      <c r="C64" s="16" t="s">
        <v>116</v>
      </c>
      <c r="D64" s="14" t="s">
        <v>53</v>
      </c>
      <c r="E64" s="83">
        <v>10348</v>
      </c>
      <c r="F64" s="13">
        <f>SUM(E64/100)</f>
        <v>103.48</v>
      </c>
      <c r="G64" s="13">
        <v>226.79</v>
      </c>
      <c r="H64" s="80">
        <f t="shared" si="7"/>
        <v>23.468229200000003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0"/>
      <c r="B65" s="14" t="s">
        <v>49</v>
      </c>
      <c r="C65" s="16" t="s">
        <v>117</v>
      </c>
      <c r="D65" s="14"/>
      <c r="E65" s="83">
        <v>10348</v>
      </c>
      <c r="F65" s="13">
        <f>SUM(E65/1000)</f>
        <v>10.348000000000001</v>
      </c>
      <c r="G65" s="13">
        <v>176.61</v>
      </c>
      <c r="H65" s="80">
        <f t="shared" si="7"/>
        <v>1.8275602800000004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47"/>
      <c r="S65" s="147"/>
      <c r="T65" s="147"/>
      <c r="U65" s="147"/>
    </row>
    <row r="66" spans="1:21" ht="15.75" hidden="1" customHeight="1">
      <c r="A66" s="30"/>
      <c r="B66" s="14" t="s">
        <v>50</v>
      </c>
      <c r="C66" s="16" t="s">
        <v>77</v>
      </c>
      <c r="D66" s="14" t="s">
        <v>53</v>
      </c>
      <c r="E66" s="83">
        <v>1645</v>
      </c>
      <c r="F66" s="13">
        <f>SUM(E66/100)</f>
        <v>16.45</v>
      </c>
      <c r="G66" s="13">
        <v>2217.7800000000002</v>
      </c>
      <c r="H66" s="80">
        <f t="shared" si="7"/>
        <v>36.482481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0"/>
      <c r="B67" s="96" t="s">
        <v>118</v>
      </c>
      <c r="C67" s="16" t="s">
        <v>32</v>
      </c>
      <c r="D67" s="14"/>
      <c r="E67" s="83">
        <v>8.6</v>
      </c>
      <c r="F67" s="13">
        <f>SUM(E67)</f>
        <v>8.6</v>
      </c>
      <c r="G67" s="13">
        <v>42.67</v>
      </c>
      <c r="H67" s="80">
        <f t="shared" si="7"/>
        <v>0.36696200000000001</v>
      </c>
      <c r="I67" s="13">
        <v>0</v>
      </c>
    </row>
    <row r="68" spans="1:21" ht="15.75" hidden="1" customHeight="1">
      <c r="A68" s="30"/>
      <c r="B68" s="96" t="s">
        <v>119</v>
      </c>
      <c r="C68" s="16" t="s">
        <v>32</v>
      </c>
      <c r="D68" s="14"/>
      <c r="E68" s="83">
        <v>8.6</v>
      </c>
      <c r="F68" s="13">
        <f>SUM(E68)</f>
        <v>8.6</v>
      </c>
      <c r="G68" s="13">
        <v>39.81</v>
      </c>
      <c r="H68" s="80">
        <f t="shared" si="7"/>
        <v>0.342366</v>
      </c>
      <c r="I68" s="13">
        <v>0</v>
      </c>
    </row>
    <row r="69" spans="1:21" ht="15.75" hidden="1" customHeight="1">
      <c r="A69" s="30"/>
      <c r="B69" s="14" t="s">
        <v>57</v>
      </c>
      <c r="C69" s="16" t="s">
        <v>58</v>
      </c>
      <c r="D69" s="14" t="s">
        <v>53</v>
      </c>
      <c r="E69" s="18">
        <v>5</v>
      </c>
      <c r="F69" s="84">
        <v>5</v>
      </c>
      <c r="G69" s="13">
        <v>53.32</v>
      </c>
      <c r="H69" s="80">
        <f t="shared" si="7"/>
        <v>0.2666</v>
      </c>
      <c r="I69" s="13">
        <v>0</v>
      </c>
    </row>
    <row r="70" spans="1:21" ht="15.75" hidden="1" customHeight="1">
      <c r="A70" s="30"/>
      <c r="B70" s="66" t="s">
        <v>72</v>
      </c>
      <c r="C70" s="16"/>
      <c r="D70" s="14"/>
      <c r="E70" s="18"/>
      <c r="F70" s="13"/>
      <c r="G70" s="13"/>
      <c r="H70" s="80" t="s">
        <v>122</v>
      </c>
      <c r="I70" s="13"/>
    </row>
    <row r="71" spans="1:21" ht="15.75" hidden="1" customHeight="1">
      <c r="A71" s="30"/>
      <c r="B71" s="14" t="s">
        <v>73</v>
      </c>
      <c r="C71" s="16" t="s">
        <v>75</v>
      </c>
      <c r="D71" s="14"/>
      <c r="E71" s="18">
        <v>2</v>
      </c>
      <c r="F71" s="13">
        <v>0.2</v>
      </c>
      <c r="G71" s="13">
        <v>536.23</v>
      </c>
      <c r="H71" s="80">
        <f t="shared" si="7"/>
        <v>0.10724600000000001</v>
      </c>
      <c r="I71" s="13">
        <v>0</v>
      </c>
    </row>
    <row r="72" spans="1:21" ht="15.75" hidden="1" customHeight="1">
      <c r="A72" s="30"/>
      <c r="B72" s="14" t="s">
        <v>74</v>
      </c>
      <c r="C72" s="16" t="s">
        <v>30</v>
      </c>
      <c r="D72" s="14"/>
      <c r="E72" s="18">
        <v>2</v>
      </c>
      <c r="F72" s="75">
        <v>2</v>
      </c>
      <c r="G72" s="13">
        <v>911.85</v>
      </c>
      <c r="H72" s="80">
        <f>F72*G72/1000</f>
        <v>1.8237000000000001</v>
      </c>
      <c r="I72" s="13">
        <v>0</v>
      </c>
    </row>
    <row r="73" spans="1:21" ht="15.75" hidden="1" customHeight="1">
      <c r="A73" s="30"/>
      <c r="B73" s="14" t="s">
        <v>129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80">
        <f>G73*F73/1000</f>
        <v>0.38324999999999998</v>
      </c>
      <c r="I73" s="13">
        <v>0</v>
      </c>
    </row>
    <row r="74" spans="1:21" ht="15.75" hidden="1" customHeight="1">
      <c r="A74" s="30"/>
      <c r="B74" s="98" t="s">
        <v>76</v>
      </c>
      <c r="C74" s="16"/>
      <c r="D74" s="14"/>
      <c r="E74" s="18"/>
      <c r="F74" s="13"/>
      <c r="G74" s="13" t="s">
        <v>122</v>
      </c>
      <c r="H74" s="80" t="s">
        <v>122</v>
      </c>
      <c r="I74" s="13"/>
    </row>
    <row r="75" spans="1:21" ht="15.75" hidden="1" customHeight="1">
      <c r="A75" s="30"/>
      <c r="B75" s="52" t="s">
        <v>123</v>
      </c>
      <c r="C75" s="16" t="s">
        <v>77</v>
      </c>
      <c r="D75" s="14"/>
      <c r="E75" s="18"/>
      <c r="F75" s="13">
        <v>0.6</v>
      </c>
      <c r="G75" s="13">
        <v>2949.85</v>
      </c>
      <c r="H75" s="80">
        <f t="shared" si="7"/>
        <v>1.7699099999999999</v>
      </c>
      <c r="I75" s="13">
        <v>0</v>
      </c>
    </row>
    <row r="76" spans="1:21" ht="15.75" hidden="1" customHeight="1">
      <c r="A76" s="30"/>
      <c r="B76" s="105" t="s">
        <v>95</v>
      </c>
      <c r="C76" s="98"/>
      <c r="D76" s="32"/>
      <c r="E76" s="33"/>
      <c r="F76" s="87"/>
      <c r="G76" s="87"/>
      <c r="H76" s="99">
        <f>SUM(H58:H75)</f>
        <v>90.017316844000007</v>
      </c>
      <c r="I76" s="87"/>
    </row>
    <row r="77" spans="1:21" ht="15.75" hidden="1" customHeight="1">
      <c r="A77" s="30">
        <v>17</v>
      </c>
      <c r="B77" s="81" t="s">
        <v>120</v>
      </c>
      <c r="C77" s="16"/>
      <c r="D77" s="14"/>
      <c r="E77" s="100"/>
      <c r="F77" s="13">
        <v>1</v>
      </c>
      <c r="G77" s="13">
        <v>6480.5</v>
      </c>
      <c r="H77" s="80">
        <f>G77*F77/1000</f>
        <v>6.4805000000000001</v>
      </c>
      <c r="I77" s="13">
        <f>G77</f>
        <v>6480.5</v>
      </c>
    </row>
    <row r="78" spans="1:21" ht="15.75" customHeight="1">
      <c r="A78" s="154" t="s">
        <v>154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30">
        <v>15</v>
      </c>
      <c r="B79" s="81" t="s">
        <v>121</v>
      </c>
      <c r="C79" s="16" t="s">
        <v>54</v>
      </c>
      <c r="D79" s="59" t="s">
        <v>55</v>
      </c>
      <c r="E79" s="13">
        <v>2135.1999999999998</v>
      </c>
      <c r="F79" s="13">
        <f>SUM(E79*12)</f>
        <v>25622.399999999998</v>
      </c>
      <c r="G79" s="13">
        <v>2.2400000000000002</v>
      </c>
      <c r="H79" s="80">
        <f>SUM(F79*G79/1000)</f>
        <v>57.394176000000002</v>
      </c>
      <c r="I79" s="13">
        <f>F79/12*G79</f>
        <v>4782.848</v>
      </c>
    </row>
    <row r="80" spans="1:21" ht="31.5" customHeight="1">
      <c r="A80" s="30">
        <v>16</v>
      </c>
      <c r="B80" s="14" t="s">
        <v>78</v>
      </c>
      <c r="C80" s="16"/>
      <c r="D80" s="59" t="s">
        <v>55</v>
      </c>
      <c r="E80" s="83">
        <f>E79</f>
        <v>2135.1999999999998</v>
      </c>
      <c r="F80" s="13">
        <f>E80*12</f>
        <v>25622.399999999998</v>
      </c>
      <c r="G80" s="13">
        <v>1.74</v>
      </c>
      <c r="H80" s="80">
        <f>F80*G80/1000</f>
        <v>44.582975999999995</v>
      </c>
      <c r="I80" s="13">
        <f>F80/12*G80</f>
        <v>3715.2479999999996</v>
      </c>
    </row>
    <row r="81" spans="1:9" ht="15.75" customHeight="1">
      <c r="A81" s="30"/>
      <c r="B81" s="45" t="s">
        <v>81</v>
      </c>
      <c r="C81" s="98"/>
      <c r="D81" s="97"/>
      <c r="E81" s="87"/>
      <c r="F81" s="87"/>
      <c r="G81" s="87"/>
      <c r="H81" s="99">
        <f>H80</f>
        <v>44.582975999999995</v>
      </c>
      <c r="I81" s="87">
        <f>I16+I17+I18+I20+I21+I27+I28+I39+I40+I41+I42+I43+I44+I58+I79+I80</f>
        <v>35579.917395833334</v>
      </c>
    </row>
    <row r="82" spans="1:9" ht="15.75" customHeight="1">
      <c r="A82" s="158" t="s">
        <v>60</v>
      </c>
      <c r="B82" s="159"/>
      <c r="C82" s="159"/>
      <c r="D82" s="159"/>
      <c r="E82" s="159"/>
      <c r="F82" s="159"/>
      <c r="G82" s="159"/>
      <c r="H82" s="159"/>
      <c r="I82" s="160"/>
    </row>
    <row r="83" spans="1:9" ht="15.75" customHeight="1">
      <c r="A83" s="30">
        <v>17</v>
      </c>
      <c r="B83" s="56" t="s">
        <v>124</v>
      </c>
      <c r="C83" s="57" t="s">
        <v>113</v>
      </c>
      <c r="D83" s="52"/>
      <c r="E83" s="13"/>
      <c r="F83" s="13">
        <v>492</v>
      </c>
      <c r="G83" s="13">
        <v>53.42</v>
      </c>
      <c r="H83" s="80">
        <f t="shared" ref="H83:H84" si="8">G83*F83/1000</f>
        <v>26.282640000000001</v>
      </c>
      <c r="I83" s="13">
        <f>G83*41</f>
        <v>2190.2200000000003</v>
      </c>
    </row>
    <row r="84" spans="1:9" ht="31.5" customHeight="1">
      <c r="A84" s="30">
        <v>18</v>
      </c>
      <c r="B84" s="56" t="s">
        <v>130</v>
      </c>
      <c r="C84" s="57" t="s">
        <v>131</v>
      </c>
      <c r="D84" s="60"/>
      <c r="E84" s="39"/>
      <c r="F84" s="39">
        <v>2</v>
      </c>
      <c r="G84" s="39">
        <v>54.17</v>
      </c>
      <c r="H84" s="39">
        <f t="shared" si="8"/>
        <v>0.10834000000000001</v>
      </c>
      <c r="I84" s="13">
        <f>G84</f>
        <v>54.17</v>
      </c>
    </row>
    <row r="85" spans="1:9" ht="15.75" customHeight="1">
      <c r="A85" s="30"/>
      <c r="B85" s="50" t="s">
        <v>51</v>
      </c>
      <c r="C85" s="57"/>
      <c r="D85" s="52"/>
      <c r="E85" s="13"/>
      <c r="F85" s="13"/>
      <c r="G85" s="13"/>
      <c r="H85" s="80"/>
      <c r="I85" s="87">
        <f>SUM(I83:I84)</f>
        <v>2244.3900000000003</v>
      </c>
    </row>
    <row r="86" spans="1:9">
      <c r="A86" s="30"/>
      <c r="B86" s="52" t="s">
        <v>79</v>
      </c>
      <c r="C86" s="15"/>
      <c r="D86" s="15"/>
      <c r="E86" s="47"/>
      <c r="F86" s="47"/>
      <c r="G86" s="48"/>
      <c r="H86" s="48"/>
      <c r="I86" s="17">
        <v>0</v>
      </c>
    </row>
    <row r="87" spans="1:9">
      <c r="A87" s="54"/>
      <c r="B87" s="51" t="s">
        <v>169</v>
      </c>
      <c r="C87" s="38"/>
      <c r="D87" s="38"/>
      <c r="E87" s="38"/>
      <c r="F87" s="38"/>
      <c r="G87" s="38"/>
      <c r="H87" s="38"/>
      <c r="I87" s="49">
        <f>I81+I85</f>
        <v>37824.307395833333</v>
      </c>
    </row>
    <row r="88" spans="1:9" ht="15.75" customHeight="1">
      <c r="A88" s="165" t="s">
        <v>174</v>
      </c>
      <c r="B88" s="165"/>
      <c r="C88" s="165"/>
      <c r="D88" s="165"/>
      <c r="E88" s="165"/>
      <c r="F88" s="165"/>
      <c r="G88" s="165"/>
      <c r="H88" s="165"/>
      <c r="I88" s="165"/>
    </row>
    <row r="89" spans="1:9" ht="15.75" customHeight="1">
      <c r="A89" s="68"/>
      <c r="B89" s="166" t="s">
        <v>175</v>
      </c>
      <c r="C89" s="166"/>
      <c r="D89" s="166"/>
      <c r="E89" s="166"/>
      <c r="F89" s="166"/>
      <c r="G89" s="166"/>
      <c r="H89" s="78"/>
      <c r="I89" s="3"/>
    </row>
    <row r="90" spans="1:9">
      <c r="A90" s="64"/>
      <c r="B90" s="163" t="s">
        <v>6</v>
      </c>
      <c r="C90" s="163"/>
      <c r="D90" s="163"/>
      <c r="E90" s="163"/>
      <c r="F90" s="163"/>
      <c r="G90" s="163"/>
      <c r="H90" s="25"/>
      <c r="I90" s="5"/>
    </row>
    <row r="91" spans="1:9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67" t="s">
        <v>7</v>
      </c>
      <c r="B92" s="167"/>
      <c r="C92" s="167"/>
      <c r="D92" s="167"/>
      <c r="E92" s="167"/>
      <c r="F92" s="167"/>
      <c r="G92" s="167"/>
      <c r="H92" s="167"/>
      <c r="I92" s="167"/>
    </row>
    <row r="93" spans="1:9" ht="15.75" customHeight="1">
      <c r="A93" s="167" t="s">
        <v>8</v>
      </c>
      <c r="B93" s="167"/>
      <c r="C93" s="167"/>
      <c r="D93" s="167"/>
      <c r="E93" s="167"/>
      <c r="F93" s="167"/>
      <c r="G93" s="167"/>
      <c r="H93" s="167"/>
      <c r="I93" s="167"/>
    </row>
    <row r="94" spans="1:9" ht="15.75">
      <c r="A94" s="144" t="s">
        <v>61</v>
      </c>
      <c r="B94" s="144"/>
      <c r="C94" s="144"/>
      <c r="D94" s="144"/>
      <c r="E94" s="144"/>
      <c r="F94" s="144"/>
      <c r="G94" s="144"/>
      <c r="H94" s="144"/>
      <c r="I94" s="144"/>
    </row>
    <row r="95" spans="1:9" ht="15.75">
      <c r="A95" s="11"/>
    </row>
    <row r="96" spans="1:9" ht="15.75" customHeight="1">
      <c r="A96" s="145" t="s">
        <v>9</v>
      </c>
      <c r="B96" s="145"/>
      <c r="C96" s="145"/>
      <c r="D96" s="145"/>
      <c r="E96" s="145"/>
      <c r="F96" s="145"/>
      <c r="G96" s="145"/>
      <c r="H96" s="145"/>
      <c r="I96" s="145"/>
    </row>
    <row r="97" spans="1:9" ht="15.75" customHeight="1">
      <c r="A97" s="4"/>
    </row>
    <row r="98" spans="1:9" ht="15.75" customHeight="1">
      <c r="B98" s="65" t="s">
        <v>10</v>
      </c>
      <c r="C98" s="162" t="s">
        <v>139</v>
      </c>
      <c r="D98" s="162"/>
      <c r="E98" s="162"/>
      <c r="F98" s="76"/>
      <c r="I98" s="63"/>
    </row>
    <row r="99" spans="1:9" ht="15.75" customHeight="1">
      <c r="A99" s="64"/>
      <c r="C99" s="163" t="s">
        <v>11</v>
      </c>
      <c r="D99" s="163"/>
      <c r="E99" s="163"/>
      <c r="F99" s="25"/>
      <c r="I99" s="62" t="s">
        <v>12</v>
      </c>
    </row>
    <row r="100" spans="1:9" ht="15.75" customHeight="1">
      <c r="A100" s="26"/>
      <c r="C100" s="12"/>
      <c r="D100" s="12"/>
      <c r="G100" s="12"/>
      <c r="H100" s="12"/>
    </row>
    <row r="101" spans="1:9" ht="15.75" customHeight="1">
      <c r="B101" s="65" t="s">
        <v>13</v>
      </c>
      <c r="C101" s="164"/>
      <c r="D101" s="164"/>
      <c r="E101" s="164"/>
      <c r="F101" s="77"/>
      <c r="I101" s="63"/>
    </row>
    <row r="102" spans="1:9">
      <c r="A102" s="64"/>
      <c r="C102" s="147" t="s">
        <v>11</v>
      </c>
      <c r="D102" s="147"/>
      <c r="E102" s="147"/>
      <c r="F102" s="64"/>
      <c r="I102" s="62" t="s">
        <v>12</v>
      </c>
    </row>
    <row r="103" spans="1:9" ht="15.75">
      <c r="A103" s="4" t="s">
        <v>14</v>
      </c>
    </row>
    <row r="104" spans="1:9">
      <c r="A104" s="161" t="s">
        <v>15</v>
      </c>
      <c r="B104" s="161"/>
      <c r="C104" s="161"/>
      <c r="D104" s="161"/>
      <c r="E104" s="161"/>
      <c r="F104" s="161"/>
      <c r="G104" s="161"/>
      <c r="H104" s="161"/>
      <c r="I104" s="161"/>
    </row>
    <row r="105" spans="1:9" ht="45" customHeight="1">
      <c r="A105" s="157" t="s">
        <v>16</v>
      </c>
      <c r="B105" s="157"/>
      <c r="C105" s="157"/>
      <c r="D105" s="157"/>
      <c r="E105" s="157"/>
      <c r="F105" s="157"/>
      <c r="G105" s="157"/>
      <c r="H105" s="157"/>
      <c r="I105" s="157"/>
    </row>
    <row r="106" spans="1:9" ht="30" customHeight="1">
      <c r="A106" s="157" t="s">
        <v>17</v>
      </c>
      <c r="B106" s="157"/>
      <c r="C106" s="157"/>
      <c r="D106" s="157"/>
      <c r="E106" s="157"/>
      <c r="F106" s="157"/>
      <c r="G106" s="157"/>
      <c r="H106" s="157"/>
      <c r="I106" s="157"/>
    </row>
    <row r="107" spans="1:9" ht="30" customHeight="1">
      <c r="A107" s="157" t="s">
        <v>21</v>
      </c>
      <c r="B107" s="157"/>
      <c r="C107" s="157"/>
      <c r="D107" s="157"/>
      <c r="E107" s="157"/>
      <c r="F107" s="157"/>
      <c r="G107" s="157"/>
      <c r="H107" s="157"/>
      <c r="I107" s="157"/>
    </row>
    <row r="108" spans="1:9" ht="15" customHeight="1">
      <c r="A108" s="157" t="s">
        <v>20</v>
      </c>
      <c r="B108" s="157"/>
      <c r="C108" s="157"/>
      <c r="D108" s="157"/>
      <c r="E108" s="157"/>
      <c r="F108" s="157"/>
      <c r="G108" s="157"/>
      <c r="H108" s="157"/>
      <c r="I108" s="157"/>
    </row>
  </sheetData>
  <autoFilter ref="I12:I60"/>
  <mergeCells count="29"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  <mergeCell ref="A94:I94"/>
    <mergeCell ref="A15:I15"/>
    <mergeCell ref="A29:I29"/>
    <mergeCell ref="A45:I45"/>
    <mergeCell ref="A56:I56"/>
    <mergeCell ref="A82:I82"/>
    <mergeCell ref="A88:I88"/>
    <mergeCell ref="B89:G89"/>
    <mergeCell ref="B90:G90"/>
    <mergeCell ref="A92:I92"/>
    <mergeCell ref="A93:I93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155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176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42855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162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81" t="s">
        <v>88</v>
      </c>
      <c r="C16" s="82" t="s">
        <v>89</v>
      </c>
      <c r="D16" s="81" t="s">
        <v>164</v>
      </c>
      <c r="E16" s="83">
        <v>37.78</v>
      </c>
      <c r="F16" s="84">
        <f>SUM(E16*156/100)</f>
        <v>58.936800000000005</v>
      </c>
      <c r="G16" s="84">
        <v>187.48</v>
      </c>
      <c r="H16" s="85">
        <f t="shared" ref="H16:H26" si="0">SUM(F16*G16/1000)</f>
        <v>11.049471263999999</v>
      </c>
      <c r="I16" s="13">
        <f>F16/12*G16</f>
        <v>920.78927199999998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141</v>
      </c>
      <c r="C17" s="82" t="s">
        <v>89</v>
      </c>
      <c r="D17" s="81" t="s">
        <v>165</v>
      </c>
      <c r="E17" s="83">
        <v>151.12</v>
      </c>
      <c r="F17" s="84">
        <f>SUM(E17*104/100)</f>
        <v>157.16479999999999</v>
      </c>
      <c r="G17" s="84">
        <v>187.48</v>
      </c>
      <c r="H17" s="85">
        <f t="shared" si="0"/>
        <v>29.465256703999994</v>
      </c>
      <c r="I17" s="13">
        <f>F17/12*G17</f>
        <v>2455.4380586666662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142</v>
      </c>
      <c r="C18" s="82" t="s">
        <v>89</v>
      </c>
      <c r="D18" s="81" t="s">
        <v>166</v>
      </c>
      <c r="E18" s="83">
        <v>188.9</v>
      </c>
      <c r="F18" s="84">
        <f>SUM(E18*24/100)</f>
        <v>45.336000000000006</v>
      </c>
      <c r="G18" s="84">
        <v>539.30999999999995</v>
      </c>
      <c r="H18" s="85">
        <f t="shared" si="0"/>
        <v>24.450158159999997</v>
      </c>
      <c r="I18" s="13">
        <f>F18/12*G18</f>
        <v>2037.5131800000001</v>
      </c>
      <c r="J18" s="23"/>
      <c r="K18" s="8"/>
      <c r="L18" s="8"/>
      <c r="M18" s="8"/>
    </row>
    <row r="19" spans="1:13" ht="15.75" hidden="1" customHeight="1">
      <c r="A19" s="30"/>
      <c r="B19" s="81" t="s">
        <v>96</v>
      </c>
      <c r="C19" s="82" t="s">
        <v>97</v>
      </c>
      <c r="D19" s="81" t="s">
        <v>98</v>
      </c>
      <c r="E19" s="83">
        <v>18</v>
      </c>
      <c r="F19" s="84">
        <f>SUM(E19/10)</f>
        <v>1.8</v>
      </c>
      <c r="G19" s="84">
        <v>181.91</v>
      </c>
      <c r="H19" s="85">
        <f t="shared" si="0"/>
        <v>0.32743800000000001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99</v>
      </c>
      <c r="C20" s="82" t="s">
        <v>89</v>
      </c>
      <c r="D20" s="81" t="s">
        <v>29</v>
      </c>
      <c r="E20" s="83">
        <v>14.6</v>
      </c>
      <c r="F20" s="84">
        <f>SUM(E20*12/100)</f>
        <v>1.7519999999999998</v>
      </c>
      <c r="G20" s="84">
        <v>232.92</v>
      </c>
      <c r="H20" s="85">
        <f t="shared" si="0"/>
        <v>0.40807583999999991</v>
      </c>
      <c r="I20" s="13">
        <f>F20/12*G20</f>
        <v>34.006319999999995</v>
      </c>
      <c r="J20" s="23"/>
      <c r="K20" s="8"/>
      <c r="L20" s="8"/>
      <c r="M20" s="8"/>
    </row>
    <row r="21" spans="1:13" ht="15.75" hidden="1" customHeight="1">
      <c r="A21" s="30">
        <v>5</v>
      </c>
      <c r="B21" s="81" t="s">
        <v>100</v>
      </c>
      <c r="C21" s="82" t="s">
        <v>89</v>
      </c>
      <c r="D21" s="81" t="s">
        <v>125</v>
      </c>
      <c r="E21" s="83">
        <v>2.7</v>
      </c>
      <c r="F21" s="84">
        <f>SUM(E21*6/100)</f>
        <v>0.16200000000000003</v>
      </c>
      <c r="G21" s="84">
        <v>231.03</v>
      </c>
      <c r="H21" s="85">
        <f t="shared" si="0"/>
        <v>3.7426860000000006E-2</v>
      </c>
      <c r="I21" s="13">
        <f>F21/6*G21</f>
        <v>6.2378100000000014</v>
      </c>
      <c r="J21" s="23"/>
      <c r="K21" s="8"/>
      <c r="L21" s="8"/>
      <c r="M21" s="8"/>
    </row>
    <row r="22" spans="1:13" ht="15.75" hidden="1" customHeight="1">
      <c r="A22" s="30"/>
      <c r="B22" s="81" t="s">
        <v>101</v>
      </c>
      <c r="C22" s="82" t="s">
        <v>52</v>
      </c>
      <c r="D22" s="81" t="s">
        <v>98</v>
      </c>
      <c r="E22" s="83">
        <v>259.2</v>
      </c>
      <c r="F22" s="84">
        <f>SUM(E22/100)</f>
        <v>2.5920000000000001</v>
      </c>
      <c r="G22" s="84">
        <v>287.83999999999997</v>
      </c>
      <c r="H22" s="85">
        <f t="shared" si="0"/>
        <v>0.74608127999999996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102</v>
      </c>
      <c r="C23" s="82" t="s">
        <v>52</v>
      </c>
      <c r="D23" s="81" t="s">
        <v>98</v>
      </c>
      <c r="E23" s="86">
        <v>24.15</v>
      </c>
      <c r="F23" s="84">
        <f>SUM(E23/100)</f>
        <v>0.24149999999999999</v>
      </c>
      <c r="G23" s="84">
        <v>47.34</v>
      </c>
      <c r="H23" s="85">
        <f t="shared" si="0"/>
        <v>1.1432610000000001E-2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81" t="s">
        <v>103</v>
      </c>
      <c r="C24" s="82" t="s">
        <v>52</v>
      </c>
      <c r="D24" s="81" t="s">
        <v>104</v>
      </c>
      <c r="E24" s="83">
        <v>10</v>
      </c>
      <c r="F24" s="84">
        <f>E24/100</f>
        <v>0.1</v>
      </c>
      <c r="G24" s="84">
        <v>416.62</v>
      </c>
      <c r="H24" s="85">
        <f t="shared" si="0"/>
        <v>4.1662000000000005E-2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81" t="s">
        <v>105</v>
      </c>
      <c r="C25" s="82" t="s">
        <v>52</v>
      </c>
      <c r="D25" s="81" t="s">
        <v>53</v>
      </c>
      <c r="E25" s="83">
        <v>9.5</v>
      </c>
      <c r="F25" s="84">
        <f>E25/100</f>
        <v>9.5000000000000001E-2</v>
      </c>
      <c r="G25" s="84">
        <v>231.03</v>
      </c>
      <c r="H25" s="85">
        <f>G25*F25/1000</f>
        <v>2.1947849999999998E-2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106</v>
      </c>
      <c r="C26" s="82" t="s">
        <v>52</v>
      </c>
      <c r="D26" s="81" t="s">
        <v>98</v>
      </c>
      <c r="E26" s="83">
        <v>4.25</v>
      </c>
      <c r="F26" s="84">
        <f>SUM(E26/100)</f>
        <v>4.2500000000000003E-2</v>
      </c>
      <c r="G26" s="84">
        <v>556.74</v>
      </c>
      <c r="H26" s="85">
        <f t="shared" si="0"/>
        <v>2.3661450000000001E-2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81" t="s">
        <v>64</v>
      </c>
      <c r="C27" s="82" t="s">
        <v>32</v>
      </c>
      <c r="D27" s="81" t="s">
        <v>167</v>
      </c>
      <c r="E27" s="83">
        <v>0.1</v>
      </c>
      <c r="F27" s="84">
        <f>SUM(E27*365)</f>
        <v>36.5</v>
      </c>
      <c r="G27" s="84">
        <v>157.18</v>
      </c>
      <c r="H27" s="85">
        <f>SUM(F27*G27/1000)</f>
        <v>5.737070000000001</v>
      </c>
      <c r="I27" s="13">
        <f>F27/12*G27</f>
        <v>478.08916666666664</v>
      </c>
      <c r="J27" s="24"/>
    </row>
    <row r="28" spans="1:13" ht="15.75" customHeight="1">
      <c r="A28" s="30">
        <v>6</v>
      </c>
      <c r="B28" s="89" t="s">
        <v>23</v>
      </c>
      <c r="C28" s="82" t="s">
        <v>24</v>
      </c>
      <c r="D28" s="81" t="s">
        <v>167</v>
      </c>
      <c r="E28" s="83">
        <v>2135.1999999999998</v>
      </c>
      <c r="F28" s="84">
        <f>SUM(E28*12)</f>
        <v>25622.399999999998</v>
      </c>
      <c r="G28" s="84">
        <v>6.15</v>
      </c>
      <c r="H28" s="85">
        <f>SUM(F28*G28/1000)</f>
        <v>157.57776000000001</v>
      </c>
      <c r="I28" s="13">
        <f>F28/12*G28</f>
        <v>13131.48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hidden="1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31.5" hidden="1" customHeight="1">
      <c r="A31" s="30">
        <v>8</v>
      </c>
      <c r="B31" s="81" t="s">
        <v>111</v>
      </c>
      <c r="C31" s="82" t="s">
        <v>92</v>
      </c>
      <c r="D31" s="81" t="s">
        <v>107</v>
      </c>
      <c r="E31" s="84">
        <v>331.9</v>
      </c>
      <c r="F31" s="84">
        <f>SUM(E31*52/1000)</f>
        <v>17.258800000000001</v>
      </c>
      <c r="G31" s="84">
        <v>166.65</v>
      </c>
      <c r="H31" s="85">
        <f t="shared" ref="H31:H37" si="1">SUM(F31*G31/1000)</f>
        <v>2.8761790199999999</v>
      </c>
      <c r="I31" s="13">
        <f t="shared" ref="I31:I35" si="2">F31/6*G31</f>
        <v>479.36317000000008</v>
      </c>
      <c r="J31" s="23"/>
      <c r="K31" s="8"/>
      <c r="L31" s="8"/>
      <c r="M31" s="8"/>
    </row>
    <row r="32" spans="1:13" ht="31.5" hidden="1" customHeight="1">
      <c r="A32" s="30">
        <v>9</v>
      </c>
      <c r="B32" s="81" t="s">
        <v>110</v>
      </c>
      <c r="C32" s="82" t="s">
        <v>92</v>
      </c>
      <c r="D32" s="81" t="s">
        <v>108</v>
      </c>
      <c r="E32" s="84">
        <v>115.82</v>
      </c>
      <c r="F32" s="84">
        <f>SUM(E32*78/1000)</f>
        <v>9.0339599999999987</v>
      </c>
      <c r="G32" s="84">
        <v>276.48</v>
      </c>
      <c r="H32" s="85">
        <f t="shared" si="1"/>
        <v>2.4977092607999998</v>
      </c>
      <c r="I32" s="13">
        <f t="shared" si="2"/>
        <v>416.28487679999995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82" t="s">
        <v>92</v>
      </c>
      <c r="D33" s="81" t="s">
        <v>53</v>
      </c>
      <c r="E33" s="84">
        <v>331.9</v>
      </c>
      <c r="F33" s="84">
        <f>SUM(E33/1000)</f>
        <v>0.33189999999999997</v>
      </c>
      <c r="G33" s="84">
        <v>3228.73</v>
      </c>
      <c r="H33" s="85">
        <f t="shared" si="1"/>
        <v>1.0716154870000001</v>
      </c>
      <c r="I33" s="13">
        <f>F33*G33</f>
        <v>1071.615487</v>
      </c>
      <c r="J33" s="23"/>
      <c r="K33" s="8"/>
      <c r="L33" s="8"/>
      <c r="M33" s="8"/>
    </row>
    <row r="34" spans="1:14" ht="15.75" hidden="1" customHeight="1">
      <c r="A34" s="30">
        <v>10</v>
      </c>
      <c r="B34" s="81" t="s">
        <v>143</v>
      </c>
      <c r="C34" s="82" t="s">
        <v>40</v>
      </c>
      <c r="D34" s="81" t="s">
        <v>63</v>
      </c>
      <c r="E34" s="84">
        <v>2</v>
      </c>
      <c r="F34" s="84">
        <v>3.1</v>
      </c>
      <c r="G34" s="84">
        <v>1391.86</v>
      </c>
      <c r="H34" s="85">
        <f>F34*G34/1000</f>
        <v>4.3147659999999997</v>
      </c>
      <c r="I34" s="13">
        <f t="shared" si="2"/>
        <v>719.12766666666664</v>
      </c>
      <c r="J34" s="23"/>
      <c r="K34" s="8"/>
    </row>
    <row r="35" spans="1:14" ht="15.75" hidden="1" customHeight="1">
      <c r="A35" s="30">
        <v>11</v>
      </c>
      <c r="B35" s="81" t="s">
        <v>109</v>
      </c>
      <c r="C35" s="82" t="s">
        <v>30</v>
      </c>
      <c r="D35" s="81" t="s">
        <v>63</v>
      </c>
      <c r="E35" s="88">
        <v>0.33333333333333331</v>
      </c>
      <c r="F35" s="84">
        <f>155/3</f>
        <v>51.666666666666664</v>
      </c>
      <c r="G35" s="84">
        <v>60.6</v>
      </c>
      <c r="H35" s="85">
        <f>SUM(G35*155/3/1000)</f>
        <v>3.1309999999999998</v>
      </c>
      <c r="I35" s="13">
        <f t="shared" si="2"/>
        <v>521.83333333333337</v>
      </c>
      <c r="J35" s="24"/>
    </row>
    <row r="36" spans="1:14" ht="15.75" hidden="1" customHeight="1">
      <c r="A36" s="30"/>
      <c r="B36" s="81" t="s">
        <v>65</v>
      </c>
      <c r="C36" s="82" t="s">
        <v>32</v>
      </c>
      <c r="D36" s="81" t="s">
        <v>67</v>
      </c>
      <c r="E36" s="83"/>
      <c r="F36" s="84">
        <v>3</v>
      </c>
      <c r="G36" s="84">
        <v>204.52</v>
      </c>
      <c r="H36" s="85">
        <f t="shared" si="1"/>
        <v>0.61356000000000011</v>
      </c>
      <c r="I36" s="13">
        <v>0</v>
      </c>
      <c r="J36" s="24"/>
    </row>
    <row r="37" spans="1:14" ht="15.75" hidden="1" customHeight="1">
      <c r="A37" s="30"/>
      <c r="B37" s="81" t="s">
        <v>66</v>
      </c>
      <c r="C37" s="82" t="s">
        <v>31</v>
      </c>
      <c r="D37" s="81" t="s">
        <v>67</v>
      </c>
      <c r="E37" s="83"/>
      <c r="F37" s="84">
        <v>2</v>
      </c>
      <c r="G37" s="84">
        <v>1214.74</v>
      </c>
      <c r="H37" s="85">
        <f t="shared" si="1"/>
        <v>2.4294799999999999</v>
      </c>
      <c r="I37" s="13">
        <v>0</v>
      </c>
      <c r="J37" s="24"/>
    </row>
    <row r="38" spans="1:14" ht="15.75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customHeight="1">
      <c r="A39" s="30">
        <v>7</v>
      </c>
      <c r="B39" s="81" t="s">
        <v>25</v>
      </c>
      <c r="C39" s="82" t="s">
        <v>31</v>
      </c>
      <c r="D39" s="81"/>
      <c r="E39" s="83"/>
      <c r="F39" s="84">
        <v>8</v>
      </c>
      <c r="G39" s="84">
        <v>1632.6</v>
      </c>
      <c r="H39" s="85">
        <f t="shared" ref="H39:H44" si="3">SUM(F39*G39/1000)</f>
        <v>13.060799999999999</v>
      </c>
      <c r="I39" s="13">
        <f t="shared" ref="I39:I44" si="4">F39/6*G39</f>
        <v>2176.7999999999997</v>
      </c>
      <c r="J39" s="24"/>
      <c r="L39" s="19"/>
      <c r="M39" s="20"/>
      <c r="N39" s="21"/>
    </row>
    <row r="40" spans="1:14" ht="15.75" customHeight="1">
      <c r="A40" s="30">
        <v>8</v>
      </c>
      <c r="B40" s="81" t="s">
        <v>126</v>
      </c>
      <c r="C40" s="82" t="s">
        <v>28</v>
      </c>
      <c r="D40" s="81" t="s">
        <v>90</v>
      </c>
      <c r="E40" s="83">
        <v>115.82</v>
      </c>
      <c r="F40" s="84">
        <f>E40*30/1000</f>
        <v>3.4745999999999997</v>
      </c>
      <c r="G40" s="84">
        <v>2247.8000000000002</v>
      </c>
      <c r="H40" s="85">
        <f>G40*F40/1000</f>
        <v>7.8102058799999998</v>
      </c>
      <c r="I40" s="13">
        <f t="shared" si="4"/>
        <v>1301.7009800000001</v>
      </c>
      <c r="J40" s="24"/>
      <c r="L40" s="19"/>
      <c r="M40" s="20"/>
      <c r="N40" s="21"/>
    </row>
    <row r="41" spans="1:14" ht="15.75" customHeight="1">
      <c r="A41" s="30">
        <v>9</v>
      </c>
      <c r="B41" s="81" t="s">
        <v>68</v>
      </c>
      <c r="C41" s="82" t="s">
        <v>28</v>
      </c>
      <c r="D41" s="81" t="s">
        <v>91</v>
      </c>
      <c r="E41" s="84">
        <v>115.82</v>
      </c>
      <c r="F41" s="84">
        <f>SUM(E41*155/1000)</f>
        <v>17.952099999999998</v>
      </c>
      <c r="G41" s="84">
        <v>374.95</v>
      </c>
      <c r="H41" s="85">
        <f t="shared" si="3"/>
        <v>6.7311398949999992</v>
      </c>
      <c r="I41" s="13">
        <f t="shared" si="4"/>
        <v>1121.8566491666666</v>
      </c>
      <c r="J41" s="24"/>
      <c r="L41" s="19"/>
      <c r="M41" s="20"/>
      <c r="N41" s="21"/>
    </row>
    <row r="42" spans="1:14" ht="47.25" customHeight="1">
      <c r="A42" s="30">
        <v>10</v>
      </c>
      <c r="B42" s="81" t="s">
        <v>84</v>
      </c>
      <c r="C42" s="82" t="s">
        <v>92</v>
      </c>
      <c r="D42" s="81" t="s">
        <v>127</v>
      </c>
      <c r="E42" s="84">
        <v>40</v>
      </c>
      <c r="F42" s="84">
        <f>SUM(E42*35/1000)</f>
        <v>1.4</v>
      </c>
      <c r="G42" s="84">
        <v>6203.7</v>
      </c>
      <c r="H42" s="85">
        <f t="shared" si="3"/>
        <v>8.685179999999999</v>
      </c>
      <c r="I42" s="13">
        <f t="shared" si="4"/>
        <v>1447.5299999999997</v>
      </c>
      <c r="J42" s="24"/>
      <c r="L42" s="19"/>
      <c r="M42" s="20"/>
      <c r="N42" s="21"/>
    </row>
    <row r="43" spans="1:14" ht="15.75" customHeight="1">
      <c r="A43" s="30">
        <v>11</v>
      </c>
      <c r="B43" s="81" t="s">
        <v>128</v>
      </c>
      <c r="C43" s="82" t="s">
        <v>92</v>
      </c>
      <c r="D43" s="35" t="s">
        <v>235</v>
      </c>
      <c r="E43" s="34">
        <v>115.82</v>
      </c>
      <c r="F43" s="37">
        <f>SUM(E43*15/1000)</f>
        <v>1.7372999999999998</v>
      </c>
      <c r="G43" s="34">
        <v>458.28</v>
      </c>
      <c r="H43" s="114">
        <f t="shared" ref="H43" si="5">SUM(F43*G43/1000)</f>
        <v>0.7961698439999999</v>
      </c>
      <c r="I43" s="13">
        <f>F43/2*G43</f>
        <v>398.08492199999995</v>
      </c>
      <c r="J43" s="24"/>
      <c r="L43" s="19"/>
      <c r="M43" s="20"/>
      <c r="N43" s="21"/>
    </row>
    <row r="44" spans="1:14" ht="15.75" customHeight="1">
      <c r="A44" s="30">
        <v>12</v>
      </c>
      <c r="B44" s="81" t="s">
        <v>70</v>
      </c>
      <c r="C44" s="82" t="s">
        <v>32</v>
      </c>
      <c r="D44" s="81"/>
      <c r="E44" s="83"/>
      <c r="F44" s="84">
        <v>0.5</v>
      </c>
      <c r="G44" s="84">
        <v>853.06</v>
      </c>
      <c r="H44" s="85">
        <f t="shared" si="3"/>
        <v>0.42652999999999996</v>
      </c>
      <c r="I44" s="13">
        <f t="shared" si="4"/>
        <v>71.088333333333324</v>
      </c>
      <c r="J44" s="24"/>
      <c r="L44" s="19"/>
      <c r="M44" s="20"/>
      <c r="N44" s="21"/>
    </row>
    <row r="45" spans="1:14" ht="15.75" customHeight="1">
      <c r="A45" s="154" t="s">
        <v>138</v>
      </c>
      <c r="B45" s="155"/>
      <c r="C45" s="155"/>
      <c r="D45" s="155"/>
      <c r="E45" s="155"/>
      <c r="F45" s="155"/>
      <c r="G45" s="155"/>
      <c r="H45" s="155"/>
      <c r="I45" s="156"/>
      <c r="J45" s="24"/>
      <c r="L45" s="19"/>
      <c r="M45" s="20"/>
      <c r="N45" s="21"/>
    </row>
    <row r="46" spans="1:14" ht="15.75" hidden="1" customHeight="1">
      <c r="A46" s="30"/>
      <c r="B46" s="81" t="s">
        <v>112</v>
      </c>
      <c r="C46" s="82" t="s">
        <v>92</v>
      </c>
      <c r="D46" s="81" t="s">
        <v>42</v>
      </c>
      <c r="E46" s="83">
        <v>838.88</v>
      </c>
      <c r="F46" s="84">
        <f>SUM(E46*2/1000)</f>
        <v>1.6777599999999999</v>
      </c>
      <c r="G46" s="13">
        <v>865.61</v>
      </c>
      <c r="H46" s="85">
        <f t="shared" ref="H46:H55" si="6">SUM(F46*G46/1000)</f>
        <v>1.4522858336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81" t="s">
        <v>35</v>
      </c>
      <c r="C47" s="82" t="s">
        <v>92</v>
      </c>
      <c r="D47" s="81" t="s">
        <v>42</v>
      </c>
      <c r="E47" s="83">
        <v>26</v>
      </c>
      <c r="F47" s="84">
        <f>E47*2/1000</f>
        <v>5.1999999999999998E-2</v>
      </c>
      <c r="G47" s="13">
        <v>619.46</v>
      </c>
      <c r="H47" s="85">
        <f t="shared" si="6"/>
        <v>3.2211919999999998E-2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81" t="s">
        <v>36</v>
      </c>
      <c r="C48" s="82" t="s">
        <v>92</v>
      </c>
      <c r="D48" s="81" t="s">
        <v>42</v>
      </c>
      <c r="E48" s="83">
        <v>879</v>
      </c>
      <c r="F48" s="84">
        <f>SUM(E48*2/1000)</f>
        <v>1.758</v>
      </c>
      <c r="G48" s="13">
        <v>619.46</v>
      </c>
      <c r="H48" s="85">
        <f t="shared" si="6"/>
        <v>1.0890106800000001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81" t="s">
        <v>37</v>
      </c>
      <c r="C49" s="82" t="s">
        <v>92</v>
      </c>
      <c r="D49" s="81" t="s">
        <v>42</v>
      </c>
      <c r="E49" s="83">
        <v>1490.75</v>
      </c>
      <c r="F49" s="84">
        <f>SUM(E49*2/1000)</f>
        <v>2.9815</v>
      </c>
      <c r="G49" s="13">
        <v>648.64</v>
      </c>
      <c r="H49" s="85">
        <f t="shared" si="6"/>
        <v>1.93392016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81" t="s">
        <v>33</v>
      </c>
      <c r="C50" s="82" t="s">
        <v>34</v>
      </c>
      <c r="D50" s="81" t="s">
        <v>42</v>
      </c>
      <c r="E50" s="83">
        <v>61.04</v>
      </c>
      <c r="F50" s="84">
        <f>SUM(E50*2/100)</f>
        <v>1.2207999999999999</v>
      </c>
      <c r="G50" s="13">
        <v>77.84</v>
      </c>
      <c r="H50" s="85">
        <f t="shared" si="6"/>
        <v>9.502707199999999E-2</v>
      </c>
      <c r="I50" s="13">
        <v>0</v>
      </c>
      <c r="J50" s="24"/>
      <c r="L50" s="19"/>
      <c r="M50" s="20"/>
      <c r="N50" s="21"/>
    </row>
    <row r="51" spans="1:22" ht="15.75" hidden="1" customHeight="1">
      <c r="A51" s="30">
        <v>14</v>
      </c>
      <c r="B51" s="81" t="s">
        <v>56</v>
      </c>
      <c r="C51" s="82" t="s">
        <v>92</v>
      </c>
      <c r="D51" s="81" t="s">
        <v>150</v>
      </c>
      <c r="E51" s="83">
        <v>1342.2</v>
      </c>
      <c r="F51" s="84">
        <f>SUM(E51*5/1000)</f>
        <v>6.7110000000000003</v>
      </c>
      <c r="G51" s="13">
        <v>1297.28</v>
      </c>
      <c r="H51" s="85">
        <f t="shared" si="6"/>
        <v>8.7060460800000001</v>
      </c>
      <c r="I51" s="13">
        <f>F51/5*G51</f>
        <v>1741.209216</v>
      </c>
      <c r="J51" s="24"/>
      <c r="L51" s="19"/>
      <c r="M51" s="20"/>
      <c r="N51" s="21"/>
    </row>
    <row r="52" spans="1:22" ht="31.5" hidden="1" customHeight="1">
      <c r="A52" s="30"/>
      <c r="B52" s="81" t="s">
        <v>93</v>
      </c>
      <c r="C52" s="82" t="s">
        <v>92</v>
      </c>
      <c r="D52" s="81" t="s">
        <v>42</v>
      </c>
      <c r="E52" s="83">
        <v>1342.2</v>
      </c>
      <c r="F52" s="84">
        <f>SUM(E52*2/1000)</f>
        <v>2.6844000000000001</v>
      </c>
      <c r="G52" s="13">
        <v>1297.28</v>
      </c>
      <c r="H52" s="85">
        <f t="shared" si="6"/>
        <v>3.4824184319999998</v>
      </c>
      <c r="I52" s="13">
        <v>0</v>
      </c>
      <c r="J52" s="24"/>
      <c r="L52" s="19"/>
      <c r="M52" s="20"/>
      <c r="N52" s="21"/>
    </row>
    <row r="53" spans="1:22" ht="31.5" hidden="1" customHeight="1">
      <c r="A53" s="30"/>
      <c r="B53" s="81" t="s">
        <v>94</v>
      </c>
      <c r="C53" s="82" t="s">
        <v>38</v>
      </c>
      <c r="D53" s="81" t="s">
        <v>42</v>
      </c>
      <c r="E53" s="83">
        <v>10</v>
      </c>
      <c r="F53" s="84">
        <f>SUM(E53*2/100)</f>
        <v>0.2</v>
      </c>
      <c r="G53" s="13">
        <v>2918.89</v>
      </c>
      <c r="H53" s="85">
        <f t="shared" si="6"/>
        <v>0.58377800000000002</v>
      </c>
      <c r="I53" s="13">
        <v>0</v>
      </c>
      <c r="J53" s="24"/>
      <c r="L53" s="19"/>
      <c r="M53" s="20"/>
      <c r="N53" s="21"/>
    </row>
    <row r="54" spans="1:22" ht="15.75" customHeight="1">
      <c r="A54" s="30">
        <v>13</v>
      </c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3">
        <v>6042.12</v>
      </c>
      <c r="H54" s="85">
        <f t="shared" si="6"/>
        <v>0.1208424</v>
      </c>
      <c r="I54" s="13">
        <f>F54/2*G54</f>
        <v>60.421199999999999</v>
      </c>
      <c r="J54" s="24"/>
      <c r="L54" s="19"/>
      <c r="M54" s="20"/>
      <c r="N54" s="21"/>
    </row>
    <row r="55" spans="1:22" ht="15.75" hidden="1" customHeight="1">
      <c r="A55" s="30">
        <v>13</v>
      </c>
      <c r="B55" s="81" t="s">
        <v>41</v>
      </c>
      <c r="C55" s="82" t="s">
        <v>113</v>
      </c>
      <c r="D55" s="81" t="s">
        <v>71</v>
      </c>
      <c r="E55" s="83">
        <v>80</v>
      </c>
      <c r="F55" s="84">
        <f>SUM(E55)*3</f>
        <v>240</v>
      </c>
      <c r="G55" s="13">
        <v>70.209999999999994</v>
      </c>
      <c r="H55" s="85">
        <f t="shared" si="6"/>
        <v>16.850399999999997</v>
      </c>
      <c r="I55" s="13">
        <f>E55*G55</f>
        <v>5616.7999999999993</v>
      </c>
      <c r="J55" s="24"/>
      <c r="L55" s="19"/>
      <c r="M55" s="20"/>
      <c r="N55" s="21"/>
    </row>
    <row r="56" spans="1:22" ht="15.75" customHeight="1">
      <c r="A56" s="154" t="s">
        <v>137</v>
      </c>
      <c r="B56" s="155"/>
      <c r="C56" s="155"/>
      <c r="D56" s="155"/>
      <c r="E56" s="155"/>
      <c r="F56" s="155"/>
      <c r="G56" s="155"/>
      <c r="H56" s="155"/>
      <c r="I56" s="156"/>
      <c r="J56" s="24"/>
      <c r="L56" s="19"/>
      <c r="M56" s="20"/>
      <c r="N56" s="21"/>
    </row>
    <row r="57" spans="1:22" ht="15.75" customHeight="1">
      <c r="A57" s="30"/>
      <c r="B57" s="103" t="s">
        <v>43</v>
      </c>
      <c r="C57" s="82"/>
      <c r="D57" s="81"/>
      <c r="E57" s="83"/>
      <c r="F57" s="84"/>
      <c r="G57" s="84"/>
      <c r="H57" s="85"/>
      <c r="I57" s="13"/>
      <c r="J57" s="24"/>
      <c r="L57" s="19"/>
      <c r="M57" s="20"/>
      <c r="N57" s="21"/>
    </row>
    <row r="58" spans="1:22" ht="31.5" customHeight="1">
      <c r="A58" s="30">
        <v>14</v>
      </c>
      <c r="B58" s="81" t="s">
        <v>114</v>
      </c>
      <c r="C58" s="82" t="s">
        <v>89</v>
      </c>
      <c r="D58" s="81" t="s">
        <v>115</v>
      </c>
      <c r="E58" s="83">
        <v>90.76</v>
      </c>
      <c r="F58" s="84">
        <f>SUM(E58*6/100)</f>
        <v>5.4456000000000007</v>
      </c>
      <c r="G58" s="13">
        <v>1654.04</v>
      </c>
      <c r="H58" s="85">
        <f>SUM(F58*G58/1000)</f>
        <v>9.0072402240000002</v>
      </c>
      <c r="I58" s="13">
        <f>F58/6*G58</f>
        <v>1501.2067040000002</v>
      </c>
      <c r="J58" s="24"/>
      <c r="L58" s="19"/>
    </row>
    <row r="59" spans="1:22" ht="15.75" hidden="1" customHeight="1">
      <c r="A59" s="30"/>
      <c r="B59" s="103" t="s">
        <v>44</v>
      </c>
      <c r="C59" s="82"/>
      <c r="D59" s="81"/>
      <c r="E59" s="83"/>
      <c r="F59" s="84"/>
      <c r="G59" s="75"/>
      <c r="H59" s="85"/>
      <c r="I59" s="13"/>
    </row>
    <row r="60" spans="1:22" ht="15.75" hidden="1" customHeight="1">
      <c r="A60" s="30"/>
      <c r="B60" s="81" t="s">
        <v>132</v>
      </c>
      <c r="C60" s="82" t="s">
        <v>89</v>
      </c>
      <c r="D60" s="81" t="s">
        <v>144</v>
      </c>
      <c r="E60" s="83">
        <v>1342.2</v>
      </c>
      <c r="F60" s="85">
        <f>E60/100</f>
        <v>13.422000000000001</v>
      </c>
      <c r="G60" s="13">
        <v>848.37</v>
      </c>
      <c r="H60" s="90">
        <f>F60*G60/1000</f>
        <v>11.38682214</v>
      </c>
      <c r="I60" s="13">
        <v>0</v>
      </c>
    </row>
    <row r="61" spans="1:22" ht="15.75" hidden="1" customHeight="1">
      <c r="A61" s="30"/>
      <c r="B61" s="104" t="s">
        <v>45</v>
      </c>
      <c r="C61" s="91"/>
      <c r="D61" s="92"/>
      <c r="E61" s="93"/>
      <c r="F61" s="94"/>
      <c r="G61" s="94"/>
      <c r="H61" s="95" t="s">
        <v>122</v>
      </c>
      <c r="I61" s="13"/>
    </row>
    <row r="62" spans="1:22" ht="15.75" hidden="1" customHeight="1">
      <c r="A62" s="30">
        <v>15</v>
      </c>
      <c r="B62" s="14" t="s">
        <v>46</v>
      </c>
      <c r="C62" s="16" t="s">
        <v>113</v>
      </c>
      <c r="D62" s="14" t="s">
        <v>67</v>
      </c>
      <c r="E62" s="18">
        <v>10</v>
      </c>
      <c r="F62" s="84">
        <v>10</v>
      </c>
      <c r="G62" s="13">
        <v>237.74</v>
      </c>
      <c r="H62" s="80">
        <f t="shared" ref="H62:H75" si="7">SUM(F62*G62/1000)</f>
        <v>2.3774000000000002</v>
      </c>
      <c r="I62" s="13">
        <f>G62</f>
        <v>237.74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0"/>
      <c r="B63" s="14" t="s">
        <v>47</v>
      </c>
      <c r="C63" s="16" t="s">
        <v>113</v>
      </c>
      <c r="D63" s="14" t="s">
        <v>67</v>
      </c>
      <c r="E63" s="18">
        <v>5</v>
      </c>
      <c r="F63" s="84">
        <v>5</v>
      </c>
      <c r="G63" s="13">
        <v>81.510000000000005</v>
      </c>
      <c r="H63" s="80">
        <f t="shared" si="7"/>
        <v>0.40755000000000002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0"/>
      <c r="B64" s="14" t="s">
        <v>48</v>
      </c>
      <c r="C64" s="16" t="s">
        <v>116</v>
      </c>
      <c r="D64" s="14" t="s">
        <v>53</v>
      </c>
      <c r="E64" s="83">
        <v>10348</v>
      </c>
      <c r="F64" s="13">
        <f>SUM(E64/100)</f>
        <v>103.48</v>
      </c>
      <c r="G64" s="13">
        <v>226.79</v>
      </c>
      <c r="H64" s="80">
        <f t="shared" si="7"/>
        <v>23.468229200000003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0"/>
      <c r="B65" s="14" t="s">
        <v>49</v>
      </c>
      <c r="C65" s="16" t="s">
        <v>117</v>
      </c>
      <c r="D65" s="14"/>
      <c r="E65" s="83">
        <v>10348</v>
      </c>
      <c r="F65" s="13">
        <f>SUM(E65/1000)</f>
        <v>10.348000000000001</v>
      </c>
      <c r="G65" s="13">
        <v>176.61</v>
      </c>
      <c r="H65" s="80">
        <f t="shared" si="7"/>
        <v>1.8275602800000004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47"/>
      <c r="S65" s="147"/>
      <c r="T65" s="147"/>
      <c r="U65" s="147"/>
    </row>
    <row r="66" spans="1:21" ht="15.75" hidden="1" customHeight="1">
      <c r="A66" s="30"/>
      <c r="B66" s="14" t="s">
        <v>50</v>
      </c>
      <c r="C66" s="16" t="s">
        <v>77</v>
      </c>
      <c r="D66" s="14" t="s">
        <v>53</v>
      </c>
      <c r="E66" s="83">
        <v>1645</v>
      </c>
      <c r="F66" s="13">
        <f>SUM(E66/100)</f>
        <v>16.45</v>
      </c>
      <c r="G66" s="13">
        <v>2217.7800000000002</v>
      </c>
      <c r="H66" s="80">
        <f t="shared" si="7"/>
        <v>36.482481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0"/>
      <c r="B67" s="96" t="s">
        <v>118</v>
      </c>
      <c r="C67" s="16" t="s">
        <v>32</v>
      </c>
      <c r="D67" s="14"/>
      <c r="E67" s="83">
        <v>8.6</v>
      </c>
      <c r="F67" s="13">
        <f>SUM(E67)</f>
        <v>8.6</v>
      </c>
      <c r="G67" s="13">
        <v>42.67</v>
      </c>
      <c r="H67" s="80">
        <f t="shared" si="7"/>
        <v>0.36696200000000001</v>
      </c>
      <c r="I67" s="13">
        <v>0</v>
      </c>
    </row>
    <row r="68" spans="1:21" ht="15.75" hidden="1" customHeight="1">
      <c r="A68" s="30"/>
      <c r="B68" s="96" t="s">
        <v>119</v>
      </c>
      <c r="C68" s="16" t="s">
        <v>32</v>
      </c>
      <c r="D68" s="14"/>
      <c r="E68" s="83">
        <v>8.6</v>
      </c>
      <c r="F68" s="13">
        <f>SUM(E68)</f>
        <v>8.6</v>
      </c>
      <c r="G68" s="13">
        <v>39.81</v>
      </c>
      <c r="H68" s="80">
        <f t="shared" si="7"/>
        <v>0.342366</v>
      </c>
      <c r="I68" s="13">
        <v>0</v>
      </c>
    </row>
    <row r="69" spans="1:21" ht="15.75" hidden="1" customHeight="1">
      <c r="A69" s="30"/>
      <c r="B69" s="14" t="s">
        <v>57</v>
      </c>
      <c r="C69" s="16" t="s">
        <v>58</v>
      </c>
      <c r="D69" s="14" t="s">
        <v>53</v>
      </c>
      <c r="E69" s="18">
        <v>5</v>
      </c>
      <c r="F69" s="84">
        <v>5</v>
      </c>
      <c r="G69" s="13">
        <v>53.32</v>
      </c>
      <c r="H69" s="80">
        <f t="shared" si="7"/>
        <v>0.2666</v>
      </c>
      <c r="I69" s="13">
        <v>0</v>
      </c>
    </row>
    <row r="70" spans="1:21" ht="15.75" hidden="1" customHeight="1">
      <c r="A70" s="30"/>
      <c r="B70" s="66" t="s">
        <v>72</v>
      </c>
      <c r="C70" s="16"/>
      <c r="D70" s="14"/>
      <c r="E70" s="18"/>
      <c r="F70" s="13"/>
      <c r="G70" s="13"/>
      <c r="H70" s="80" t="s">
        <v>122</v>
      </c>
      <c r="I70" s="13"/>
    </row>
    <row r="71" spans="1:21" ht="15.75" hidden="1" customHeight="1">
      <c r="A71" s="30"/>
      <c r="B71" s="14" t="s">
        <v>73</v>
      </c>
      <c r="C71" s="16" t="s">
        <v>75</v>
      </c>
      <c r="D71" s="14"/>
      <c r="E71" s="18">
        <v>2</v>
      </c>
      <c r="F71" s="13">
        <v>0.2</v>
      </c>
      <c r="G71" s="13">
        <v>536.23</v>
      </c>
      <c r="H71" s="80">
        <f t="shared" si="7"/>
        <v>0.10724600000000001</v>
      </c>
      <c r="I71" s="13">
        <v>0</v>
      </c>
    </row>
    <row r="72" spans="1:21" ht="15.75" hidden="1" customHeight="1">
      <c r="A72" s="30"/>
      <c r="B72" s="14" t="s">
        <v>74</v>
      </c>
      <c r="C72" s="16" t="s">
        <v>30</v>
      </c>
      <c r="D72" s="14"/>
      <c r="E72" s="18">
        <v>2</v>
      </c>
      <c r="F72" s="75">
        <v>2</v>
      </c>
      <c r="G72" s="13">
        <v>911.85</v>
      </c>
      <c r="H72" s="80">
        <f>F72*G72/1000</f>
        <v>1.8237000000000001</v>
      </c>
      <c r="I72" s="13">
        <v>0</v>
      </c>
    </row>
    <row r="73" spans="1:21" ht="15.75" hidden="1" customHeight="1">
      <c r="A73" s="30"/>
      <c r="B73" s="14" t="s">
        <v>129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80">
        <f>G73*F73/1000</f>
        <v>0.38324999999999998</v>
      </c>
      <c r="I73" s="13">
        <v>0</v>
      </c>
    </row>
    <row r="74" spans="1:21" ht="15.75" hidden="1" customHeight="1">
      <c r="A74" s="30"/>
      <c r="B74" s="98" t="s">
        <v>76</v>
      </c>
      <c r="C74" s="16"/>
      <c r="D74" s="14"/>
      <c r="E74" s="18"/>
      <c r="F74" s="13"/>
      <c r="G74" s="13" t="s">
        <v>122</v>
      </c>
      <c r="H74" s="80" t="s">
        <v>122</v>
      </c>
      <c r="I74" s="13"/>
    </row>
    <row r="75" spans="1:21" ht="15.75" hidden="1" customHeight="1">
      <c r="A75" s="30"/>
      <c r="B75" s="52" t="s">
        <v>123</v>
      </c>
      <c r="C75" s="16" t="s">
        <v>77</v>
      </c>
      <c r="D75" s="14"/>
      <c r="E75" s="18"/>
      <c r="F75" s="13">
        <v>0.6</v>
      </c>
      <c r="G75" s="13">
        <v>2949.85</v>
      </c>
      <c r="H75" s="80">
        <f t="shared" si="7"/>
        <v>1.7699099999999999</v>
      </c>
      <c r="I75" s="13">
        <v>0</v>
      </c>
    </row>
    <row r="76" spans="1:21" ht="15.75" hidden="1" customHeight="1">
      <c r="A76" s="30"/>
      <c r="B76" s="105" t="s">
        <v>95</v>
      </c>
      <c r="C76" s="98"/>
      <c r="D76" s="32"/>
      <c r="E76" s="33"/>
      <c r="F76" s="87"/>
      <c r="G76" s="87"/>
      <c r="H76" s="99">
        <f>SUM(H58:H75)</f>
        <v>90.017316844000007</v>
      </c>
      <c r="I76" s="87"/>
    </row>
    <row r="77" spans="1:21" ht="15.75" hidden="1" customHeight="1">
      <c r="A77" s="30">
        <v>17</v>
      </c>
      <c r="B77" s="81" t="s">
        <v>120</v>
      </c>
      <c r="C77" s="16"/>
      <c r="D77" s="14"/>
      <c r="E77" s="100"/>
      <c r="F77" s="13">
        <v>1</v>
      </c>
      <c r="G77" s="13">
        <v>6480.5</v>
      </c>
      <c r="H77" s="80">
        <f>G77*F77/1000</f>
        <v>6.4805000000000001</v>
      </c>
      <c r="I77" s="13">
        <f>G77</f>
        <v>6480.5</v>
      </c>
    </row>
    <row r="78" spans="1:21" ht="15.75" customHeight="1">
      <c r="A78" s="154" t="s">
        <v>136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30">
        <v>15</v>
      </c>
      <c r="B79" s="81" t="s">
        <v>121</v>
      </c>
      <c r="C79" s="16" t="s">
        <v>54</v>
      </c>
      <c r="D79" s="59" t="s">
        <v>55</v>
      </c>
      <c r="E79" s="13">
        <v>2135.1999999999998</v>
      </c>
      <c r="F79" s="13">
        <f>SUM(E79*12)</f>
        <v>25622.399999999998</v>
      </c>
      <c r="G79" s="13">
        <v>2.2400000000000002</v>
      </c>
      <c r="H79" s="80">
        <f>SUM(F79*G79/1000)</f>
        <v>57.394176000000002</v>
      </c>
      <c r="I79" s="13">
        <f>F79/12*G79</f>
        <v>4782.848</v>
      </c>
    </row>
    <row r="80" spans="1:21" ht="31.5" customHeight="1">
      <c r="A80" s="30">
        <v>16</v>
      </c>
      <c r="B80" s="14" t="s">
        <v>78</v>
      </c>
      <c r="C80" s="16"/>
      <c r="D80" s="59" t="s">
        <v>55</v>
      </c>
      <c r="E80" s="83">
        <f>E79</f>
        <v>2135.1999999999998</v>
      </c>
      <c r="F80" s="13">
        <f>E80*12</f>
        <v>25622.399999999998</v>
      </c>
      <c r="G80" s="13">
        <v>1.74</v>
      </c>
      <c r="H80" s="80">
        <f>F80*G80/1000</f>
        <v>44.582975999999995</v>
      </c>
      <c r="I80" s="13">
        <f>F80/12*G80</f>
        <v>3715.2479999999996</v>
      </c>
    </row>
    <row r="81" spans="1:9" ht="15.75" customHeight="1">
      <c r="A81" s="30"/>
      <c r="B81" s="45" t="s">
        <v>81</v>
      </c>
      <c r="C81" s="98"/>
      <c r="D81" s="97"/>
      <c r="E81" s="87"/>
      <c r="F81" s="87"/>
      <c r="G81" s="87"/>
      <c r="H81" s="99">
        <f>H80</f>
        <v>44.582975999999995</v>
      </c>
      <c r="I81" s="87">
        <f>I16+I17+I18+I20+I27+I28+I39+I40+I41+I42+I43+I44+I54+I58+I79+I80</f>
        <v>35634.100785833332</v>
      </c>
    </row>
    <row r="82" spans="1:9" ht="15.75" customHeight="1">
      <c r="A82" s="158" t="s">
        <v>60</v>
      </c>
      <c r="B82" s="159"/>
      <c r="C82" s="159"/>
      <c r="D82" s="159"/>
      <c r="E82" s="159"/>
      <c r="F82" s="159"/>
      <c r="G82" s="159"/>
      <c r="H82" s="159"/>
      <c r="I82" s="160"/>
    </row>
    <row r="83" spans="1:9" ht="15.75" customHeight="1">
      <c r="A83" s="30">
        <v>17</v>
      </c>
      <c r="B83" s="56" t="s">
        <v>124</v>
      </c>
      <c r="C83" s="57" t="s">
        <v>113</v>
      </c>
      <c r="D83" s="52"/>
      <c r="E83" s="13"/>
      <c r="F83" s="13">
        <v>492</v>
      </c>
      <c r="G83" s="13">
        <v>53.42</v>
      </c>
      <c r="H83" s="80">
        <f t="shared" ref="H83" si="8">G83*F83/1000</f>
        <v>26.282640000000001</v>
      </c>
      <c r="I83" s="13">
        <f>G83*41</f>
        <v>2190.2200000000003</v>
      </c>
    </row>
    <row r="84" spans="1:9" ht="15.75" customHeight="1">
      <c r="A84" s="30"/>
      <c r="B84" s="50" t="s">
        <v>51</v>
      </c>
      <c r="C84" s="57"/>
      <c r="D84" s="52"/>
      <c r="E84" s="13"/>
      <c r="F84" s="13"/>
      <c r="G84" s="13"/>
      <c r="H84" s="80"/>
      <c r="I84" s="87">
        <f>SUM(I83:I83)</f>
        <v>2190.2200000000003</v>
      </c>
    </row>
    <row r="85" spans="1:9">
      <c r="A85" s="30"/>
      <c r="B85" s="52" t="s">
        <v>79</v>
      </c>
      <c r="C85" s="15"/>
      <c r="D85" s="15"/>
      <c r="E85" s="47"/>
      <c r="F85" s="47"/>
      <c r="G85" s="48"/>
      <c r="H85" s="48"/>
      <c r="I85" s="17">
        <v>0</v>
      </c>
    </row>
    <row r="86" spans="1:9">
      <c r="A86" s="54"/>
      <c r="B86" s="51" t="s">
        <v>169</v>
      </c>
      <c r="C86" s="38"/>
      <c r="D86" s="38"/>
      <c r="E86" s="38"/>
      <c r="F86" s="38"/>
      <c r="G86" s="38"/>
      <c r="H86" s="38"/>
      <c r="I86" s="49">
        <f>I81+I84</f>
        <v>37824.320785833334</v>
      </c>
    </row>
    <row r="87" spans="1:9" ht="15.75" customHeight="1">
      <c r="A87" s="165" t="s">
        <v>177</v>
      </c>
      <c r="B87" s="165"/>
      <c r="C87" s="165"/>
      <c r="D87" s="165"/>
      <c r="E87" s="165"/>
      <c r="F87" s="165"/>
      <c r="G87" s="165"/>
      <c r="H87" s="165"/>
      <c r="I87" s="165"/>
    </row>
    <row r="88" spans="1:9" ht="15.75" customHeight="1">
      <c r="A88" s="68"/>
      <c r="B88" s="166" t="s">
        <v>178</v>
      </c>
      <c r="C88" s="166"/>
      <c r="D88" s="166"/>
      <c r="E88" s="166"/>
      <c r="F88" s="166"/>
      <c r="G88" s="166"/>
      <c r="H88" s="78"/>
      <c r="I88" s="3"/>
    </row>
    <row r="89" spans="1:9">
      <c r="A89" s="64"/>
      <c r="B89" s="163" t="s">
        <v>6</v>
      </c>
      <c r="C89" s="163"/>
      <c r="D89" s="163"/>
      <c r="E89" s="163"/>
      <c r="F89" s="163"/>
      <c r="G89" s="163"/>
      <c r="H89" s="25"/>
      <c r="I89" s="5"/>
    </row>
    <row r="90" spans="1:9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67" t="s">
        <v>7</v>
      </c>
      <c r="B91" s="167"/>
      <c r="C91" s="167"/>
      <c r="D91" s="167"/>
      <c r="E91" s="167"/>
      <c r="F91" s="167"/>
      <c r="G91" s="167"/>
      <c r="H91" s="167"/>
      <c r="I91" s="167"/>
    </row>
    <row r="92" spans="1:9" ht="15.75" customHeight="1">
      <c r="A92" s="167" t="s">
        <v>8</v>
      </c>
      <c r="B92" s="167"/>
      <c r="C92" s="167"/>
      <c r="D92" s="167"/>
      <c r="E92" s="167"/>
      <c r="F92" s="167"/>
      <c r="G92" s="167"/>
      <c r="H92" s="167"/>
      <c r="I92" s="167"/>
    </row>
    <row r="93" spans="1:9" ht="15.75">
      <c r="A93" s="144" t="s">
        <v>61</v>
      </c>
      <c r="B93" s="144"/>
      <c r="C93" s="144"/>
      <c r="D93" s="144"/>
      <c r="E93" s="144"/>
      <c r="F93" s="144"/>
      <c r="G93" s="144"/>
      <c r="H93" s="144"/>
      <c r="I93" s="144"/>
    </row>
    <row r="94" spans="1:9" ht="7.5" customHeight="1">
      <c r="A94" s="11"/>
    </row>
    <row r="95" spans="1:9" ht="15.75" customHeight="1">
      <c r="A95" s="145" t="s">
        <v>9</v>
      </c>
      <c r="B95" s="145"/>
      <c r="C95" s="145"/>
      <c r="D95" s="145"/>
      <c r="E95" s="145"/>
      <c r="F95" s="145"/>
      <c r="G95" s="145"/>
      <c r="H95" s="145"/>
      <c r="I95" s="145"/>
    </row>
    <row r="96" spans="1:9" ht="15.75" customHeight="1">
      <c r="A96" s="4"/>
    </row>
    <row r="97" spans="1:9" ht="15.75" customHeight="1">
      <c r="B97" s="65" t="s">
        <v>10</v>
      </c>
      <c r="C97" s="162" t="s">
        <v>139</v>
      </c>
      <c r="D97" s="162"/>
      <c r="E97" s="162"/>
      <c r="F97" s="76"/>
      <c r="I97" s="63"/>
    </row>
    <row r="98" spans="1:9" ht="15.75" customHeight="1">
      <c r="A98" s="64"/>
      <c r="C98" s="163" t="s">
        <v>11</v>
      </c>
      <c r="D98" s="163"/>
      <c r="E98" s="163"/>
      <c r="F98" s="25"/>
      <c r="I98" s="62" t="s">
        <v>12</v>
      </c>
    </row>
    <row r="99" spans="1:9" ht="15.75" customHeight="1">
      <c r="A99" s="26"/>
      <c r="C99" s="12"/>
      <c r="D99" s="12"/>
      <c r="G99" s="12"/>
      <c r="H99" s="12"/>
    </row>
    <row r="100" spans="1:9" ht="15.75" customHeight="1">
      <c r="B100" s="65" t="s">
        <v>13</v>
      </c>
      <c r="C100" s="164"/>
      <c r="D100" s="164"/>
      <c r="E100" s="164"/>
      <c r="F100" s="77"/>
      <c r="I100" s="63"/>
    </row>
    <row r="101" spans="1:9">
      <c r="A101" s="64"/>
      <c r="C101" s="147" t="s">
        <v>11</v>
      </c>
      <c r="D101" s="147"/>
      <c r="E101" s="147"/>
      <c r="F101" s="64"/>
      <c r="I101" s="62" t="s">
        <v>12</v>
      </c>
    </row>
    <row r="102" spans="1:9" ht="15.75">
      <c r="A102" s="4" t="s">
        <v>14</v>
      </c>
    </row>
    <row r="103" spans="1:9">
      <c r="A103" s="161" t="s">
        <v>15</v>
      </c>
      <c r="B103" s="161"/>
      <c r="C103" s="161"/>
      <c r="D103" s="161"/>
      <c r="E103" s="161"/>
      <c r="F103" s="161"/>
      <c r="G103" s="161"/>
      <c r="H103" s="161"/>
      <c r="I103" s="161"/>
    </row>
    <row r="104" spans="1:9" ht="45" customHeight="1">
      <c r="A104" s="157" t="s">
        <v>16</v>
      </c>
      <c r="B104" s="157"/>
      <c r="C104" s="157"/>
      <c r="D104" s="157"/>
      <c r="E104" s="157"/>
      <c r="F104" s="157"/>
      <c r="G104" s="157"/>
      <c r="H104" s="157"/>
      <c r="I104" s="157"/>
    </row>
    <row r="105" spans="1:9" ht="30" customHeight="1">
      <c r="A105" s="157" t="s">
        <v>17</v>
      </c>
      <c r="B105" s="157"/>
      <c r="C105" s="157"/>
      <c r="D105" s="157"/>
      <c r="E105" s="157"/>
      <c r="F105" s="157"/>
      <c r="G105" s="157"/>
      <c r="H105" s="157"/>
      <c r="I105" s="157"/>
    </row>
    <row r="106" spans="1:9" ht="30" customHeight="1">
      <c r="A106" s="157" t="s">
        <v>21</v>
      </c>
      <c r="B106" s="157"/>
      <c r="C106" s="157"/>
      <c r="D106" s="157"/>
      <c r="E106" s="157"/>
      <c r="F106" s="157"/>
      <c r="G106" s="157"/>
      <c r="H106" s="157"/>
      <c r="I106" s="157"/>
    </row>
    <row r="107" spans="1:9" ht="15" customHeight="1">
      <c r="A107" s="157" t="s">
        <v>20</v>
      </c>
      <c r="B107" s="157"/>
      <c r="C107" s="157"/>
      <c r="D107" s="157"/>
      <c r="E107" s="157"/>
      <c r="F107" s="157"/>
      <c r="G107" s="157"/>
      <c r="H107" s="157"/>
      <c r="I107" s="157"/>
    </row>
  </sheetData>
  <autoFilter ref="I12:I60"/>
  <mergeCells count="29"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  <mergeCell ref="A93:I93"/>
    <mergeCell ref="A15:I15"/>
    <mergeCell ref="A29:I29"/>
    <mergeCell ref="A45:I45"/>
    <mergeCell ref="A56:I56"/>
    <mergeCell ref="A82:I82"/>
    <mergeCell ref="A87:I87"/>
    <mergeCell ref="B88:G88"/>
    <mergeCell ref="B89:G89"/>
    <mergeCell ref="A91:I91"/>
    <mergeCell ref="A92:I92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7.874015748031496E-2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8"/>
  <sheetViews>
    <sheetView topLeftCell="A87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156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179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42886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162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81" t="s">
        <v>88</v>
      </c>
      <c r="C16" s="82" t="s">
        <v>89</v>
      </c>
      <c r="D16" s="81" t="s">
        <v>164</v>
      </c>
      <c r="E16" s="83">
        <v>37.78</v>
      </c>
      <c r="F16" s="84">
        <f>SUM(E16*156/100)</f>
        <v>58.936800000000005</v>
      </c>
      <c r="G16" s="84">
        <v>187.48</v>
      </c>
      <c r="H16" s="85">
        <f t="shared" ref="H16:H26" si="0">SUM(F16*G16/1000)</f>
        <v>11.049471263999999</v>
      </c>
      <c r="I16" s="13">
        <f>F16/12*G16</f>
        <v>920.78927199999998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141</v>
      </c>
      <c r="C17" s="82" t="s">
        <v>89</v>
      </c>
      <c r="D17" s="81" t="s">
        <v>165</v>
      </c>
      <c r="E17" s="83">
        <v>151.12</v>
      </c>
      <c r="F17" s="84">
        <f>SUM(E17*104/100)</f>
        <v>157.16479999999999</v>
      </c>
      <c r="G17" s="84">
        <v>187.48</v>
      </c>
      <c r="H17" s="85">
        <f t="shared" si="0"/>
        <v>29.465256703999994</v>
      </c>
      <c r="I17" s="13">
        <f>F17/12*G17</f>
        <v>2455.4380586666662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142</v>
      </c>
      <c r="C18" s="82" t="s">
        <v>89</v>
      </c>
      <c r="D18" s="81" t="s">
        <v>166</v>
      </c>
      <c r="E18" s="83">
        <v>188.9</v>
      </c>
      <c r="F18" s="84">
        <f>SUM(E18*24/100)</f>
        <v>45.336000000000006</v>
      </c>
      <c r="G18" s="84">
        <v>539.30999999999995</v>
      </c>
      <c r="H18" s="85">
        <f t="shared" si="0"/>
        <v>24.450158159999997</v>
      </c>
      <c r="I18" s="13">
        <f>F18/12*G18</f>
        <v>2037.5131800000001</v>
      </c>
      <c r="J18" s="23"/>
      <c r="K18" s="8"/>
      <c r="L18" s="8"/>
      <c r="M18" s="8"/>
    </row>
    <row r="19" spans="1:13" ht="15.75" customHeight="1">
      <c r="A19" s="30">
        <v>4</v>
      </c>
      <c r="B19" s="81" t="s">
        <v>96</v>
      </c>
      <c r="C19" s="82" t="s">
        <v>97</v>
      </c>
      <c r="D19" s="81" t="s">
        <v>98</v>
      </c>
      <c r="E19" s="83">
        <v>18</v>
      </c>
      <c r="F19" s="84">
        <f>SUM(E19/10)</f>
        <v>1.8</v>
      </c>
      <c r="G19" s="84">
        <v>181.91</v>
      </c>
      <c r="H19" s="85">
        <f t="shared" si="0"/>
        <v>0.32743800000000001</v>
      </c>
      <c r="I19" s="13">
        <f>F19/2*G19</f>
        <v>163.71899999999999</v>
      </c>
      <c r="J19" s="23"/>
      <c r="K19" s="8"/>
      <c r="L19" s="8"/>
      <c r="M19" s="8"/>
    </row>
    <row r="20" spans="1:13" ht="15.75" customHeight="1">
      <c r="A20" s="30">
        <v>5</v>
      </c>
      <c r="B20" s="81" t="s">
        <v>99</v>
      </c>
      <c r="C20" s="82" t="s">
        <v>89</v>
      </c>
      <c r="D20" s="81" t="s">
        <v>29</v>
      </c>
      <c r="E20" s="83">
        <v>14.6</v>
      </c>
      <c r="F20" s="84">
        <f>SUM(E20*12/100)</f>
        <v>1.7519999999999998</v>
      </c>
      <c r="G20" s="84">
        <v>232.92</v>
      </c>
      <c r="H20" s="85">
        <f t="shared" si="0"/>
        <v>0.40807583999999991</v>
      </c>
      <c r="I20" s="13">
        <f>F20/12*G20</f>
        <v>34.006319999999995</v>
      </c>
      <c r="J20" s="23"/>
      <c r="K20" s="8"/>
      <c r="L20" s="8"/>
      <c r="M20" s="8"/>
    </row>
    <row r="21" spans="1:13" ht="15.75" customHeight="1">
      <c r="A21" s="30">
        <v>6</v>
      </c>
      <c r="B21" s="81" t="s">
        <v>100</v>
      </c>
      <c r="C21" s="82" t="s">
        <v>89</v>
      </c>
      <c r="D21" s="81" t="s">
        <v>125</v>
      </c>
      <c r="E21" s="83">
        <v>2.7</v>
      </c>
      <c r="F21" s="84">
        <f>SUM(E21*6/100)</f>
        <v>0.16200000000000003</v>
      </c>
      <c r="G21" s="84">
        <v>231.03</v>
      </c>
      <c r="H21" s="85">
        <f t="shared" si="0"/>
        <v>3.7426860000000006E-2</v>
      </c>
      <c r="I21" s="13">
        <f>F21/6*G21</f>
        <v>6.2378100000000014</v>
      </c>
      <c r="J21" s="23"/>
      <c r="K21" s="8"/>
      <c r="L21" s="8"/>
      <c r="M21" s="8"/>
    </row>
    <row r="22" spans="1:13" ht="15.75" customHeight="1">
      <c r="A22" s="30">
        <v>7</v>
      </c>
      <c r="B22" s="81" t="s">
        <v>101</v>
      </c>
      <c r="C22" s="82" t="s">
        <v>52</v>
      </c>
      <c r="D22" s="81" t="s">
        <v>98</v>
      </c>
      <c r="E22" s="83">
        <v>259.2</v>
      </c>
      <c r="F22" s="84">
        <f>SUM(E22/100)</f>
        <v>2.5920000000000001</v>
      </c>
      <c r="G22" s="84">
        <v>287.83999999999997</v>
      </c>
      <c r="H22" s="85">
        <f t="shared" si="0"/>
        <v>0.74608127999999996</v>
      </c>
      <c r="I22" s="13">
        <f>F22*G22</f>
        <v>746.08127999999999</v>
      </c>
      <c r="J22" s="23"/>
      <c r="K22" s="8"/>
      <c r="L22" s="8"/>
      <c r="M22" s="8"/>
    </row>
    <row r="23" spans="1:13" ht="15.75" customHeight="1">
      <c r="A23" s="30">
        <v>8</v>
      </c>
      <c r="B23" s="81" t="s">
        <v>102</v>
      </c>
      <c r="C23" s="82" t="s">
        <v>52</v>
      </c>
      <c r="D23" s="81" t="s">
        <v>98</v>
      </c>
      <c r="E23" s="86">
        <v>24.15</v>
      </c>
      <c r="F23" s="84">
        <f>SUM(E23/100)</f>
        <v>0.24149999999999999</v>
      </c>
      <c r="G23" s="84">
        <v>47.34</v>
      </c>
      <c r="H23" s="85">
        <f t="shared" si="0"/>
        <v>1.1432610000000001E-2</v>
      </c>
      <c r="I23" s="13">
        <f t="shared" ref="I23:I26" si="1">F23*G23</f>
        <v>11.43261</v>
      </c>
      <c r="J23" s="23"/>
      <c r="K23" s="8"/>
      <c r="L23" s="8"/>
      <c r="M23" s="8"/>
    </row>
    <row r="24" spans="1:13" ht="15.75" customHeight="1">
      <c r="A24" s="30">
        <v>9</v>
      </c>
      <c r="B24" s="81" t="s">
        <v>103</v>
      </c>
      <c r="C24" s="82" t="s">
        <v>52</v>
      </c>
      <c r="D24" s="81" t="s">
        <v>104</v>
      </c>
      <c r="E24" s="83">
        <v>10</v>
      </c>
      <c r="F24" s="84">
        <f>E24/100</f>
        <v>0.1</v>
      </c>
      <c r="G24" s="84">
        <v>416.62</v>
      </c>
      <c r="H24" s="85">
        <f t="shared" si="0"/>
        <v>4.1662000000000005E-2</v>
      </c>
      <c r="I24" s="13">
        <f t="shared" si="1"/>
        <v>41.662000000000006</v>
      </c>
      <c r="J24" s="23"/>
      <c r="K24" s="8"/>
      <c r="L24" s="8"/>
      <c r="M24" s="8"/>
    </row>
    <row r="25" spans="1:13" ht="31.5" customHeight="1">
      <c r="A25" s="30">
        <v>10</v>
      </c>
      <c r="B25" s="81" t="s">
        <v>105</v>
      </c>
      <c r="C25" s="82" t="s">
        <v>52</v>
      </c>
      <c r="D25" s="81" t="s">
        <v>53</v>
      </c>
      <c r="E25" s="83">
        <v>9.5</v>
      </c>
      <c r="F25" s="84">
        <f>E25/100</f>
        <v>9.5000000000000001E-2</v>
      </c>
      <c r="G25" s="84">
        <v>231.03</v>
      </c>
      <c r="H25" s="85">
        <f>G25*F25/1000</f>
        <v>2.1947849999999998E-2</v>
      </c>
      <c r="I25" s="13">
        <f t="shared" si="1"/>
        <v>21.947849999999999</v>
      </c>
      <c r="J25" s="23"/>
      <c r="K25" s="8"/>
      <c r="L25" s="8"/>
      <c r="M25" s="8"/>
    </row>
    <row r="26" spans="1:13" ht="15.75" customHeight="1">
      <c r="A26" s="30">
        <v>11</v>
      </c>
      <c r="B26" s="81" t="s">
        <v>106</v>
      </c>
      <c r="C26" s="82" t="s">
        <v>52</v>
      </c>
      <c r="D26" s="81" t="s">
        <v>98</v>
      </c>
      <c r="E26" s="83">
        <v>4.25</v>
      </c>
      <c r="F26" s="84">
        <f>SUM(E26/100)</f>
        <v>4.2500000000000003E-2</v>
      </c>
      <c r="G26" s="84">
        <v>556.74</v>
      </c>
      <c r="H26" s="85">
        <f t="shared" si="0"/>
        <v>2.3661450000000001E-2</v>
      </c>
      <c r="I26" s="13">
        <f t="shared" si="1"/>
        <v>23.661450000000002</v>
      </c>
      <c r="J26" s="23"/>
      <c r="K26" s="8"/>
      <c r="L26" s="8"/>
      <c r="M26" s="8"/>
    </row>
    <row r="27" spans="1:13" ht="15.75" customHeight="1">
      <c r="A27" s="30">
        <v>12</v>
      </c>
      <c r="B27" s="81" t="s">
        <v>64</v>
      </c>
      <c r="C27" s="82" t="s">
        <v>32</v>
      </c>
      <c r="D27" s="81" t="s">
        <v>167</v>
      </c>
      <c r="E27" s="83">
        <v>0.1</v>
      </c>
      <c r="F27" s="84">
        <f>SUM(E27*365)</f>
        <v>36.5</v>
      </c>
      <c r="G27" s="84">
        <v>157.18</v>
      </c>
      <c r="H27" s="85">
        <f>SUM(F27*G27/1000)</f>
        <v>5.737070000000001</v>
      </c>
      <c r="I27" s="13">
        <f>F27/12*G27</f>
        <v>478.08916666666664</v>
      </c>
      <c r="J27" s="24"/>
    </row>
    <row r="28" spans="1:13" ht="15.75" customHeight="1">
      <c r="A28" s="30">
        <v>13</v>
      </c>
      <c r="B28" s="89" t="s">
        <v>23</v>
      </c>
      <c r="C28" s="82" t="s">
        <v>24</v>
      </c>
      <c r="D28" s="81" t="s">
        <v>167</v>
      </c>
      <c r="E28" s="83">
        <v>2135.1999999999998</v>
      </c>
      <c r="F28" s="84">
        <f>SUM(E28*12)</f>
        <v>25622.399999999998</v>
      </c>
      <c r="G28" s="84">
        <v>6.15</v>
      </c>
      <c r="H28" s="85">
        <f>SUM(F28*G28/1000)</f>
        <v>157.57776000000001</v>
      </c>
      <c r="I28" s="13">
        <f>F28/12*G28</f>
        <v>13131.48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customHeight="1">
      <c r="A31" s="30">
        <v>14</v>
      </c>
      <c r="B31" s="81" t="s">
        <v>111</v>
      </c>
      <c r="C31" s="82" t="s">
        <v>92</v>
      </c>
      <c r="D31" s="81" t="s">
        <v>180</v>
      </c>
      <c r="E31" s="84">
        <v>331.9</v>
      </c>
      <c r="F31" s="84">
        <f>SUM(E31*52/1000)</f>
        <v>17.258800000000001</v>
      </c>
      <c r="G31" s="84">
        <v>166.65</v>
      </c>
      <c r="H31" s="85">
        <f t="shared" ref="H31:H37" si="2">SUM(F31*G31/1000)</f>
        <v>2.8761790199999999</v>
      </c>
      <c r="I31" s="13">
        <f t="shared" ref="I31:I35" si="3">F31/6*G31</f>
        <v>479.36317000000008</v>
      </c>
      <c r="J31" s="23"/>
      <c r="K31" s="8"/>
      <c r="L31" s="8"/>
      <c r="M31" s="8"/>
    </row>
    <row r="32" spans="1:13" ht="31.5" customHeight="1">
      <c r="A32" s="30">
        <v>15</v>
      </c>
      <c r="B32" s="81" t="s">
        <v>110</v>
      </c>
      <c r="C32" s="82" t="s">
        <v>92</v>
      </c>
      <c r="D32" s="81" t="s">
        <v>181</v>
      </c>
      <c r="E32" s="84">
        <v>115.82</v>
      </c>
      <c r="F32" s="84">
        <f>SUM(E32*78/1000)</f>
        <v>9.0339599999999987</v>
      </c>
      <c r="G32" s="84">
        <v>276.48</v>
      </c>
      <c r="H32" s="85">
        <f t="shared" si="2"/>
        <v>2.4977092607999998</v>
      </c>
      <c r="I32" s="13">
        <f t="shared" si="3"/>
        <v>416.28487679999995</v>
      </c>
      <c r="J32" s="23"/>
      <c r="K32" s="8"/>
      <c r="L32" s="8"/>
      <c r="M32" s="8"/>
    </row>
    <row r="33" spans="1:14" ht="15.75" customHeight="1">
      <c r="A33" s="30">
        <v>16</v>
      </c>
      <c r="B33" s="81" t="s">
        <v>26</v>
      </c>
      <c r="C33" s="82" t="s">
        <v>92</v>
      </c>
      <c r="D33" s="81" t="s">
        <v>53</v>
      </c>
      <c r="E33" s="84">
        <v>331.9</v>
      </c>
      <c r="F33" s="84">
        <f>SUM(E33/1000)</f>
        <v>0.33189999999999997</v>
      </c>
      <c r="G33" s="84">
        <v>3228.73</v>
      </c>
      <c r="H33" s="85">
        <f t="shared" si="2"/>
        <v>1.0716154870000001</v>
      </c>
      <c r="I33" s="13">
        <f>F33*G33</f>
        <v>1071.615487</v>
      </c>
      <c r="J33" s="23"/>
      <c r="K33" s="8"/>
      <c r="L33" s="8"/>
      <c r="M33" s="8"/>
    </row>
    <row r="34" spans="1:14" ht="15.75" customHeight="1">
      <c r="A34" s="30">
        <v>17</v>
      </c>
      <c r="B34" s="81" t="s">
        <v>143</v>
      </c>
      <c r="C34" s="82" t="s">
        <v>40</v>
      </c>
      <c r="D34" s="81" t="s">
        <v>63</v>
      </c>
      <c r="E34" s="84">
        <v>2</v>
      </c>
      <c r="F34" s="84">
        <v>3.1</v>
      </c>
      <c r="G34" s="84">
        <v>1391.86</v>
      </c>
      <c r="H34" s="85">
        <f>F34*G34/1000</f>
        <v>4.3147659999999997</v>
      </c>
      <c r="I34" s="13">
        <f t="shared" si="3"/>
        <v>719.12766666666664</v>
      </c>
      <c r="J34" s="23"/>
      <c r="K34" s="8"/>
    </row>
    <row r="35" spans="1:14" ht="15.75" customHeight="1">
      <c r="A35" s="30">
        <v>18</v>
      </c>
      <c r="B35" s="81" t="s">
        <v>109</v>
      </c>
      <c r="C35" s="82" t="s">
        <v>30</v>
      </c>
      <c r="D35" s="81" t="s">
        <v>63</v>
      </c>
      <c r="E35" s="88">
        <v>0.33333333333333331</v>
      </c>
      <c r="F35" s="84">
        <f>155/3</f>
        <v>51.666666666666664</v>
      </c>
      <c r="G35" s="84">
        <v>60.6</v>
      </c>
      <c r="H35" s="85">
        <f>SUM(G35*155/3/1000)</f>
        <v>3.1309999999999998</v>
      </c>
      <c r="I35" s="13">
        <f t="shared" si="3"/>
        <v>521.83333333333337</v>
      </c>
      <c r="J35" s="24"/>
    </row>
    <row r="36" spans="1:14" ht="15.75" hidden="1" customHeight="1">
      <c r="A36" s="30"/>
      <c r="B36" s="81" t="s">
        <v>65</v>
      </c>
      <c r="C36" s="82" t="s">
        <v>32</v>
      </c>
      <c r="D36" s="81" t="s">
        <v>67</v>
      </c>
      <c r="E36" s="83"/>
      <c r="F36" s="84">
        <v>3</v>
      </c>
      <c r="G36" s="84">
        <v>204.52</v>
      </c>
      <c r="H36" s="85">
        <f t="shared" si="2"/>
        <v>0.61356000000000011</v>
      </c>
      <c r="I36" s="13">
        <v>0</v>
      </c>
      <c r="J36" s="24"/>
    </row>
    <row r="37" spans="1:14" ht="15.75" hidden="1" customHeight="1">
      <c r="A37" s="30"/>
      <c r="B37" s="81" t="s">
        <v>66</v>
      </c>
      <c r="C37" s="82" t="s">
        <v>31</v>
      </c>
      <c r="D37" s="81" t="s">
        <v>67</v>
      </c>
      <c r="E37" s="83"/>
      <c r="F37" s="84">
        <v>2</v>
      </c>
      <c r="G37" s="84">
        <v>1214.74</v>
      </c>
      <c r="H37" s="85">
        <f t="shared" si="2"/>
        <v>2.4294799999999999</v>
      </c>
      <c r="I37" s="13">
        <v>0</v>
      </c>
      <c r="J37" s="24"/>
    </row>
    <row r="38" spans="1:14" ht="15.75" hidden="1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hidden="1" customHeight="1">
      <c r="A39" s="30">
        <v>8</v>
      </c>
      <c r="B39" s="81" t="s">
        <v>25</v>
      </c>
      <c r="C39" s="82" t="s">
        <v>31</v>
      </c>
      <c r="D39" s="81"/>
      <c r="E39" s="83"/>
      <c r="F39" s="84">
        <v>8</v>
      </c>
      <c r="G39" s="84">
        <v>1632.6</v>
      </c>
      <c r="H39" s="85">
        <f t="shared" ref="H39:H44" si="4">SUM(F39*G39/1000)</f>
        <v>13.060799999999999</v>
      </c>
      <c r="I39" s="13">
        <f t="shared" ref="I39:I44" si="5">F39/6*G39</f>
        <v>2176.7999999999997</v>
      </c>
      <c r="J39" s="24"/>
      <c r="L39" s="19"/>
      <c r="M39" s="20"/>
      <c r="N39" s="21"/>
    </row>
    <row r="40" spans="1:14" ht="15.75" hidden="1" customHeight="1">
      <c r="A40" s="30">
        <v>9</v>
      </c>
      <c r="B40" s="81" t="s">
        <v>126</v>
      </c>
      <c r="C40" s="82" t="s">
        <v>28</v>
      </c>
      <c r="D40" s="81" t="s">
        <v>90</v>
      </c>
      <c r="E40" s="83">
        <v>115.82</v>
      </c>
      <c r="F40" s="84">
        <f>E40*30/1000</f>
        <v>3.4745999999999997</v>
      </c>
      <c r="G40" s="84">
        <v>2247.8000000000002</v>
      </c>
      <c r="H40" s="85">
        <f>G40*F40/1000</f>
        <v>7.8102058799999998</v>
      </c>
      <c r="I40" s="13">
        <f t="shared" si="5"/>
        <v>1301.7009800000001</v>
      </c>
      <c r="J40" s="24"/>
      <c r="L40" s="19"/>
      <c r="M40" s="20"/>
      <c r="N40" s="21"/>
    </row>
    <row r="41" spans="1:14" ht="15.75" hidden="1" customHeight="1">
      <c r="A41" s="30">
        <v>10</v>
      </c>
      <c r="B41" s="81" t="s">
        <v>68</v>
      </c>
      <c r="C41" s="82" t="s">
        <v>28</v>
      </c>
      <c r="D41" s="81" t="s">
        <v>91</v>
      </c>
      <c r="E41" s="84">
        <v>115.82</v>
      </c>
      <c r="F41" s="84">
        <f>SUM(E41*155/1000)</f>
        <v>17.952099999999998</v>
      </c>
      <c r="G41" s="84">
        <v>374.95</v>
      </c>
      <c r="H41" s="85">
        <f t="shared" si="4"/>
        <v>6.7311398949999992</v>
      </c>
      <c r="I41" s="13">
        <f t="shared" si="5"/>
        <v>1121.8566491666666</v>
      </c>
      <c r="J41" s="24"/>
      <c r="L41" s="19"/>
      <c r="M41" s="20"/>
      <c r="N41" s="21"/>
    </row>
    <row r="42" spans="1:14" ht="47.25" hidden="1" customHeight="1">
      <c r="A42" s="30">
        <v>11</v>
      </c>
      <c r="B42" s="81" t="s">
        <v>84</v>
      </c>
      <c r="C42" s="82" t="s">
        <v>92</v>
      </c>
      <c r="D42" s="81" t="s">
        <v>127</v>
      </c>
      <c r="E42" s="84">
        <v>40</v>
      </c>
      <c r="F42" s="84">
        <f>SUM(E42*35/1000)</f>
        <v>1.4</v>
      </c>
      <c r="G42" s="84">
        <v>6203.7</v>
      </c>
      <c r="H42" s="85">
        <f t="shared" si="4"/>
        <v>8.685179999999999</v>
      </c>
      <c r="I42" s="13">
        <f t="shared" si="5"/>
        <v>1447.5299999999997</v>
      </c>
      <c r="J42" s="24"/>
      <c r="L42" s="19"/>
      <c r="M42" s="20"/>
      <c r="N42" s="21"/>
    </row>
    <row r="43" spans="1:14" ht="15.75" hidden="1" customHeight="1">
      <c r="A43" s="30">
        <v>12</v>
      </c>
      <c r="B43" s="81" t="s">
        <v>128</v>
      </c>
      <c r="C43" s="82" t="s">
        <v>92</v>
      </c>
      <c r="D43" s="81" t="s">
        <v>69</v>
      </c>
      <c r="E43" s="84">
        <v>115.82</v>
      </c>
      <c r="F43" s="84">
        <f>SUM(E43*45/1000)</f>
        <v>5.2119</v>
      </c>
      <c r="G43" s="84">
        <v>458.28</v>
      </c>
      <c r="H43" s="85">
        <f t="shared" si="4"/>
        <v>2.388509532</v>
      </c>
      <c r="I43" s="13">
        <f t="shared" si="5"/>
        <v>398.08492200000001</v>
      </c>
      <c r="J43" s="24"/>
      <c r="L43" s="19"/>
      <c r="M43" s="20"/>
      <c r="N43" s="21"/>
    </row>
    <row r="44" spans="1:14" ht="15.75" hidden="1" customHeight="1">
      <c r="A44" s="30">
        <v>13</v>
      </c>
      <c r="B44" s="81" t="s">
        <v>70</v>
      </c>
      <c r="C44" s="82" t="s">
        <v>32</v>
      </c>
      <c r="D44" s="81"/>
      <c r="E44" s="83"/>
      <c r="F44" s="84">
        <v>0.5</v>
      </c>
      <c r="G44" s="84">
        <v>853.06</v>
      </c>
      <c r="H44" s="85">
        <f t="shared" si="4"/>
        <v>0.42652999999999996</v>
      </c>
      <c r="I44" s="13">
        <f t="shared" si="5"/>
        <v>71.088333333333324</v>
      </c>
      <c r="J44" s="24"/>
      <c r="L44" s="19"/>
      <c r="M44" s="20"/>
      <c r="N44" s="21"/>
    </row>
    <row r="45" spans="1:14" ht="15.75" customHeight="1">
      <c r="A45" s="154" t="s">
        <v>138</v>
      </c>
      <c r="B45" s="155"/>
      <c r="C45" s="155"/>
      <c r="D45" s="155"/>
      <c r="E45" s="155"/>
      <c r="F45" s="155"/>
      <c r="G45" s="155"/>
      <c r="H45" s="155"/>
      <c r="I45" s="156"/>
      <c r="J45" s="24"/>
      <c r="L45" s="19"/>
      <c r="M45" s="20"/>
      <c r="N45" s="21"/>
    </row>
    <row r="46" spans="1:14" ht="15.75" customHeight="1">
      <c r="A46" s="30">
        <v>19</v>
      </c>
      <c r="B46" s="81" t="s">
        <v>112</v>
      </c>
      <c r="C46" s="82" t="s">
        <v>92</v>
      </c>
      <c r="D46" s="81" t="s">
        <v>42</v>
      </c>
      <c r="E46" s="83">
        <v>838.88</v>
      </c>
      <c r="F46" s="84">
        <f>SUM(E46*2/1000)</f>
        <v>1.6777599999999999</v>
      </c>
      <c r="G46" s="13">
        <v>865.61</v>
      </c>
      <c r="H46" s="85">
        <f t="shared" ref="H46:H55" si="6">SUM(F46*G46/1000)</f>
        <v>1.4522858336</v>
      </c>
      <c r="I46" s="13">
        <f t="shared" ref="I46:I49" si="7">F46/2*G46</f>
        <v>726.14291679999997</v>
      </c>
      <c r="J46" s="24"/>
      <c r="L46" s="19"/>
      <c r="M46" s="20"/>
      <c r="N46" s="21"/>
    </row>
    <row r="47" spans="1:14" ht="15.75" customHeight="1">
      <c r="A47" s="30">
        <v>20</v>
      </c>
      <c r="B47" s="81" t="s">
        <v>35</v>
      </c>
      <c r="C47" s="82" t="s">
        <v>92</v>
      </c>
      <c r="D47" s="81" t="s">
        <v>42</v>
      </c>
      <c r="E47" s="83">
        <v>26</v>
      </c>
      <c r="F47" s="84">
        <f>E47*2/1000</f>
        <v>5.1999999999999998E-2</v>
      </c>
      <c r="G47" s="13">
        <v>619.46</v>
      </c>
      <c r="H47" s="85">
        <f t="shared" si="6"/>
        <v>3.2211919999999998E-2</v>
      </c>
      <c r="I47" s="13">
        <f t="shared" si="7"/>
        <v>16.10596</v>
      </c>
      <c r="J47" s="24"/>
      <c r="L47" s="19"/>
      <c r="M47" s="20"/>
      <c r="N47" s="21"/>
    </row>
    <row r="48" spans="1:14" ht="15.75" customHeight="1">
      <c r="A48" s="30">
        <v>21</v>
      </c>
      <c r="B48" s="81" t="s">
        <v>36</v>
      </c>
      <c r="C48" s="82" t="s">
        <v>92</v>
      </c>
      <c r="D48" s="81" t="s">
        <v>42</v>
      </c>
      <c r="E48" s="83">
        <v>879</v>
      </c>
      <c r="F48" s="84">
        <f>SUM(E48*2/1000)</f>
        <v>1.758</v>
      </c>
      <c r="G48" s="13">
        <v>619.46</v>
      </c>
      <c r="H48" s="85">
        <f t="shared" si="6"/>
        <v>1.0890106800000001</v>
      </c>
      <c r="I48" s="13">
        <f t="shared" si="7"/>
        <v>544.50534000000005</v>
      </c>
      <c r="J48" s="24"/>
      <c r="L48" s="19"/>
      <c r="M48" s="20"/>
      <c r="N48" s="21"/>
    </row>
    <row r="49" spans="1:22" ht="15.75" customHeight="1">
      <c r="A49" s="30">
        <v>22</v>
      </c>
      <c r="B49" s="81" t="s">
        <v>37</v>
      </c>
      <c r="C49" s="82" t="s">
        <v>92</v>
      </c>
      <c r="D49" s="81" t="s">
        <v>42</v>
      </c>
      <c r="E49" s="83">
        <v>1490.75</v>
      </c>
      <c r="F49" s="84">
        <f>SUM(E49*2/1000)</f>
        <v>2.9815</v>
      </c>
      <c r="G49" s="13">
        <v>648.64</v>
      </c>
      <c r="H49" s="85">
        <f t="shared" si="6"/>
        <v>1.93392016</v>
      </c>
      <c r="I49" s="13">
        <f t="shared" si="7"/>
        <v>966.96007999999995</v>
      </c>
      <c r="J49" s="24"/>
      <c r="L49" s="19"/>
      <c r="M49" s="20"/>
      <c r="N49" s="21"/>
    </row>
    <row r="50" spans="1:22" ht="15.75" customHeight="1">
      <c r="A50" s="30">
        <v>23</v>
      </c>
      <c r="B50" s="81" t="s">
        <v>33</v>
      </c>
      <c r="C50" s="82" t="s">
        <v>34</v>
      </c>
      <c r="D50" s="81" t="s">
        <v>42</v>
      </c>
      <c r="E50" s="83">
        <v>61.04</v>
      </c>
      <c r="F50" s="84">
        <f>SUM(E50*2/100)</f>
        <v>1.2207999999999999</v>
      </c>
      <c r="G50" s="13">
        <v>77.84</v>
      </c>
      <c r="H50" s="85">
        <f t="shared" si="6"/>
        <v>9.502707199999999E-2</v>
      </c>
      <c r="I50" s="13">
        <f>F50/2*G50</f>
        <v>47.513535999999995</v>
      </c>
      <c r="J50" s="24"/>
      <c r="L50" s="19"/>
      <c r="M50" s="20"/>
      <c r="N50" s="21"/>
    </row>
    <row r="51" spans="1:22" ht="15.75" customHeight="1">
      <c r="A51" s="30">
        <v>24</v>
      </c>
      <c r="B51" s="81" t="s">
        <v>56</v>
      </c>
      <c r="C51" s="82" t="s">
        <v>92</v>
      </c>
      <c r="D51" s="81" t="s">
        <v>150</v>
      </c>
      <c r="E51" s="83">
        <v>1342.2</v>
      </c>
      <c r="F51" s="84">
        <f>SUM(E51*5/1000)</f>
        <v>6.7110000000000003</v>
      </c>
      <c r="G51" s="13">
        <v>1297.28</v>
      </c>
      <c r="H51" s="85">
        <f t="shared" si="6"/>
        <v>8.7060460800000001</v>
      </c>
      <c r="I51" s="13">
        <f>F51/5*G51</f>
        <v>1741.209216</v>
      </c>
      <c r="J51" s="24"/>
      <c r="L51" s="19"/>
      <c r="M51" s="20"/>
      <c r="N51" s="21"/>
    </row>
    <row r="52" spans="1:22" ht="31.5" customHeight="1">
      <c r="A52" s="30">
        <v>25</v>
      </c>
      <c r="B52" s="81" t="s">
        <v>93</v>
      </c>
      <c r="C52" s="82" t="s">
        <v>92</v>
      </c>
      <c r="D52" s="81" t="s">
        <v>42</v>
      </c>
      <c r="E52" s="83">
        <v>1342.2</v>
      </c>
      <c r="F52" s="84">
        <f>SUM(E52*2/1000)</f>
        <v>2.6844000000000001</v>
      </c>
      <c r="G52" s="13">
        <v>1297.28</v>
      </c>
      <c r="H52" s="85">
        <f t="shared" si="6"/>
        <v>3.4824184319999998</v>
      </c>
      <c r="I52" s="13">
        <f>F52/2*G52</f>
        <v>1741.209216</v>
      </c>
      <c r="J52" s="24"/>
      <c r="L52" s="19"/>
      <c r="M52" s="20"/>
      <c r="N52" s="21"/>
    </row>
    <row r="53" spans="1:22" ht="31.5" customHeight="1">
      <c r="A53" s="30">
        <v>26</v>
      </c>
      <c r="B53" s="81" t="s">
        <v>94</v>
      </c>
      <c r="C53" s="82" t="s">
        <v>38</v>
      </c>
      <c r="D53" s="81" t="s">
        <v>42</v>
      </c>
      <c r="E53" s="83">
        <v>10</v>
      </c>
      <c r="F53" s="84">
        <f>SUM(E53*2/100)</f>
        <v>0.2</v>
      </c>
      <c r="G53" s="13">
        <v>2918.89</v>
      </c>
      <c r="H53" s="85">
        <f t="shared" si="6"/>
        <v>0.58377800000000002</v>
      </c>
      <c r="I53" s="13">
        <f t="shared" ref="I53:I54" si="8">F53/2*G53</f>
        <v>291.88900000000001</v>
      </c>
      <c r="J53" s="24"/>
      <c r="L53" s="19"/>
      <c r="M53" s="20"/>
      <c r="N53" s="21"/>
    </row>
    <row r="54" spans="1:22" ht="15.75" hidden="1" customHeight="1">
      <c r="A54" s="30">
        <v>27</v>
      </c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3">
        <v>6042.12</v>
      </c>
      <c r="H54" s="85">
        <f t="shared" si="6"/>
        <v>0.1208424</v>
      </c>
      <c r="I54" s="13">
        <f t="shared" si="8"/>
        <v>60.421199999999999</v>
      </c>
      <c r="J54" s="24"/>
      <c r="L54" s="19"/>
      <c r="M54" s="20"/>
      <c r="N54" s="21"/>
    </row>
    <row r="55" spans="1:22" ht="15.75" customHeight="1">
      <c r="A55" s="30">
        <v>27</v>
      </c>
      <c r="B55" s="81" t="s">
        <v>41</v>
      </c>
      <c r="C55" s="82" t="s">
        <v>113</v>
      </c>
      <c r="D55" s="81" t="s">
        <v>71</v>
      </c>
      <c r="E55" s="83">
        <v>80</v>
      </c>
      <c r="F55" s="84">
        <f>SUM(E55)*3</f>
        <v>240</v>
      </c>
      <c r="G55" s="13">
        <v>70.209999999999994</v>
      </c>
      <c r="H55" s="85">
        <f t="shared" si="6"/>
        <v>16.850399999999997</v>
      </c>
      <c r="I55" s="13">
        <f>E55*G55</f>
        <v>5616.7999999999993</v>
      </c>
      <c r="J55" s="24"/>
      <c r="L55" s="19"/>
      <c r="M55" s="20"/>
      <c r="N55" s="21"/>
    </row>
    <row r="56" spans="1:22" ht="15.75" customHeight="1">
      <c r="A56" s="154" t="s">
        <v>137</v>
      </c>
      <c r="B56" s="155"/>
      <c r="C56" s="155"/>
      <c r="D56" s="155"/>
      <c r="E56" s="155"/>
      <c r="F56" s="155"/>
      <c r="G56" s="155"/>
      <c r="H56" s="155"/>
      <c r="I56" s="156"/>
      <c r="J56" s="24"/>
      <c r="L56" s="19"/>
      <c r="M56" s="20"/>
      <c r="N56" s="21"/>
    </row>
    <row r="57" spans="1:22" ht="15.75" hidden="1" customHeight="1">
      <c r="A57" s="30"/>
      <c r="B57" s="103" t="s">
        <v>43</v>
      </c>
      <c r="C57" s="82"/>
      <c r="D57" s="81"/>
      <c r="E57" s="83"/>
      <c r="F57" s="84"/>
      <c r="G57" s="84"/>
      <c r="H57" s="85"/>
      <c r="I57" s="13"/>
      <c r="J57" s="24"/>
      <c r="L57" s="19"/>
      <c r="M57" s="20"/>
      <c r="N57" s="21"/>
    </row>
    <row r="58" spans="1:22" ht="31.5" hidden="1" customHeight="1">
      <c r="A58" s="30">
        <v>16</v>
      </c>
      <c r="B58" s="81" t="s">
        <v>114</v>
      </c>
      <c r="C58" s="82" t="s">
        <v>89</v>
      </c>
      <c r="D58" s="81" t="s">
        <v>115</v>
      </c>
      <c r="E58" s="83">
        <v>90.76</v>
      </c>
      <c r="F58" s="84">
        <f>SUM(E58*6/100)</f>
        <v>5.4456000000000007</v>
      </c>
      <c r="G58" s="13">
        <v>1654.04</v>
      </c>
      <c r="H58" s="85">
        <f>SUM(F58*G58/1000)</f>
        <v>9.0072402240000002</v>
      </c>
      <c r="I58" s="13">
        <f>F58/6*G58</f>
        <v>1501.2067040000002</v>
      </c>
      <c r="J58" s="24"/>
      <c r="L58" s="19"/>
    </row>
    <row r="59" spans="1:22" ht="15.75" hidden="1" customHeight="1">
      <c r="A59" s="30"/>
      <c r="B59" s="103" t="s">
        <v>44</v>
      </c>
      <c r="C59" s="82"/>
      <c r="D59" s="81"/>
      <c r="E59" s="83"/>
      <c r="F59" s="84"/>
      <c r="G59" s="75"/>
      <c r="H59" s="85"/>
      <c r="I59" s="13"/>
    </row>
    <row r="60" spans="1:22" ht="15.75" hidden="1" customHeight="1">
      <c r="A60" s="30"/>
      <c r="B60" s="81" t="s">
        <v>132</v>
      </c>
      <c r="C60" s="82" t="s">
        <v>89</v>
      </c>
      <c r="D60" s="81" t="s">
        <v>144</v>
      </c>
      <c r="E60" s="83">
        <v>1342.2</v>
      </c>
      <c r="F60" s="85">
        <f>E60/100</f>
        <v>13.422000000000001</v>
      </c>
      <c r="G60" s="13">
        <v>848.37</v>
      </c>
      <c r="H60" s="90">
        <f>F60*G60/1000</f>
        <v>11.38682214</v>
      </c>
      <c r="I60" s="13">
        <v>0</v>
      </c>
    </row>
    <row r="61" spans="1:22" ht="15.75" customHeight="1">
      <c r="A61" s="30"/>
      <c r="B61" s="104" t="s">
        <v>45</v>
      </c>
      <c r="C61" s="91"/>
      <c r="D61" s="92"/>
      <c r="E61" s="93"/>
      <c r="F61" s="94"/>
      <c r="G61" s="94"/>
      <c r="H61" s="95" t="s">
        <v>122</v>
      </c>
      <c r="I61" s="13"/>
    </row>
    <row r="62" spans="1:22" ht="15.75" hidden="1" customHeight="1">
      <c r="A62" s="30"/>
      <c r="B62" s="14" t="s">
        <v>46</v>
      </c>
      <c r="C62" s="16" t="s">
        <v>113</v>
      </c>
      <c r="D62" s="14" t="s">
        <v>67</v>
      </c>
      <c r="E62" s="18">
        <v>10</v>
      </c>
      <c r="F62" s="84">
        <v>10</v>
      </c>
      <c r="G62" s="13">
        <v>237.74</v>
      </c>
      <c r="H62" s="80">
        <f t="shared" ref="H62:H75" si="9">SUM(F62*G62/1000)</f>
        <v>2.3774000000000002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0"/>
      <c r="B63" s="14" t="s">
        <v>47</v>
      </c>
      <c r="C63" s="16" t="s">
        <v>113</v>
      </c>
      <c r="D63" s="14" t="s">
        <v>67</v>
      </c>
      <c r="E63" s="18">
        <v>5</v>
      </c>
      <c r="F63" s="84">
        <v>5</v>
      </c>
      <c r="G63" s="13">
        <v>81.510000000000005</v>
      </c>
      <c r="H63" s="80">
        <f t="shared" si="9"/>
        <v>0.40755000000000002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0">
        <v>28</v>
      </c>
      <c r="B64" s="14" t="s">
        <v>48</v>
      </c>
      <c r="C64" s="16" t="s">
        <v>116</v>
      </c>
      <c r="D64" s="14" t="s">
        <v>53</v>
      </c>
      <c r="E64" s="83">
        <v>10348</v>
      </c>
      <c r="F64" s="13">
        <f>SUM(E64/100)</f>
        <v>103.48</v>
      </c>
      <c r="G64" s="13">
        <v>226.79</v>
      </c>
      <c r="H64" s="80">
        <f t="shared" si="9"/>
        <v>23.468229200000003</v>
      </c>
      <c r="I64" s="13">
        <f>F64*G64</f>
        <v>23468.229200000002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0">
        <v>29</v>
      </c>
      <c r="B65" s="14" t="s">
        <v>49</v>
      </c>
      <c r="C65" s="16" t="s">
        <v>117</v>
      </c>
      <c r="D65" s="14"/>
      <c r="E65" s="83">
        <v>10348</v>
      </c>
      <c r="F65" s="13">
        <f>SUM(E65/1000)</f>
        <v>10.348000000000001</v>
      </c>
      <c r="G65" s="13">
        <v>176.61</v>
      </c>
      <c r="H65" s="80">
        <f t="shared" si="9"/>
        <v>1.8275602800000004</v>
      </c>
      <c r="I65" s="13">
        <f t="shared" ref="I65:I68" si="10">F65*G65</f>
        <v>1827.5602800000004</v>
      </c>
      <c r="J65" s="5"/>
      <c r="K65" s="5"/>
      <c r="L65" s="5"/>
      <c r="M65" s="5"/>
      <c r="N65" s="5"/>
      <c r="O65" s="5"/>
      <c r="P65" s="5"/>
      <c r="Q65" s="5"/>
      <c r="R65" s="147"/>
      <c r="S65" s="147"/>
      <c r="T65" s="147"/>
      <c r="U65" s="147"/>
    </row>
    <row r="66" spans="1:21" ht="15.75" customHeight="1">
      <c r="A66" s="30">
        <v>30</v>
      </c>
      <c r="B66" s="14" t="s">
        <v>50</v>
      </c>
      <c r="C66" s="16" t="s">
        <v>77</v>
      </c>
      <c r="D66" s="14" t="s">
        <v>53</v>
      </c>
      <c r="E66" s="83">
        <v>1645</v>
      </c>
      <c r="F66" s="13">
        <f>SUM(E66/100)</f>
        <v>16.45</v>
      </c>
      <c r="G66" s="13">
        <v>2217.7800000000002</v>
      </c>
      <c r="H66" s="80">
        <f t="shared" si="9"/>
        <v>36.482481</v>
      </c>
      <c r="I66" s="13">
        <f t="shared" si="10"/>
        <v>36482.481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customHeight="1">
      <c r="A67" s="30">
        <v>31</v>
      </c>
      <c r="B67" s="96" t="s">
        <v>118</v>
      </c>
      <c r="C67" s="16" t="s">
        <v>32</v>
      </c>
      <c r="D67" s="14"/>
      <c r="E67" s="83">
        <v>8.6</v>
      </c>
      <c r="F67" s="13">
        <f>SUM(E67)</f>
        <v>8.6</v>
      </c>
      <c r="G67" s="13">
        <v>42.67</v>
      </c>
      <c r="H67" s="80">
        <f t="shared" si="9"/>
        <v>0.36696200000000001</v>
      </c>
      <c r="I67" s="13">
        <f t="shared" si="10"/>
        <v>366.96199999999999</v>
      </c>
    </row>
    <row r="68" spans="1:21" ht="15.75" customHeight="1">
      <c r="A68" s="30">
        <v>32</v>
      </c>
      <c r="B68" s="96" t="s">
        <v>119</v>
      </c>
      <c r="C68" s="16" t="s">
        <v>32</v>
      </c>
      <c r="D68" s="14"/>
      <c r="E68" s="83">
        <v>8.6</v>
      </c>
      <c r="F68" s="13">
        <f>SUM(E68)</f>
        <v>8.6</v>
      </c>
      <c r="G68" s="13">
        <v>39.81</v>
      </c>
      <c r="H68" s="80">
        <f t="shared" si="9"/>
        <v>0.342366</v>
      </c>
      <c r="I68" s="13">
        <f t="shared" si="10"/>
        <v>342.36599999999999</v>
      </c>
    </row>
    <row r="69" spans="1:21" ht="15.75" hidden="1" customHeight="1">
      <c r="A69" s="30"/>
      <c r="B69" s="14" t="s">
        <v>57</v>
      </c>
      <c r="C69" s="16" t="s">
        <v>58</v>
      </c>
      <c r="D69" s="14" t="s">
        <v>53</v>
      </c>
      <c r="E69" s="18">
        <v>5</v>
      </c>
      <c r="F69" s="84">
        <v>5</v>
      </c>
      <c r="G69" s="13">
        <v>53.32</v>
      </c>
      <c r="H69" s="80">
        <f t="shared" si="9"/>
        <v>0.2666</v>
      </c>
      <c r="I69" s="13">
        <v>0</v>
      </c>
    </row>
    <row r="70" spans="1:21" ht="15.75" hidden="1" customHeight="1">
      <c r="A70" s="30"/>
      <c r="B70" s="66" t="s">
        <v>72</v>
      </c>
      <c r="C70" s="16"/>
      <c r="D70" s="14"/>
      <c r="E70" s="18"/>
      <c r="F70" s="13"/>
      <c r="G70" s="13"/>
      <c r="H70" s="80" t="s">
        <v>122</v>
      </c>
      <c r="I70" s="13"/>
    </row>
    <row r="71" spans="1:21" ht="15.75" hidden="1" customHeight="1">
      <c r="A71" s="30"/>
      <c r="B71" s="14" t="s">
        <v>73</v>
      </c>
      <c r="C71" s="16" t="s">
        <v>75</v>
      </c>
      <c r="D71" s="14"/>
      <c r="E71" s="18">
        <v>2</v>
      </c>
      <c r="F71" s="13">
        <v>0.2</v>
      </c>
      <c r="G71" s="13">
        <v>536.23</v>
      </c>
      <c r="H71" s="80">
        <f t="shared" si="9"/>
        <v>0.10724600000000001</v>
      </c>
      <c r="I71" s="13">
        <v>0</v>
      </c>
    </row>
    <row r="72" spans="1:21" ht="15.75" hidden="1" customHeight="1">
      <c r="A72" s="30"/>
      <c r="B72" s="14" t="s">
        <v>74</v>
      </c>
      <c r="C72" s="16" t="s">
        <v>30</v>
      </c>
      <c r="D72" s="14"/>
      <c r="E72" s="18">
        <v>2</v>
      </c>
      <c r="F72" s="75">
        <v>2</v>
      </c>
      <c r="G72" s="13">
        <v>911.85</v>
      </c>
      <c r="H72" s="80">
        <f>F72*G72/1000</f>
        <v>1.8237000000000001</v>
      </c>
      <c r="I72" s="13">
        <v>0</v>
      </c>
    </row>
    <row r="73" spans="1:21" ht="15.75" hidden="1" customHeight="1">
      <c r="A73" s="30"/>
      <c r="B73" s="14" t="s">
        <v>129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80">
        <f>G73*F73/1000</f>
        <v>0.38324999999999998</v>
      </c>
      <c r="I73" s="13">
        <v>0</v>
      </c>
    </row>
    <row r="74" spans="1:21" ht="15.75" hidden="1" customHeight="1">
      <c r="A74" s="30"/>
      <c r="B74" s="98" t="s">
        <v>76</v>
      </c>
      <c r="C74" s="16"/>
      <c r="D74" s="14"/>
      <c r="E74" s="18"/>
      <c r="F74" s="13"/>
      <c r="G74" s="13" t="s">
        <v>122</v>
      </c>
      <c r="H74" s="80" t="s">
        <v>122</v>
      </c>
      <c r="I74" s="13"/>
    </row>
    <row r="75" spans="1:21" ht="15.75" hidden="1" customHeight="1">
      <c r="A75" s="30"/>
      <c r="B75" s="52" t="s">
        <v>123</v>
      </c>
      <c r="C75" s="16" t="s">
        <v>77</v>
      </c>
      <c r="D75" s="14"/>
      <c r="E75" s="18"/>
      <c r="F75" s="13">
        <v>0.6</v>
      </c>
      <c r="G75" s="13">
        <v>2949.85</v>
      </c>
      <c r="H75" s="80">
        <f t="shared" si="9"/>
        <v>1.7699099999999999</v>
      </c>
      <c r="I75" s="13">
        <v>0</v>
      </c>
    </row>
    <row r="76" spans="1:21" ht="15.75" hidden="1" customHeight="1">
      <c r="A76" s="30"/>
      <c r="B76" s="105" t="s">
        <v>95</v>
      </c>
      <c r="C76" s="98"/>
      <c r="D76" s="32"/>
      <c r="E76" s="33"/>
      <c r="F76" s="87"/>
      <c r="G76" s="87"/>
      <c r="H76" s="99">
        <f>SUM(H58:H75)</f>
        <v>90.017316844000007</v>
      </c>
      <c r="I76" s="87"/>
    </row>
    <row r="77" spans="1:21" ht="15.75" hidden="1" customHeight="1">
      <c r="A77" s="30">
        <v>17</v>
      </c>
      <c r="B77" s="81" t="s">
        <v>120</v>
      </c>
      <c r="C77" s="16"/>
      <c r="D77" s="14"/>
      <c r="E77" s="100"/>
      <c r="F77" s="13">
        <v>1</v>
      </c>
      <c r="G77" s="13">
        <v>6480.5</v>
      </c>
      <c r="H77" s="80">
        <f>G77*F77/1000</f>
        <v>6.4805000000000001</v>
      </c>
      <c r="I77" s="13">
        <f>G77</f>
        <v>6480.5</v>
      </c>
    </row>
    <row r="78" spans="1:21" ht="15.75" customHeight="1">
      <c r="A78" s="154" t="s">
        <v>136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30">
        <v>33</v>
      </c>
      <c r="B79" s="81" t="s">
        <v>121</v>
      </c>
      <c r="C79" s="16" t="s">
        <v>54</v>
      </c>
      <c r="D79" s="59" t="s">
        <v>55</v>
      </c>
      <c r="E79" s="13">
        <v>2135.1999999999998</v>
      </c>
      <c r="F79" s="13">
        <f>SUM(E79*12)</f>
        <v>25622.399999999998</v>
      </c>
      <c r="G79" s="13">
        <v>2.2400000000000002</v>
      </c>
      <c r="H79" s="80">
        <f>SUM(F79*G79/1000)</f>
        <v>57.394176000000002</v>
      </c>
      <c r="I79" s="13">
        <f>F79/12*G79</f>
        <v>4782.848</v>
      </c>
    </row>
    <row r="80" spans="1:21" ht="31.5" customHeight="1">
      <c r="A80" s="30">
        <v>34</v>
      </c>
      <c r="B80" s="14" t="s">
        <v>78</v>
      </c>
      <c r="C80" s="16"/>
      <c r="D80" s="59" t="s">
        <v>55</v>
      </c>
      <c r="E80" s="83">
        <f>E79</f>
        <v>2135.1999999999998</v>
      </c>
      <c r="F80" s="13">
        <f>E80*12</f>
        <v>25622.399999999998</v>
      </c>
      <c r="G80" s="13">
        <v>1.74</v>
      </c>
      <c r="H80" s="80">
        <f>F80*G80/1000</f>
        <v>44.582975999999995</v>
      </c>
      <c r="I80" s="13">
        <f>F80/12*G80</f>
        <v>3715.2479999999996</v>
      </c>
    </row>
    <row r="81" spans="1:9" ht="15.75" customHeight="1">
      <c r="A81" s="30"/>
      <c r="B81" s="45" t="s">
        <v>81</v>
      </c>
      <c r="C81" s="98"/>
      <c r="D81" s="97"/>
      <c r="E81" s="87"/>
      <c r="F81" s="87"/>
      <c r="G81" s="87"/>
      <c r="H81" s="99">
        <f>H80</f>
        <v>44.582975999999995</v>
      </c>
      <c r="I81" s="87">
        <f>I16+I17+I18+I19+I20+I21+I22+I23+I24+I25+I26+I27+I28+I31+I32+I33+I34+I35+I46+I47+I48+I49+I50+I51+I52+I53+I55+I64+I65+I66+I67+I68+I79+I80</f>
        <v>105958.31227593333</v>
      </c>
    </row>
    <row r="82" spans="1:9" ht="15.75" customHeight="1">
      <c r="A82" s="158" t="s">
        <v>60</v>
      </c>
      <c r="B82" s="159"/>
      <c r="C82" s="159"/>
      <c r="D82" s="159"/>
      <c r="E82" s="159"/>
      <c r="F82" s="159"/>
      <c r="G82" s="159"/>
      <c r="H82" s="159"/>
      <c r="I82" s="160"/>
    </row>
    <row r="83" spans="1:9" ht="15.75" customHeight="1">
      <c r="A83" s="30">
        <v>35</v>
      </c>
      <c r="B83" s="56" t="s">
        <v>124</v>
      </c>
      <c r="C83" s="57" t="s">
        <v>113</v>
      </c>
      <c r="D83" s="52"/>
      <c r="E83" s="13"/>
      <c r="F83" s="13">
        <v>492</v>
      </c>
      <c r="G83" s="13">
        <v>53.42</v>
      </c>
      <c r="H83" s="80">
        <f t="shared" ref="H83:H84" si="11">G83*F83/1000</f>
        <v>26.282640000000001</v>
      </c>
      <c r="I83" s="13">
        <f>G83*41</f>
        <v>2190.2200000000003</v>
      </c>
    </row>
    <row r="84" spans="1:9" ht="15.75" customHeight="1">
      <c r="A84" s="30">
        <v>36</v>
      </c>
      <c r="B84" s="56" t="s">
        <v>130</v>
      </c>
      <c r="C84" s="57" t="s">
        <v>131</v>
      </c>
      <c r="D84" s="60"/>
      <c r="E84" s="39"/>
      <c r="F84" s="39">
        <v>2</v>
      </c>
      <c r="G84" s="39">
        <v>54.17</v>
      </c>
      <c r="H84" s="39">
        <f t="shared" si="11"/>
        <v>0.10834000000000001</v>
      </c>
      <c r="I84" s="13">
        <f>G84</f>
        <v>54.17</v>
      </c>
    </row>
    <row r="85" spans="1:9" ht="15.75" customHeight="1">
      <c r="A85" s="30"/>
      <c r="B85" s="50" t="s">
        <v>51</v>
      </c>
      <c r="C85" s="57"/>
      <c r="D85" s="52"/>
      <c r="E85" s="13"/>
      <c r="F85" s="13"/>
      <c r="G85" s="13"/>
      <c r="H85" s="80"/>
      <c r="I85" s="87">
        <f>SUM(I83:I84)</f>
        <v>2244.3900000000003</v>
      </c>
    </row>
    <row r="86" spans="1:9">
      <c r="A86" s="30"/>
      <c r="B86" s="52" t="s">
        <v>79</v>
      </c>
      <c r="C86" s="15"/>
      <c r="D86" s="15"/>
      <c r="E86" s="47"/>
      <c r="F86" s="47"/>
      <c r="G86" s="48"/>
      <c r="H86" s="48"/>
      <c r="I86" s="17">
        <v>0</v>
      </c>
    </row>
    <row r="87" spans="1:9">
      <c r="A87" s="54"/>
      <c r="B87" s="51" t="s">
        <v>169</v>
      </c>
      <c r="C87" s="38"/>
      <c r="D87" s="38"/>
      <c r="E87" s="38"/>
      <c r="F87" s="38"/>
      <c r="G87" s="38"/>
      <c r="H87" s="38"/>
      <c r="I87" s="49">
        <f>I81+I85</f>
        <v>108202.70227593333</v>
      </c>
    </row>
    <row r="88" spans="1:9" ht="15.75" customHeight="1">
      <c r="A88" s="165" t="s">
        <v>182</v>
      </c>
      <c r="B88" s="165"/>
      <c r="C88" s="165"/>
      <c r="D88" s="165"/>
      <c r="E88" s="165"/>
      <c r="F88" s="165"/>
      <c r="G88" s="165"/>
      <c r="H88" s="165"/>
      <c r="I88" s="165"/>
    </row>
    <row r="89" spans="1:9" ht="15.75" customHeight="1">
      <c r="A89" s="68"/>
      <c r="B89" s="166" t="s">
        <v>183</v>
      </c>
      <c r="C89" s="166"/>
      <c r="D89" s="166"/>
      <c r="E89" s="166"/>
      <c r="F89" s="166"/>
      <c r="G89" s="166"/>
      <c r="H89" s="78"/>
      <c r="I89" s="3"/>
    </row>
    <row r="90" spans="1:9">
      <c r="A90" s="64"/>
      <c r="B90" s="163" t="s">
        <v>6</v>
      </c>
      <c r="C90" s="163"/>
      <c r="D90" s="163"/>
      <c r="E90" s="163"/>
      <c r="F90" s="163"/>
      <c r="G90" s="163"/>
      <c r="H90" s="25"/>
      <c r="I90" s="5"/>
    </row>
    <row r="91" spans="1:9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67" t="s">
        <v>7</v>
      </c>
      <c r="B92" s="167"/>
      <c r="C92" s="167"/>
      <c r="D92" s="167"/>
      <c r="E92" s="167"/>
      <c r="F92" s="167"/>
      <c r="G92" s="167"/>
      <c r="H92" s="167"/>
      <c r="I92" s="167"/>
    </row>
    <row r="93" spans="1:9" ht="15.75" customHeight="1">
      <c r="A93" s="167" t="s">
        <v>8</v>
      </c>
      <c r="B93" s="167"/>
      <c r="C93" s="167"/>
      <c r="D93" s="167"/>
      <c r="E93" s="167"/>
      <c r="F93" s="167"/>
      <c r="G93" s="167"/>
      <c r="H93" s="167"/>
      <c r="I93" s="167"/>
    </row>
    <row r="94" spans="1:9" ht="15.75">
      <c r="A94" s="144" t="s">
        <v>61</v>
      </c>
      <c r="B94" s="144"/>
      <c r="C94" s="144"/>
      <c r="D94" s="144"/>
      <c r="E94" s="144"/>
      <c r="F94" s="144"/>
      <c r="G94" s="144"/>
      <c r="H94" s="144"/>
      <c r="I94" s="144"/>
    </row>
    <row r="95" spans="1:9" ht="59.25" customHeight="1">
      <c r="A95" s="11"/>
    </row>
    <row r="96" spans="1:9" ht="15.75" customHeight="1">
      <c r="A96" s="145" t="s">
        <v>9</v>
      </c>
      <c r="B96" s="145"/>
      <c r="C96" s="145"/>
      <c r="D96" s="145"/>
      <c r="E96" s="145"/>
      <c r="F96" s="145"/>
      <c r="G96" s="145"/>
      <c r="H96" s="145"/>
      <c r="I96" s="145"/>
    </row>
    <row r="97" spans="1:9" ht="15.75" customHeight="1">
      <c r="A97" s="4"/>
    </row>
    <row r="98" spans="1:9" ht="15.75" customHeight="1">
      <c r="B98" s="65" t="s">
        <v>10</v>
      </c>
      <c r="C98" s="162" t="s">
        <v>139</v>
      </c>
      <c r="D98" s="162"/>
      <c r="E98" s="162"/>
      <c r="F98" s="76"/>
      <c r="I98" s="63"/>
    </row>
    <row r="99" spans="1:9" ht="15.75" customHeight="1">
      <c r="A99" s="64"/>
      <c r="C99" s="163" t="s">
        <v>11</v>
      </c>
      <c r="D99" s="163"/>
      <c r="E99" s="163"/>
      <c r="F99" s="25"/>
      <c r="I99" s="62" t="s">
        <v>12</v>
      </c>
    </row>
    <row r="100" spans="1:9" ht="15.75" customHeight="1">
      <c r="A100" s="26"/>
      <c r="C100" s="12"/>
      <c r="D100" s="12"/>
      <c r="G100" s="12"/>
      <c r="H100" s="12"/>
    </row>
    <row r="101" spans="1:9" ht="15.75" customHeight="1">
      <c r="B101" s="65" t="s">
        <v>13</v>
      </c>
      <c r="C101" s="164"/>
      <c r="D101" s="164"/>
      <c r="E101" s="164"/>
      <c r="F101" s="77"/>
      <c r="I101" s="63"/>
    </row>
    <row r="102" spans="1:9">
      <c r="A102" s="64"/>
      <c r="C102" s="147" t="s">
        <v>11</v>
      </c>
      <c r="D102" s="147"/>
      <c r="E102" s="147"/>
      <c r="F102" s="64"/>
      <c r="I102" s="62" t="s">
        <v>12</v>
      </c>
    </row>
    <row r="103" spans="1:9" ht="15.75">
      <c r="A103" s="4" t="s">
        <v>14</v>
      </c>
    </row>
    <row r="104" spans="1:9">
      <c r="A104" s="161" t="s">
        <v>15</v>
      </c>
      <c r="B104" s="161"/>
      <c r="C104" s="161"/>
      <c r="D104" s="161"/>
      <c r="E104" s="161"/>
      <c r="F104" s="161"/>
      <c r="G104" s="161"/>
      <c r="H104" s="161"/>
      <c r="I104" s="161"/>
    </row>
    <row r="105" spans="1:9" ht="45" customHeight="1">
      <c r="A105" s="157" t="s">
        <v>16</v>
      </c>
      <c r="B105" s="157"/>
      <c r="C105" s="157"/>
      <c r="D105" s="157"/>
      <c r="E105" s="157"/>
      <c r="F105" s="157"/>
      <c r="G105" s="157"/>
      <c r="H105" s="157"/>
      <c r="I105" s="157"/>
    </row>
    <row r="106" spans="1:9" ht="30" customHeight="1">
      <c r="A106" s="157" t="s">
        <v>17</v>
      </c>
      <c r="B106" s="157"/>
      <c r="C106" s="157"/>
      <c r="D106" s="157"/>
      <c r="E106" s="157"/>
      <c r="F106" s="157"/>
      <c r="G106" s="157"/>
      <c r="H106" s="157"/>
      <c r="I106" s="157"/>
    </row>
    <row r="107" spans="1:9" ht="30" customHeight="1">
      <c r="A107" s="157" t="s">
        <v>21</v>
      </c>
      <c r="B107" s="157"/>
      <c r="C107" s="157"/>
      <c r="D107" s="157"/>
      <c r="E107" s="157"/>
      <c r="F107" s="157"/>
      <c r="G107" s="157"/>
      <c r="H107" s="157"/>
      <c r="I107" s="157"/>
    </row>
    <row r="108" spans="1:9" ht="15" customHeight="1">
      <c r="A108" s="157" t="s">
        <v>20</v>
      </c>
      <c r="B108" s="157"/>
      <c r="C108" s="157"/>
      <c r="D108" s="157"/>
      <c r="E108" s="157"/>
      <c r="F108" s="157"/>
      <c r="G108" s="157"/>
      <c r="H108" s="157"/>
      <c r="I108" s="157"/>
    </row>
  </sheetData>
  <autoFilter ref="I12:I60"/>
  <mergeCells count="29"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  <mergeCell ref="A94:I94"/>
    <mergeCell ref="A15:I15"/>
    <mergeCell ref="A29:I29"/>
    <mergeCell ref="A45:I45"/>
    <mergeCell ref="A56:I56"/>
    <mergeCell ref="A82:I82"/>
    <mergeCell ref="A88:I88"/>
    <mergeCell ref="B89:G89"/>
    <mergeCell ref="B90:G90"/>
    <mergeCell ref="A92:I92"/>
    <mergeCell ref="A93:I93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157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184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42916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162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81" t="s">
        <v>88</v>
      </c>
      <c r="C16" s="82" t="s">
        <v>89</v>
      </c>
      <c r="D16" s="81" t="s">
        <v>164</v>
      </c>
      <c r="E16" s="83">
        <v>37.78</v>
      </c>
      <c r="F16" s="84">
        <f>SUM(E16*156/100)</f>
        <v>58.936800000000005</v>
      </c>
      <c r="G16" s="84">
        <v>187.48</v>
      </c>
      <c r="H16" s="85">
        <f t="shared" ref="H16:H26" si="0">SUM(F16*G16/1000)</f>
        <v>11.049471263999999</v>
      </c>
      <c r="I16" s="13">
        <f>F16/12*G16</f>
        <v>920.78927199999998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141</v>
      </c>
      <c r="C17" s="82" t="s">
        <v>89</v>
      </c>
      <c r="D17" s="81" t="s">
        <v>165</v>
      </c>
      <c r="E17" s="83">
        <v>151.12</v>
      </c>
      <c r="F17" s="84">
        <f>SUM(E17*104/100)</f>
        <v>157.16479999999999</v>
      </c>
      <c r="G17" s="84">
        <v>187.48</v>
      </c>
      <c r="H17" s="85">
        <f t="shared" si="0"/>
        <v>29.465256703999994</v>
      </c>
      <c r="I17" s="13">
        <f>F17/12*G17</f>
        <v>2455.4380586666662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142</v>
      </c>
      <c r="C18" s="82" t="s">
        <v>89</v>
      </c>
      <c r="D18" s="81" t="s">
        <v>166</v>
      </c>
      <c r="E18" s="83">
        <v>188.9</v>
      </c>
      <c r="F18" s="84">
        <f>SUM(E18*24/100)</f>
        <v>45.336000000000006</v>
      </c>
      <c r="G18" s="84">
        <v>539.30999999999995</v>
      </c>
      <c r="H18" s="85">
        <f t="shared" si="0"/>
        <v>24.450158159999997</v>
      </c>
      <c r="I18" s="13">
        <f>F18/12*G18</f>
        <v>2037.5131800000001</v>
      </c>
      <c r="J18" s="23"/>
      <c r="K18" s="8"/>
      <c r="L18" s="8"/>
      <c r="M18" s="8"/>
    </row>
    <row r="19" spans="1:13" ht="15.75" hidden="1" customHeight="1">
      <c r="A19" s="30"/>
      <c r="B19" s="81" t="s">
        <v>96</v>
      </c>
      <c r="C19" s="82" t="s">
        <v>97</v>
      </c>
      <c r="D19" s="81" t="s">
        <v>98</v>
      </c>
      <c r="E19" s="83">
        <v>18</v>
      </c>
      <c r="F19" s="84">
        <f>SUM(E19/10)</f>
        <v>1.8</v>
      </c>
      <c r="G19" s="84">
        <v>181.91</v>
      </c>
      <c r="H19" s="85">
        <f t="shared" si="0"/>
        <v>0.32743800000000001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99</v>
      </c>
      <c r="C20" s="82" t="s">
        <v>89</v>
      </c>
      <c r="D20" s="81" t="s">
        <v>29</v>
      </c>
      <c r="E20" s="83">
        <v>14.6</v>
      </c>
      <c r="F20" s="84">
        <f>SUM(E20*12/100)</f>
        <v>1.7519999999999998</v>
      </c>
      <c r="G20" s="84">
        <v>232.92</v>
      </c>
      <c r="H20" s="85">
        <f t="shared" si="0"/>
        <v>0.40807583999999991</v>
      </c>
      <c r="I20" s="13">
        <f>F20/12*G20</f>
        <v>34.006319999999995</v>
      </c>
      <c r="J20" s="23"/>
      <c r="K20" s="8"/>
      <c r="L20" s="8"/>
      <c r="M20" s="8"/>
    </row>
    <row r="21" spans="1:13" ht="15.75" hidden="1" customHeight="1">
      <c r="A21" s="30">
        <v>5</v>
      </c>
      <c r="B21" s="81" t="s">
        <v>100</v>
      </c>
      <c r="C21" s="82" t="s">
        <v>89</v>
      </c>
      <c r="D21" s="81" t="s">
        <v>125</v>
      </c>
      <c r="E21" s="83">
        <v>2.7</v>
      </c>
      <c r="F21" s="84">
        <f>SUM(E21*6/100)</f>
        <v>0.16200000000000003</v>
      </c>
      <c r="G21" s="84">
        <v>231.03</v>
      </c>
      <c r="H21" s="85">
        <f t="shared" si="0"/>
        <v>3.7426860000000006E-2</v>
      </c>
      <c r="I21" s="13">
        <f>F21/6*G21</f>
        <v>6.2378100000000014</v>
      </c>
      <c r="J21" s="23"/>
      <c r="K21" s="8"/>
      <c r="L21" s="8"/>
      <c r="M21" s="8"/>
    </row>
    <row r="22" spans="1:13" ht="15.75" hidden="1" customHeight="1">
      <c r="A22" s="30"/>
      <c r="B22" s="81" t="s">
        <v>101</v>
      </c>
      <c r="C22" s="82" t="s">
        <v>52</v>
      </c>
      <c r="D22" s="81" t="s">
        <v>98</v>
      </c>
      <c r="E22" s="83">
        <v>259.2</v>
      </c>
      <c r="F22" s="84">
        <f>SUM(E22/100)</f>
        <v>2.5920000000000001</v>
      </c>
      <c r="G22" s="84">
        <v>287.83999999999997</v>
      </c>
      <c r="H22" s="85">
        <f t="shared" si="0"/>
        <v>0.74608127999999996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102</v>
      </c>
      <c r="C23" s="82" t="s">
        <v>52</v>
      </c>
      <c r="D23" s="81" t="s">
        <v>98</v>
      </c>
      <c r="E23" s="86">
        <v>24.15</v>
      </c>
      <c r="F23" s="84">
        <f>SUM(E23/100)</f>
        <v>0.24149999999999999</v>
      </c>
      <c r="G23" s="84">
        <v>47.34</v>
      </c>
      <c r="H23" s="85">
        <f t="shared" si="0"/>
        <v>1.1432610000000001E-2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81" t="s">
        <v>103</v>
      </c>
      <c r="C24" s="82" t="s">
        <v>52</v>
      </c>
      <c r="D24" s="81" t="s">
        <v>104</v>
      </c>
      <c r="E24" s="83">
        <v>10</v>
      </c>
      <c r="F24" s="84">
        <f>E24/100</f>
        <v>0.1</v>
      </c>
      <c r="G24" s="84">
        <v>416.62</v>
      </c>
      <c r="H24" s="85">
        <f t="shared" si="0"/>
        <v>4.1662000000000005E-2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81" t="s">
        <v>105</v>
      </c>
      <c r="C25" s="82" t="s">
        <v>52</v>
      </c>
      <c r="D25" s="81" t="s">
        <v>53</v>
      </c>
      <c r="E25" s="83">
        <v>9.5</v>
      </c>
      <c r="F25" s="84">
        <f>E25/100</f>
        <v>9.5000000000000001E-2</v>
      </c>
      <c r="G25" s="84">
        <v>231.03</v>
      </c>
      <c r="H25" s="85">
        <f>G25*F25/1000</f>
        <v>2.1947849999999998E-2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106</v>
      </c>
      <c r="C26" s="82" t="s">
        <v>52</v>
      </c>
      <c r="D26" s="81" t="s">
        <v>98</v>
      </c>
      <c r="E26" s="83">
        <v>4.25</v>
      </c>
      <c r="F26" s="84">
        <f>SUM(E26/100)</f>
        <v>4.2500000000000003E-2</v>
      </c>
      <c r="G26" s="84">
        <v>556.74</v>
      </c>
      <c r="H26" s="85">
        <f t="shared" si="0"/>
        <v>2.3661450000000001E-2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81" t="s">
        <v>64</v>
      </c>
      <c r="C27" s="82" t="s">
        <v>32</v>
      </c>
      <c r="D27" s="81" t="s">
        <v>167</v>
      </c>
      <c r="E27" s="83">
        <v>0.1</v>
      </c>
      <c r="F27" s="84">
        <f>SUM(E27*365)</f>
        <v>36.5</v>
      </c>
      <c r="G27" s="84">
        <v>157.18</v>
      </c>
      <c r="H27" s="85">
        <f>SUM(F27*G27/1000)</f>
        <v>5.737070000000001</v>
      </c>
      <c r="I27" s="13">
        <f>F27/12*G27</f>
        <v>478.08916666666664</v>
      </c>
      <c r="J27" s="24"/>
    </row>
    <row r="28" spans="1:13" ht="15.75" customHeight="1">
      <c r="A28" s="30">
        <v>6</v>
      </c>
      <c r="B28" s="89" t="s">
        <v>23</v>
      </c>
      <c r="C28" s="82" t="s">
        <v>24</v>
      </c>
      <c r="D28" s="81" t="s">
        <v>167</v>
      </c>
      <c r="E28" s="83">
        <v>2135.1999999999998</v>
      </c>
      <c r="F28" s="84">
        <f>SUM(E28*12)</f>
        <v>25622.399999999998</v>
      </c>
      <c r="G28" s="84">
        <v>6.15</v>
      </c>
      <c r="H28" s="85">
        <f>SUM(F28*G28/1000)</f>
        <v>157.57776000000001</v>
      </c>
      <c r="I28" s="13">
        <f>F28/12*G28</f>
        <v>13131.48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customHeight="1">
      <c r="A31" s="30">
        <v>7</v>
      </c>
      <c r="B31" s="81" t="s">
        <v>111</v>
      </c>
      <c r="C31" s="82" t="s">
        <v>92</v>
      </c>
      <c r="D31" s="81" t="s">
        <v>180</v>
      </c>
      <c r="E31" s="84">
        <v>331.9</v>
      </c>
      <c r="F31" s="84">
        <f>SUM(E31*52/1000)</f>
        <v>17.258800000000001</v>
      </c>
      <c r="G31" s="84">
        <v>166.65</v>
      </c>
      <c r="H31" s="85">
        <f t="shared" ref="H31:H37" si="1">SUM(F31*G31/1000)</f>
        <v>2.8761790199999999</v>
      </c>
      <c r="I31" s="13">
        <f t="shared" ref="I31:I35" si="2">F31/6*G31</f>
        <v>479.36317000000008</v>
      </c>
      <c r="J31" s="23"/>
      <c r="K31" s="8"/>
      <c r="L31" s="8"/>
      <c r="M31" s="8"/>
    </row>
    <row r="32" spans="1:13" ht="31.5" customHeight="1">
      <c r="A32" s="30">
        <v>8</v>
      </c>
      <c r="B32" s="81" t="s">
        <v>110</v>
      </c>
      <c r="C32" s="82" t="s">
        <v>92</v>
      </c>
      <c r="D32" s="81" t="s">
        <v>181</v>
      </c>
      <c r="E32" s="84">
        <v>115.82</v>
      </c>
      <c r="F32" s="84">
        <f>SUM(E32*78/1000)</f>
        <v>9.0339599999999987</v>
      </c>
      <c r="G32" s="84">
        <v>276.48</v>
      </c>
      <c r="H32" s="85">
        <f t="shared" si="1"/>
        <v>2.4977092607999998</v>
      </c>
      <c r="I32" s="13">
        <f t="shared" si="2"/>
        <v>416.28487679999995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82" t="s">
        <v>92</v>
      </c>
      <c r="D33" s="81" t="s">
        <v>53</v>
      </c>
      <c r="E33" s="84">
        <v>331.9</v>
      </c>
      <c r="F33" s="84">
        <f>SUM(E33/1000)</f>
        <v>0.33189999999999997</v>
      </c>
      <c r="G33" s="84">
        <v>3228.73</v>
      </c>
      <c r="H33" s="85">
        <f t="shared" si="1"/>
        <v>1.0716154870000001</v>
      </c>
      <c r="I33" s="13">
        <f>F33*G33</f>
        <v>1071.615487</v>
      </c>
      <c r="J33" s="23"/>
      <c r="K33" s="8"/>
      <c r="L33" s="8"/>
      <c r="M33" s="8"/>
    </row>
    <row r="34" spans="1:14" ht="15.75" customHeight="1">
      <c r="A34" s="30">
        <v>9</v>
      </c>
      <c r="B34" s="81" t="s">
        <v>143</v>
      </c>
      <c r="C34" s="82" t="s">
        <v>40</v>
      </c>
      <c r="D34" s="81" t="s">
        <v>63</v>
      </c>
      <c r="E34" s="84">
        <v>2</v>
      </c>
      <c r="F34" s="84">
        <v>3.1</v>
      </c>
      <c r="G34" s="84">
        <v>1391.86</v>
      </c>
      <c r="H34" s="85">
        <f>F34*G34/1000</f>
        <v>4.3147659999999997</v>
      </c>
      <c r="I34" s="13">
        <f t="shared" si="2"/>
        <v>719.12766666666664</v>
      </c>
      <c r="J34" s="23"/>
      <c r="K34" s="8"/>
    </row>
    <row r="35" spans="1:14" ht="15.75" customHeight="1">
      <c r="A35" s="30">
        <v>10</v>
      </c>
      <c r="B35" s="81" t="s">
        <v>109</v>
      </c>
      <c r="C35" s="82" t="s">
        <v>30</v>
      </c>
      <c r="D35" s="81" t="s">
        <v>63</v>
      </c>
      <c r="E35" s="88">
        <v>0.33333333333333331</v>
      </c>
      <c r="F35" s="84">
        <f>155/3</f>
        <v>51.666666666666664</v>
      </c>
      <c r="G35" s="84">
        <v>60.6</v>
      </c>
      <c r="H35" s="85">
        <f>SUM(G35*155/3/1000)</f>
        <v>3.1309999999999998</v>
      </c>
      <c r="I35" s="13">
        <f t="shared" si="2"/>
        <v>521.83333333333337</v>
      </c>
      <c r="J35" s="24"/>
    </row>
    <row r="36" spans="1:14" ht="15.75" hidden="1" customHeight="1">
      <c r="A36" s="30"/>
      <c r="B36" s="81" t="s">
        <v>65</v>
      </c>
      <c r="C36" s="82" t="s">
        <v>32</v>
      </c>
      <c r="D36" s="81" t="s">
        <v>67</v>
      </c>
      <c r="E36" s="83"/>
      <c r="F36" s="84">
        <v>3</v>
      </c>
      <c r="G36" s="84">
        <v>204.52</v>
      </c>
      <c r="H36" s="85">
        <f t="shared" si="1"/>
        <v>0.61356000000000011</v>
      </c>
      <c r="I36" s="13">
        <v>0</v>
      </c>
      <c r="J36" s="24"/>
    </row>
    <row r="37" spans="1:14" ht="15.75" hidden="1" customHeight="1">
      <c r="A37" s="30"/>
      <c r="B37" s="81" t="s">
        <v>66</v>
      </c>
      <c r="C37" s="82" t="s">
        <v>31</v>
      </c>
      <c r="D37" s="81" t="s">
        <v>67</v>
      </c>
      <c r="E37" s="83"/>
      <c r="F37" s="84">
        <v>2</v>
      </c>
      <c r="G37" s="84">
        <v>1214.74</v>
      </c>
      <c r="H37" s="85">
        <f t="shared" si="1"/>
        <v>2.4294799999999999</v>
      </c>
      <c r="I37" s="13">
        <v>0</v>
      </c>
      <c r="J37" s="24"/>
    </row>
    <row r="38" spans="1:14" ht="15.75" hidden="1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hidden="1" customHeight="1">
      <c r="A39" s="30">
        <v>8</v>
      </c>
      <c r="B39" s="81" t="s">
        <v>25</v>
      </c>
      <c r="C39" s="82" t="s">
        <v>31</v>
      </c>
      <c r="D39" s="81"/>
      <c r="E39" s="83"/>
      <c r="F39" s="84">
        <v>8</v>
      </c>
      <c r="G39" s="84">
        <v>1632.6</v>
      </c>
      <c r="H39" s="85">
        <f t="shared" ref="H39:H44" si="3">SUM(F39*G39/1000)</f>
        <v>13.060799999999999</v>
      </c>
      <c r="I39" s="13">
        <f t="shared" ref="I39:I44" si="4">F39/6*G39</f>
        <v>2176.7999999999997</v>
      </c>
      <c r="J39" s="24"/>
      <c r="L39" s="19"/>
      <c r="M39" s="20"/>
      <c r="N39" s="21"/>
    </row>
    <row r="40" spans="1:14" ht="15.75" hidden="1" customHeight="1">
      <c r="A40" s="30">
        <v>9</v>
      </c>
      <c r="B40" s="81" t="s">
        <v>126</v>
      </c>
      <c r="C40" s="82" t="s">
        <v>28</v>
      </c>
      <c r="D40" s="81" t="s">
        <v>90</v>
      </c>
      <c r="E40" s="83">
        <v>115.82</v>
      </c>
      <c r="F40" s="84">
        <f>E40*30/1000</f>
        <v>3.4745999999999997</v>
      </c>
      <c r="G40" s="84">
        <v>2247.8000000000002</v>
      </c>
      <c r="H40" s="85">
        <f>G40*F40/1000</f>
        <v>7.8102058799999998</v>
      </c>
      <c r="I40" s="13">
        <f t="shared" si="4"/>
        <v>1301.7009800000001</v>
      </c>
      <c r="J40" s="24"/>
      <c r="L40" s="19"/>
      <c r="M40" s="20"/>
      <c r="N40" s="21"/>
    </row>
    <row r="41" spans="1:14" ht="15.75" hidden="1" customHeight="1">
      <c r="A41" s="30">
        <v>10</v>
      </c>
      <c r="B41" s="81" t="s">
        <v>68</v>
      </c>
      <c r="C41" s="82" t="s">
        <v>28</v>
      </c>
      <c r="D41" s="81" t="s">
        <v>91</v>
      </c>
      <c r="E41" s="84">
        <v>115.82</v>
      </c>
      <c r="F41" s="84">
        <f>SUM(E41*155/1000)</f>
        <v>17.952099999999998</v>
      </c>
      <c r="G41" s="84">
        <v>374.95</v>
      </c>
      <c r="H41" s="85">
        <f t="shared" si="3"/>
        <v>6.7311398949999992</v>
      </c>
      <c r="I41" s="13">
        <f t="shared" si="4"/>
        <v>1121.8566491666666</v>
      </c>
      <c r="J41" s="24"/>
      <c r="L41" s="19"/>
      <c r="M41" s="20"/>
      <c r="N41" s="21"/>
    </row>
    <row r="42" spans="1:14" ht="47.25" hidden="1" customHeight="1">
      <c r="A42" s="30">
        <v>11</v>
      </c>
      <c r="B42" s="81" t="s">
        <v>84</v>
      </c>
      <c r="C42" s="82" t="s">
        <v>92</v>
      </c>
      <c r="D42" s="81" t="s">
        <v>127</v>
      </c>
      <c r="E42" s="84">
        <v>40</v>
      </c>
      <c r="F42" s="84">
        <f>SUM(E42*35/1000)</f>
        <v>1.4</v>
      </c>
      <c r="G42" s="84">
        <v>6203.7</v>
      </c>
      <c r="H42" s="85">
        <f t="shared" si="3"/>
        <v>8.685179999999999</v>
      </c>
      <c r="I42" s="13">
        <f t="shared" si="4"/>
        <v>1447.5299999999997</v>
      </c>
      <c r="J42" s="24"/>
      <c r="L42" s="19"/>
      <c r="M42" s="20"/>
      <c r="N42" s="21"/>
    </row>
    <row r="43" spans="1:14" ht="15.75" hidden="1" customHeight="1">
      <c r="A43" s="30">
        <v>12</v>
      </c>
      <c r="B43" s="81" t="s">
        <v>128</v>
      </c>
      <c r="C43" s="82" t="s">
        <v>92</v>
      </c>
      <c r="D43" s="81" t="s">
        <v>69</v>
      </c>
      <c r="E43" s="84">
        <v>115.82</v>
      </c>
      <c r="F43" s="84">
        <f>SUM(E43*45/1000)</f>
        <v>5.2119</v>
      </c>
      <c r="G43" s="84">
        <v>458.28</v>
      </c>
      <c r="H43" s="85">
        <f t="shared" si="3"/>
        <v>2.388509532</v>
      </c>
      <c r="I43" s="13">
        <f t="shared" si="4"/>
        <v>398.08492200000001</v>
      </c>
      <c r="J43" s="24"/>
      <c r="L43" s="19"/>
      <c r="M43" s="20"/>
      <c r="N43" s="21"/>
    </row>
    <row r="44" spans="1:14" ht="15.75" hidden="1" customHeight="1">
      <c r="A44" s="30">
        <v>13</v>
      </c>
      <c r="B44" s="81" t="s">
        <v>70</v>
      </c>
      <c r="C44" s="82" t="s">
        <v>32</v>
      </c>
      <c r="D44" s="81"/>
      <c r="E44" s="83"/>
      <c r="F44" s="84">
        <v>0.5</v>
      </c>
      <c r="G44" s="84">
        <v>853.06</v>
      </c>
      <c r="H44" s="85">
        <f t="shared" si="3"/>
        <v>0.42652999999999996</v>
      </c>
      <c r="I44" s="13">
        <f t="shared" si="4"/>
        <v>71.088333333333324</v>
      </c>
      <c r="J44" s="24"/>
      <c r="L44" s="19"/>
      <c r="M44" s="20"/>
      <c r="N44" s="21"/>
    </row>
    <row r="45" spans="1:14" ht="15.75" hidden="1" customHeight="1">
      <c r="A45" s="154" t="s">
        <v>138</v>
      </c>
      <c r="B45" s="155"/>
      <c r="C45" s="155"/>
      <c r="D45" s="155"/>
      <c r="E45" s="155"/>
      <c r="F45" s="155"/>
      <c r="G45" s="155"/>
      <c r="H45" s="155"/>
      <c r="I45" s="156"/>
      <c r="J45" s="24"/>
      <c r="L45" s="19"/>
      <c r="M45" s="20"/>
      <c r="N45" s="21"/>
    </row>
    <row r="46" spans="1:14" ht="15.75" hidden="1" customHeight="1">
      <c r="A46" s="30"/>
      <c r="B46" s="81" t="s">
        <v>112</v>
      </c>
      <c r="C46" s="82" t="s">
        <v>92</v>
      </c>
      <c r="D46" s="81" t="s">
        <v>42</v>
      </c>
      <c r="E46" s="83">
        <v>838.88</v>
      </c>
      <c r="F46" s="84">
        <f>SUM(E46*2/1000)</f>
        <v>1.6777599999999999</v>
      </c>
      <c r="G46" s="13">
        <v>865.61</v>
      </c>
      <c r="H46" s="85">
        <f t="shared" ref="H46:H55" si="5">SUM(F46*G46/1000)</f>
        <v>1.4522858336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81" t="s">
        <v>35</v>
      </c>
      <c r="C47" s="82" t="s">
        <v>92</v>
      </c>
      <c r="D47" s="81" t="s">
        <v>42</v>
      </c>
      <c r="E47" s="83">
        <v>26</v>
      </c>
      <c r="F47" s="84">
        <f>E47*2/1000</f>
        <v>5.1999999999999998E-2</v>
      </c>
      <c r="G47" s="13">
        <v>619.46</v>
      </c>
      <c r="H47" s="85">
        <f t="shared" si="5"/>
        <v>3.2211919999999998E-2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81" t="s">
        <v>36</v>
      </c>
      <c r="C48" s="82" t="s">
        <v>92</v>
      </c>
      <c r="D48" s="81" t="s">
        <v>42</v>
      </c>
      <c r="E48" s="83">
        <v>879</v>
      </c>
      <c r="F48" s="84">
        <f>SUM(E48*2/1000)</f>
        <v>1.758</v>
      </c>
      <c r="G48" s="13">
        <v>619.46</v>
      </c>
      <c r="H48" s="85">
        <f t="shared" si="5"/>
        <v>1.0890106800000001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81" t="s">
        <v>37</v>
      </c>
      <c r="C49" s="82" t="s">
        <v>92</v>
      </c>
      <c r="D49" s="81" t="s">
        <v>42</v>
      </c>
      <c r="E49" s="83">
        <v>1490.75</v>
      </c>
      <c r="F49" s="84">
        <f>SUM(E49*2/1000)</f>
        <v>2.9815</v>
      </c>
      <c r="G49" s="13">
        <v>648.64</v>
      </c>
      <c r="H49" s="85">
        <f t="shared" si="5"/>
        <v>1.93392016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81" t="s">
        <v>33</v>
      </c>
      <c r="C50" s="82" t="s">
        <v>34</v>
      </c>
      <c r="D50" s="81" t="s">
        <v>42</v>
      </c>
      <c r="E50" s="83">
        <v>61.04</v>
      </c>
      <c r="F50" s="84">
        <f>SUM(E50*2/100)</f>
        <v>1.2207999999999999</v>
      </c>
      <c r="G50" s="13">
        <v>77.84</v>
      </c>
      <c r="H50" s="85">
        <f t="shared" si="5"/>
        <v>9.502707199999999E-2</v>
      </c>
      <c r="I50" s="13">
        <v>0</v>
      </c>
      <c r="J50" s="24"/>
      <c r="L50" s="19"/>
      <c r="M50" s="20"/>
      <c r="N50" s="21"/>
    </row>
    <row r="51" spans="1:22" ht="15.75" hidden="1" customHeight="1">
      <c r="A51" s="30">
        <v>14</v>
      </c>
      <c r="B51" s="81" t="s">
        <v>56</v>
      </c>
      <c r="C51" s="82" t="s">
        <v>92</v>
      </c>
      <c r="D51" s="81" t="s">
        <v>150</v>
      </c>
      <c r="E51" s="83">
        <v>1342.2</v>
      </c>
      <c r="F51" s="84">
        <f>SUM(E51*5/1000)</f>
        <v>6.7110000000000003</v>
      </c>
      <c r="G51" s="13">
        <v>1297.28</v>
      </c>
      <c r="H51" s="85">
        <f t="shared" si="5"/>
        <v>8.7060460800000001</v>
      </c>
      <c r="I51" s="13">
        <f>F51/5*G51</f>
        <v>1741.209216</v>
      </c>
      <c r="J51" s="24"/>
      <c r="L51" s="19"/>
      <c r="M51" s="20"/>
      <c r="N51" s="21"/>
    </row>
    <row r="52" spans="1:22" ht="31.5" hidden="1" customHeight="1">
      <c r="A52" s="30"/>
      <c r="B52" s="81" t="s">
        <v>93</v>
      </c>
      <c r="C52" s="82" t="s">
        <v>92</v>
      </c>
      <c r="D52" s="81" t="s">
        <v>42</v>
      </c>
      <c r="E52" s="83">
        <v>1342.2</v>
      </c>
      <c r="F52" s="84">
        <f>SUM(E52*2/1000)</f>
        <v>2.6844000000000001</v>
      </c>
      <c r="G52" s="13">
        <v>1297.28</v>
      </c>
      <c r="H52" s="85">
        <f t="shared" si="5"/>
        <v>3.4824184319999998</v>
      </c>
      <c r="I52" s="13">
        <v>0</v>
      </c>
      <c r="J52" s="24"/>
      <c r="L52" s="19"/>
      <c r="M52" s="20"/>
      <c r="N52" s="21"/>
    </row>
    <row r="53" spans="1:22" ht="31.5" hidden="1" customHeight="1">
      <c r="A53" s="30"/>
      <c r="B53" s="81" t="s">
        <v>94</v>
      </c>
      <c r="C53" s="82" t="s">
        <v>38</v>
      </c>
      <c r="D53" s="81" t="s">
        <v>42</v>
      </c>
      <c r="E53" s="83">
        <v>10</v>
      </c>
      <c r="F53" s="84">
        <f>SUM(E53*2/100)</f>
        <v>0.2</v>
      </c>
      <c r="G53" s="13">
        <v>2918.89</v>
      </c>
      <c r="H53" s="85">
        <f t="shared" si="5"/>
        <v>0.58377800000000002</v>
      </c>
      <c r="I53" s="13">
        <v>0</v>
      </c>
      <c r="J53" s="24"/>
      <c r="L53" s="19"/>
      <c r="M53" s="20"/>
      <c r="N53" s="21"/>
    </row>
    <row r="54" spans="1:22" ht="15.75" hidden="1" customHeight="1">
      <c r="A54" s="30"/>
      <c r="B54" s="81" t="s">
        <v>39</v>
      </c>
      <c r="C54" s="82" t="s">
        <v>40</v>
      </c>
      <c r="D54" s="81" t="s">
        <v>42</v>
      </c>
      <c r="E54" s="83">
        <v>1</v>
      </c>
      <c r="F54" s="84">
        <v>0.02</v>
      </c>
      <c r="G54" s="13">
        <v>6042.12</v>
      </c>
      <c r="H54" s="85">
        <f t="shared" si="5"/>
        <v>0.1208424</v>
      </c>
      <c r="I54" s="13">
        <v>0</v>
      </c>
      <c r="J54" s="24"/>
      <c r="L54" s="19"/>
      <c r="M54" s="20"/>
      <c r="N54" s="21"/>
    </row>
    <row r="55" spans="1:22" ht="15.75" hidden="1" customHeight="1">
      <c r="A55" s="30">
        <v>15</v>
      </c>
      <c r="B55" s="81" t="s">
        <v>41</v>
      </c>
      <c r="C55" s="82" t="s">
        <v>113</v>
      </c>
      <c r="D55" s="81" t="s">
        <v>71</v>
      </c>
      <c r="E55" s="83">
        <v>80</v>
      </c>
      <c r="F55" s="84">
        <f>SUM(E55)*3</f>
        <v>240</v>
      </c>
      <c r="G55" s="13">
        <v>70.209999999999994</v>
      </c>
      <c r="H55" s="85">
        <f t="shared" si="5"/>
        <v>16.850399999999997</v>
      </c>
      <c r="I55" s="13">
        <f>E55*G55</f>
        <v>5616.7999999999993</v>
      </c>
      <c r="J55" s="24"/>
      <c r="L55" s="19"/>
      <c r="M55" s="20"/>
      <c r="N55" s="21"/>
    </row>
    <row r="56" spans="1:22" ht="15.75" customHeight="1">
      <c r="A56" s="154" t="s">
        <v>153</v>
      </c>
      <c r="B56" s="155"/>
      <c r="C56" s="155"/>
      <c r="D56" s="155"/>
      <c r="E56" s="155"/>
      <c r="F56" s="155"/>
      <c r="G56" s="155"/>
      <c r="H56" s="155"/>
      <c r="I56" s="156"/>
      <c r="J56" s="24"/>
      <c r="L56" s="19"/>
      <c r="M56" s="20"/>
      <c r="N56" s="21"/>
    </row>
    <row r="57" spans="1:22" ht="15.75" hidden="1" customHeight="1">
      <c r="A57" s="30"/>
      <c r="B57" s="103" t="s">
        <v>43</v>
      </c>
      <c r="C57" s="82"/>
      <c r="D57" s="81"/>
      <c r="E57" s="83"/>
      <c r="F57" s="84"/>
      <c r="G57" s="84"/>
      <c r="H57" s="85"/>
      <c r="I57" s="13"/>
      <c r="J57" s="24"/>
      <c r="L57" s="19"/>
      <c r="M57" s="20"/>
      <c r="N57" s="21"/>
    </row>
    <row r="58" spans="1:22" ht="31.5" hidden="1" customHeight="1">
      <c r="A58" s="30">
        <v>16</v>
      </c>
      <c r="B58" s="81" t="s">
        <v>114</v>
      </c>
      <c r="C58" s="82" t="s">
        <v>89</v>
      </c>
      <c r="D58" s="81" t="s">
        <v>115</v>
      </c>
      <c r="E58" s="83">
        <v>90.76</v>
      </c>
      <c r="F58" s="84">
        <f>SUM(E58*6/100)</f>
        <v>5.4456000000000007</v>
      </c>
      <c r="G58" s="13">
        <v>1654.04</v>
      </c>
      <c r="H58" s="85">
        <f>SUM(F58*G58/1000)</f>
        <v>9.0072402240000002</v>
      </c>
      <c r="I58" s="13">
        <f>F58/6*G58</f>
        <v>1501.2067040000002</v>
      </c>
      <c r="J58" s="24"/>
      <c r="L58" s="19"/>
    </row>
    <row r="59" spans="1:22" ht="15.75" hidden="1" customHeight="1">
      <c r="A59" s="30"/>
      <c r="B59" s="103" t="s">
        <v>44</v>
      </c>
      <c r="C59" s="82"/>
      <c r="D59" s="81"/>
      <c r="E59" s="83"/>
      <c r="F59" s="84"/>
      <c r="G59" s="75"/>
      <c r="H59" s="85"/>
      <c r="I59" s="13"/>
    </row>
    <row r="60" spans="1:22" ht="15.75" hidden="1" customHeight="1">
      <c r="A60" s="30"/>
      <c r="B60" s="81" t="s">
        <v>132</v>
      </c>
      <c r="C60" s="82" t="s">
        <v>89</v>
      </c>
      <c r="D60" s="81" t="s">
        <v>144</v>
      </c>
      <c r="E60" s="83">
        <v>1342.2</v>
      </c>
      <c r="F60" s="85">
        <f>E60/100</f>
        <v>13.422000000000001</v>
      </c>
      <c r="G60" s="13">
        <v>848.37</v>
      </c>
      <c r="H60" s="90">
        <f>F60*G60/1000</f>
        <v>11.38682214</v>
      </c>
      <c r="I60" s="13">
        <v>0</v>
      </c>
    </row>
    <row r="61" spans="1:22" ht="15.75" customHeight="1">
      <c r="A61" s="30"/>
      <c r="B61" s="104" t="s">
        <v>45</v>
      </c>
      <c r="C61" s="91"/>
      <c r="D61" s="92"/>
      <c r="E61" s="93"/>
      <c r="F61" s="94"/>
      <c r="G61" s="94"/>
      <c r="H61" s="95" t="s">
        <v>122</v>
      </c>
      <c r="I61" s="13"/>
    </row>
    <row r="62" spans="1:22" ht="15.75" customHeight="1">
      <c r="A62" s="30">
        <v>11</v>
      </c>
      <c r="B62" s="14" t="s">
        <v>46</v>
      </c>
      <c r="C62" s="16" t="s">
        <v>113</v>
      </c>
      <c r="D62" s="14" t="s">
        <v>67</v>
      </c>
      <c r="E62" s="18">
        <v>10</v>
      </c>
      <c r="F62" s="84">
        <v>10</v>
      </c>
      <c r="G62" s="13">
        <v>237.74</v>
      </c>
      <c r="H62" s="80">
        <f t="shared" ref="H62:H75" si="6">SUM(F62*G62/1000)</f>
        <v>2.3774000000000002</v>
      </c>
      <c r="I62" s="13">
        <f>G62</f>
        <v>237.74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30"/>
      <c r="B63" s="14" t="s">
        <v>47</v>
      </c>
      <c r="C63" s="16" t="s">
        <v>113</v>
      </c>
      <c r="D63" s="14" t="s">
        <v>67</v>
      </c>
      <c r="E63" s="18">
        <v>5</v>
      </c>
      <c r="F63" s="84">
        <v>5</v>
      </c>
      <c r="G63" s="13">
        <v>81.510000000000005</v>
      </c>
      <c r="H63" s="80">
        <f t="shared" si="6"/>
        <v>0.40755000000000002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0"/>
      <c r="B64" s="14" t="s">
        <v>48</v>
      </c>
      <c r="C64" s="16" t="s">
        <v>116</v>
      </c>
      <c r="D64" s="14" t="s">
        <v>53</v>
      </c>
      <c r="E64" s="83">
        <v>10348</v>
      </c>
      <c r="F64" s="13">
        <f>SUM(E64/100)</f>
        <v>103.48</v>
      </c>
      <c r="G64" s="13">
        <v>226.79</v>
      </c>
      <c r="H64" s="80">
        <f t="shared" si="6"/>
        <v>23.468229200000003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0"/>
      <c r="B65" s="14" t="s">
        <v>49</v>
      </c>
      <c r="C65" s="16" t="s">
        <v>117</v>
      </c>
      <c r="D65" s="14"/>
      <c r="E65" s="83">
        <v>10348</v>
      </c>
      <c r="F65" s="13">
        <f>SUM(E65/1000)</f>
        <v>10.348000000000001</v>
      </c>
      <c r="G65" s="13">
        <v>176.61</v>
      </c>
      <c r="H65" s="80">
        <f t="shared" si="6"/>
        <v>1.8275602800000004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147"/>
      <c r="S65" s="147"/>
      <c r="T65" s="147"/>
      <c r="U65" s="147"/>
    </row>
    <row r="66" spans="1:21" ht="15.75" hidden="1" customHeight="1">
      <c r="A66" s="30"/>
      <c r="B66" s="14" t="s">
        <v>50</v>
      </c>
      <c r="C66" s="16" t="s">
        <v>77</v>
      </c>
      <c r="D66" s="14" t="s">
        <v>53</v>
      </c>
      <c r="E66" s="83">
        <v>1645</v>
      </c>
      <c r="F66" s="13">
        <f>SUM(E66/100)</f>
        <v>16.45</v>
      </c>
      <c r="G66" s="13">
        <v>2217.7800000000002</v>
      </c>
      <c r="H66" s="80">
        <f t="shared" si="6"/>
        <v>36.482481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0"/>
      <c r="B67" s="96" t="s">
        <v>118</v>
      </c>
      <c r="C67" s="16" t="s">
        <v>32</v>
      </c>
      <c r="D67" s="14"/>
      <c r="E67" s="83">
        <v>8.6</v>
      </c>
      <c r="F67" s="13">
        <f>SUM(E67)</f>
        <v>8.6</v>
      </c>
      <c r="G67" s="13">
        <v>42.67</v>
      </c>
      <c r="H67" s="80">
        <f t="shared" si="6"/>
        <v>0.36696200000000001</v>
      </c>
      <c r="I67" s="13">
        <v>0</v>
      </c>
    </row>
    <row r="68" spans="1:21" ht="15.75" hidden="1" customHeight="1">
      <c r="A68" s="30"/>
      <c r="B68" s="96" t="s">
        <v>119</v>
      </c>
      <c r="C68" s="16" t="s">
        <v>32</v>
      </c>
      <c r="D68" s="14"/>
      <c r="E68" s="83">
        <v>8.6</v>
      </c>
      <c r="F68" s="13">
        <f>SUM(E68)</f>
        <v>8.6</v>
      </c>
      <c r="G68" s="13">
        <v>39.81</v>
      </c>
      <c r="H68" s="80">
        <f t="shared" si="6"/>
        <v>0.342366</v>
      </c>
      <c r="I68" s="13">
        <v>0</v>
      </c>
    </row>
    <row r="69" spans="1:21" ht="15.75" hidden="1" customHeight="1">
      <c r="A69" s="30"/>
      <c r="B69" s="14" t="s">
        <v>57</v>
      </c>
      <c r="C69" s="16" t="s">
        <v>58</v>
      </c>
      <c r="D69" s="14" t="s">
        <v>53</v>
      </c>
      <c r="E69" s="18">
        <v>5</v>
      </c>
      <c r="F69" s="84">
        <v>5</v>
      </c>
      <c r="G69" s="13">
        <v>53.32</v>
      </c>
      <c r="H69" s="80">
        <f t="shared" si="6"/>
        <v>0.2666</v>
      </c>
      <c r="I69" s="13">
        <v>0</v>
      </c>
    </row>
    <row r="70" spans="1:21" ht="15.75" hidden="1" customHeight="1">
      <c r="A70" s="30"/>
      <c r="B70" s="66" t="s">
        <v>72</v>
      </c>
      <c r="C70" s="16"/>
      <c r="D70" s="14"/>
      <c r="E70" s="18"/>
      <c r="F70" s="13"/>
      <c r="G70" s="13"/>
      <c r="H70" s="80" t="s">
        <v>122</v>
      </c>
      <c r="I70" s="13"/>
    </row>
    <row r="71" spans="1:21" ht="15.75" hidden="1" customHeight="1">
      <c r="A71" s="30"/>
      <c r="B71" s="14" t="s">
        <v>73</v>
      </c>
      <c r="C71" s="16" t="s">
        <v>75</v>
      </c>
      <c r="D71" s="14"/>
      <c r="E71" s="18">
        <v>2</v>
      </c>
      <c r="F71" s="13">
        <v>0.2</v>
      </c>
      <c r="G71" s="13">
        <v>536.23</v>
      </c>
      <c r="H71" s="80">
        <f t="shared" si="6"/>
        <v>0.10724600000000001</v>
      </c>
      <c r="I71" s="13">
        <v>0</v>
      </c>
    </row>
    <row r="72" spans="1:21" ht="15.75" hidden="1" customHeight="1">
      <c r="A72" s="30"/>
      <c r="B72" s="14" t="s">
        <v>74</v>
      </c>
      <c r="C72" s="16" t="s">
        <v>30</v>
      </c>
      <c r="D72" s="14"/>
      <c r="E72" s="18">
        <v>2</v>
      </c>
      <c r="F72" s="75">
        <v>2</v>
      </c>
      <c r="G72" s="13">
        <v>911.85</v>
      </c>
      <c r="H72" s="80">
        <f>F72*G72/1000</f>
        <v>1.8237000000000001</v>
      </c>
      <c r="I72" s="13">
        <v>0</v>
      </c>
    </row>
    <row r="73" spans="1:21" ht="15.75" hidden="1" customHeight="1">
      <c r="A73" s="30"/>
      <c r="B73" s="14" t="s">
        <v>129</v>
      </c>
      <c r="C73" s="16" t="s">
        <v>30</v>
      </c>
      <c r="D73" s="14"/>
      <c r="E73" s="18">
        <v>1</v>
      </c>
      <c r="F73" s="13">
        <v>1</v>
      </c>
      <c r="G73" s="13">
        <v>383.25</v>
      </c>
      <c r="H73" s="80">
        <f>G73*F73/1000</f>
        <v>0.38324999999999998</v>
      </c>
      <c r="I73" s="13">
        <v>0</v>
      </c>
    </row>
    <row r="74" spans="1:21" ht="15.75" hidden="1" customHeight="1">
      <c r="A74" s="30"/>
      <c r="B74" s="98" t="s">
        <v>76</v>
      </c>
      <c r="C74" s="16"/>
      <c r="D74" s="14"/>
      <c r="E74" s="18"/>
      <c r="F74" s="13"/>
      <c r="G74" s="13" t="s">
        <v>122</v>
      </c>
      <c r="H74" s="80" t="s">
        <v>122</v>
      </c>
      <c r="I74" s="13"/>
    </row>
    <row r="75" spans="1:21" ht="15.75" hidden="1" customHeight="1">
      <c r="A75" s="30"/>
      <c r="B75" s="52" t="s">
        <v>123</v>
      </c>
      <c r="C75" s="16" t="s">
        <v>77</v>
      </c>
      <c r="D75" s="14"/>
      <c r="E75" s="18"/>
      <c r="F75" s="13">
        <v>0.6</v>
      </c>
      <c r="G75" s="13">
        <v>2949.85</v>
      </c>
      <c r="H75" s="80">
        <f t="shared" si="6"/>
        <v>1.7699099999999999</v>
      </c>
      <c r="I75" s="13">
        <v>0</v>
      </c>
    </row>
    <row r="76" spans="1:21" ht="15.75" hidden="1" customHeight="1">
      <c r="A76" s="30"/>
      <c r="B76" s="105" t="s">
        <v>95</v>
      </c>
      <c r="C76" s="98"/>
      <c r="D76" s="32"/>
      <c r="E76" s="33"/>
      <c r="F76" s="87"/>
      <c r="G76" s="87"/>
      <c r="H76" s="99">
        <f>SUM(H58:H75)</f>
        <v>90.017316844000007</v>
      </c>
      <c r="I76" s="87"/>
    </row>
    <row r="77" spans="1:21" ht="15.75" hidden="1" customHeight="1">
      <c r="A77" s="30">
        <v>17</v>
      </c>
      <c r="B77" s="81" t="s">
        <v>120</v>
      </c>
      <c r="C77" s="16"/>
      <c r="D77" s="14"/>
      <c r="E77" s="100"/>
      <c r="F77" s="13">
        <v>1</v>
      </c>
      <c r="G77" s="13">
        <v>6480.5</v>
      </c>
      <c r="H77" s="80">
        <f>G77*F77/1000</f>
        <v>6.4805000000000001</v>
      </c>
      <c r="I77" s="13">
        <f>G77</f>
        <v>6480.5</v>
      </c>
    </row>
    <row r="78" spans="1:21" ht="15.75" customHeight="1">
      <c r="A78" s="154" t="s">
        <v>154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30">
        <v>12</v>
      </c>
      <c r="B79" s="81" t="s">
        <v>121</v>
      </c>
      <c r="C79" s="16" t="s">
        <v>54</v>
      </c>
      <c r="D79" s="59" t="s">
        <v>55</v>
      </c>
      <c r="E79" s="13">
        <v>2135.1999999999998</v>
      </c>
      <c r="F79" s="13">
        <f>SUM(E79*12)</f>
        <v>25622.399999999998</v>
      </c>
      <c r="G79" s="13">
        <v>2.2400000000000002</v>
      </c>
      <c r="H79" s="80">
        <f>SUM(F79*G79/1000)</f>
        <v>57.394176000000002</v>
      </c>
      <c r="I79" s="13">
        <f>F79/12*G79</f>
        <v>4782.848</v>
      </c>
    </row>
    <row r="80" spans="1:21" ht="31.5" customHeight="1">
      <c r="A80" s="30">
        <v>13</v>
      </c>
      <c r="B80" s="14" t="s">
        <v>78</v>
      </c>
      <c r="C80" s="16"/>
      <c r="D80" s="59" t="s">
        <v>55</v>
      </c>
      <c r="E80" s="83">
        <f>E79</f>
        <v>2135.1999999999998</v>
      </c>
      <c r="F80" s="13">
        <f>E80*12</f>
        <v>25622.399999999998</v>
      </c>
      <c r="G80" s="13">
        <v>1.74</v>
      </c>
      <c r="H80" s="80">
        <f>F80*G80/1000</f>
        <v>44.582975999999995</v>
      </c>
      <c r="I80" s="13">
        <f>F80/12*G80</f>
        <v>3715.2479999999996</v>
      </c>
    </row>
    <row r="81" spans="1:9" ht="15.75" customHeight="1">
      <c r="A81" s="30"/>
      <c r="B81" s="45" t="s">
        <v>81</v>
      </c>
      <c r="C81" s="98"/>
      <c r="D81" s="97"/>
      <c r="E81" s="87"/>
      <c r="F81" s="87"/>
      <c r="G81" s="87"/>
      <c r="H81" s="99">
        <f>H80</f>
        <v>44.582975999999995</v>
      </c>
      <c r="I81" s="87">
        <f>I16+I17+I18+I20+I27+I28+I31+I32+I34+I35+I62+I79+I80</f>
        <v>29929.761044133331</v>
      </c>
    </row>
    <row r="82" spans="1:9" ht="15.75" customHeight="1">
      <c r="A82" s="158" t="s">
        <v>60</v>
      </c>
      <c r="B82" s="159"/>
      <c r="C82" s="159"/>
      <c r="D82" s="159"/>
      <c r="E82" s="159"/>
      <c r="F82" s="159"/>
      <c r="G82" s="159"/>
      <c r="H82" s="159"/>
      <c r="I82" s="160"/>
    </row>
    <row r="83" spans="1:9" ht="15.75" customHeight="1">
      <c r="A83" s="30">
        <v>14</v>
      </c>
      <c r="B83" s="56" t="s">
        <v>124</v>
      </c>
      <c r="C83" s="57" t="s">
        <v>113</v>
      </c>
      <c r="D83" s="52"/>
      <c r="E83" s="13"/>
      <c r="F83" s="13">
        <v>492</v>
      </c>
      <c r="G83" s="13">
        <v>53.42</v>
      </c>
      <c r="H83" s="80">
        <f t="shared" ref="H83" si="7">G83*F83/1000</f>
        <v>26.282640000000001</v>
      </c>
      <c r="I83" s="13">
        <f>G83*41</f>
        <v>2190.2200000000003</v>
      </c>
    </row>
    <row r="84" spans="1:9" ht="15.75" customHeight="1">
      <c r="A84" s="30">
        <v>15</v>
      </c>
      <c r="B84" s="56" t="s">
        <v>146</v>
      </c>
      <c r="C84" s="57" t="s">
        <v>147</v>
      </c>
      <c r="D84" s="52"/>
      <c r="E84" s="13"/>
      <c r="F84" s="13">
        <v>2</v>
      </c>
      <c r="G84" s="13">
        <v>206.54</v>
      </c>
      <c r="H84" s="80">
        <f>G84*F84/1000</f>
        <v>0.41308</v>
      </c>
      <c r="I84" s="13">
        <f>G84*2</f>
        <v>413.08</v>
      </c>
    </row>
    <row r="85" spans="1:9" ht="31.5" customHeight="1">
      <c r="A85" s="30">
        <v>16</v>
      </c>
      <c r="B85" s="56" t="s">
        <v>133</v>
      </c>
      <c r="C85" s="57" t="s">
        <v>134</v>
      </c>
      <c r="D85" s="52"/>
      <c r="E85" s="13"/>
      <c r="F85" s="13">
        <v>3</v>
      </c>
      <c r="G85" s="13">
        <v>589.84</v>
      </c>
      <c r="H85" s="80">
        <f>G85*F85/1000</f>
        <v>1.76952</v>
      </c>
      <c r="I85" s="13">
        <f>G85*3</f>
        <v>1769.52</v>
      </c>
    </row>
    <row r="86" spans="1:9" ht="15.75" customHeight="1">
      <c r="A86" s="30">
        <v>17</v>
      </c>
      <c r="B86" s="56" t="s">
        <v>82</v>
      </c>
      <c r="C86" s="57" t="s">
        <v>113</v>
      </c>
      <c r="D86" s="52"/>
      <c r="E86" s="13"/>
      <c r="F86" s="13">
        <v>1</v>
      </c>
      <c r="G86" s="13">
        <v>189.88</v>
      </c>
      <c r="H86" s="80">
        <f>G86*F86/1000</f>
        <v>0.18987999999999999</v>
      </c>
      <c r="I86" s="13">
        <f>G86</f>
        <v>189.88</v>
      </c>
    </row>
    <row r="87" spans="1:9" ht="31.5" customHeight="1">
      <c r="A87" s="30">
        <v>18</v>
      </c>
      <c r="B87" s="56" t="s">
        <v>185</v>
      </c>
      <c r="C87" s="112" t="s">
        <v>186</v>
      </c>
      <c r="D87" s="52"/>
      <c r="E87" s="13"/>
      <c r="F87" s="13">
        <f>1/10</f>
        <v>0.1</v>
      </c>
      <c r="G87" s="13">
        <v>3577.04</v>
      </c>
      <c r="H87" s="80">
        <f>G87*F87/1000</f>
        <v>0.35770400000000002</v>
      </c>
      <c r="I87" s="13">
        <f>G87*0.1</f>
        <v>357.70400000000001</v>
      </c>
    </row>
    <row r="88" spans="1:9" ht="31.5" customHeight="1">
      <c r="A88" s="30">
        <v>19</v>
      </c>
      <c r="B88" s="56" t="s">
        <v>187</v>
      </c>
      <c r="C88" s="57" t="s">
        <v>113</v>
      </c>
      <c r="D88" s="52"/>
      <c r="E88" s="13"/>
      <c r="F88" s="13">
        <v>1</v>
      </c>
      <c r="G88" s="13">
        <v>193.62</v>
      </c>
      <c r="H88" s="80">
        <f>G88*F88/1000</f>
        <v>0.19362000000000001</v>
      </c>
      <c r="I88" s="13">
        <f>G88</f>
        <v>193.62</v>
      </c>
    </row>
    <row r="89" spans="1:9" ht="15.75" customHeight="1">
      <c r="A89" s="30"/>
      <c r="B89" s="50" t="s">
        <v>51</v>
      </c>
      <c r="C89" s="57"/>
      <c r="D89" s="52"/>
      <c r="E89" s="13"/>
      <c r="F89" s="13"/>
      <c r="G89" s="13"/>
      <c r="H89" s="80"/>
      <c r="I89" s="87">
        <f>SUM(I83:I88)</f>
        <v>5114.0239999999994</v>
      </c>
    </row>
    <row r="90" spans="1:9">
      <c r="A90" s="30"/>
      <c r="B90" s="52" t="s">
        <v>79</v>
      </c>
      <c r="C90" s="15"/>
      <c r="D90" s="15"/>
      <c r="E90" s="47"/>
      <c r="F90" s="47"/>
      <c r="G90" s="48"/>
      <c r="H90" s="48"/>
      <c r="I90" s="17">
        <v>0</v>
      </c>
    </row>
    <row r="91" spans="1:9">
      <c r="A91" s="54"/>
      <c r="B91" s="51" t="s">
        <v>169</v>
      </c>
      <c r="C91" s="38"/>
      <c r="D91" s="38"/>
      <c r="E91" s="38"/>
      <c r="F91" s="38"/>
      <c r="G91" s="38"/>
      <c r="H91" s="38"/>
      <c r="I91" s="49">
        <f>I81+I89</f>
        <v>35043.785044133328</v>
      </c>
    </row>
    <row r="92" spans="1:9" ht="15.75" customHeight="1">
      <c r="A92" s="165" t="s">
        <v>188</v>
      </c>
      <c r="B92" s="165"/>
      <c r="C92" s="165"/>
      <c r="D92" s="165"/>
      <c r="E92" s="165"/>
      <c r="F92" s="165"/>
      <c r="G92" s="165"/>
      <c r="H92" s="165"/>
      <c r="I92" s="165"/>
    </row>
    <row r="93" spans="1:9" ht="15.75" customHeight="1">
      <c r="A93" s="68"/>
      <c r="B93" s="166" t="s">
        <v>189</v>
      </c>
      <c r="C93" s="166"/>
      <c r="D93" s="166"/>
      <c r="E93" s="166"/>
      <c r="F93" s="166"/>
      <c r="G93" s="166"/>
      <c r="H93" s="78"/>
      <c r="I93" s="3"/>
    </row>
    <row r="94" spans="1:9">
      <c r="A94" s="64"/>
      <c r="B94" s="163" t="s">
        <v>6</v>
      </c>
      <c r="C94" s="163"/>
      <c r="D94" s="163"/>
      <c r="E94" s="163"/>
      <c r="F94" s="163"/>
      <c r="G94" s="163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67" t="s">
        <v>7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 customHeight="1">
      <c r="A97" s="167" t="s">
        <v>8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44" t="s">
        <v>61</v>
      </c>
      <c r="B98" s="144"/>
      <c r="C98" s="144"/>
      <c r="D98" s="144"/>
      <c r="E98" s="144"/>
      <c r="F98" s="144"/>
      <c r="G98" s="144"/>
      <c r="H98" s="144"/>
      <c r="I98" s="144"/>
    </row>
    <row r="99" spans="1:9" ht="15.75">
      <c r="A99" s="11"/>
    </row>
    <row r="100" spans="1:9" ht="15.75" customHeight="1">
      <c r="A100" s="145" t="s">
        <v>9</v>
      </c>
      <c r="B100" s="145"/>
      <c r="C100" s="145"/>
      <c r="D100" s="145"/>
      <c r="E100" s="145"/>
      <c r="F100" s="145"/>
      <c r="G100" s="145"/>
      <c r="H100" s="145"/>
      <c r="I100" s="145"/>
    </row>
    <row r="101" spans="1:9" ht="15.75" customHeight="1">
      <c r="A101" s="4"/>
    </row>
    <row r="102" spans="1:9" ht="15.75" customHeight="1">
      <c r="B102" s="65" t="s">
        <v>10</v>
      </c>
      <c r="C102" s="162" t="s">
        <v>139</v>
      </c>
      <c r="D102" s="162"/>
      <c r="E102" s="162"/>
      <c r="F102" s="76"/>
      <c r="I102" s="63"/>
    </row>
    <row r="103" spans="1:9" ht="15.75" customHeight="1">
      <c r="A103" s="64"/>
      <c r="C103" s="163" t="s">
        <v>11</v>
      </c>
      <c r="D103" s="163"/>
      <c r="E103" s="163"/>
      <c r="F103" s="25"/>
      <c r="I103" s="62" t="s">
        <v>12</v>
      </c>
    </row>
    <row r="104" spans="1:9" ht="15.75" customHeight="1">
      <c r="A104" s="26"/>
      <c r="C104" s="12"/>
      <c r="D104" s="12"/>
      <c r="G104" s="12"/>
      <c r="H104" s="12"/>
    </row>
    <row r="105" spans="1:9" ht="15.75" customHeight="1">
      <c r="B105" s="65" t="s">
        <v>13</v>
      </c>
      <c r="C105" s="164"/>
      <c r="D105" s="164"/>
      <c r="E105" s="164"/>
      <c r="F105" s="77"/>
      <c r="I105" s="63"/>
    </row>
    <row r="106" spans="1:9">
      <c r="A106" s="64"/>
      <c r="C106" s="147" t="s">
        <v>11</v>
      </c>
      <c r="D106" s="147"/>
      <c r="E106" s="147"/>
      <c r="F106" s="64"/>
      <c r="I106" s="62" t="s">
        <v>12</v>
      </c>
    </row>
    <row r="107" spans="1:9" ht="15.75">
      <c r="A107" s="4" t="s">
        <v>14</v>
      </c>
    </row>
    <row r="108" spans="1:9">
      <c r="A108" s="161" t="s">
        <v>15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45" customHeight="1">
      <c r="A109" s="157" t="s">
        <v>16</v>
      </c>
      <c r="B109" s="157"/>
      <c r="C109" s="157"/>
      <c r="D109" s="157"/>
      <c r="E109" s="157"/>
      <c r="F109" s="157"/>
      <c r="G109" s="157"/>
      <c r="H109" s="157"/>
      <c r="I109" s="157"/>
    </row>
    <row r="110" spans="1:9" ht="30" customHeight="1">
      <c r="A110" s="157" t="s">
        <v>17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30" customHeight="1">
      <c r="A111" s="157" t="s">
        <v>21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15" customHeight="1">
      <c r="A112" s="157" t="s">
        <v>20</v>
      </c>
      <c r="B112" s="157"/>
      <c r="C112" s="157"/>
      <c r="D112" s="157"/>
      <c r="E112" s="157"/>
      <c r="F112" s="157"/>
      <c r="G112" s="157"/>
      <c r="H112" s="157"/>
      <c r="I112" s="157"/>
    </row>
  </sheetData>
  <autoFilter ref="I12:I60"/>
  <mergeCells count="29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9:I29"/>
    <mergeCell ref="A45:I45"/>
    <mergeCell ref="A56:I56"/>
    <mergeCell ref="A82:I82"/>
    <mergeCell ref="A92:I92"/>
    <mergeCell ref="B93:G93"/>
    <mergeCell ref="B94:G94"/>
    <mergeCell ref="A96:I96"/>
    <mergeCell ref="A97:I97"/>
    <mergeCell ref="R65:U65"/>
    <mergeCell ref="A78:I78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158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190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42947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213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35" t="s">
        <v>88</v>
      </c>
      <c r="C16" s="46" t="s">
        <v>89</v>
      </c>
      <c r="D16" s="35" t="s">
        <v>164</v>
      </c>
      <c r="E16" s="113">
        <v>37.78</v>
      </c>
      <c r="F16" s="34">
        <f>SUM(E16*156/100)</f>
        <v>58.936800000000005</v>
      </c>
      <c r="G16" s="34">
        <v>230</v>
      </c>
      <c r="H16" s="114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141</v>
      </c>
      <c r="C17" s="46" t="s">
        <v>89</v>
      </c>
      <c r="D17" s="35" t="s">
        <v>165</v>
      </c>
      <c r="E17" s="113">
        <v>151.12</v>
      </c>
      <c r="F17" s="34">
        <f>SUM(E17*104/100)</f>
        <v>157.16479999999999</v>
      </c>
      <c r="G17" s="34">
        <v>230</v>
      </c>
      <c r="H17" s="114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142</v>
      </c>
      <c r="C18" s="46" t="s">
        <v>89</v>
      </c>
      <c r="D18" s="35" t="s">
        <v>166</v>
      </c>
      <c r="E18" s="113">
        <v>188.9</v>
      </c>
      <c r="F18" s="34">
        <f>SUM(E18*24/100)</f>
        <v>45.336000000000006</v>
      </c>
      <c r="G18" s="34">
        <v>661.67</v>
      </c>
      <c r="H18" s="114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96</v>
      </c>
      <c r="C19" s="46" t="s">
        <v>97</v>
      </c>
      <c r="D19" s="35" t="s">
        <v>98</v>
      </c>
      <c r="E19" s="113">
        <v>18</v>
      </c>
      <c r="F19" s="34">
        <f>SUM(E19/10)</f>
        <v>1.8</v>
      </c>
      <c r="G19" s="34">
        <v>223.17</v>
      </c>
      <c r="H19" s="114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99</v>
      </c>
      <c r="C20" s="46" t="s">
        <v>89</v>
      </c>
      <c r="D20" s="35" t="s">
        <v>29</v>
      </c>
      <c r="E20" s="113">
        <v>14.6</v>
      </c>
      <c r="F20" s="34">
        <f>SUM(E20*12/100)</f>
        <v>1.7519999999999998</v>
      </c>
      <c r="G20" s="34">
        <v>285.76</v>
      </c>
      <c r="H20" s="114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100</v>
      </c>
      <c r="C21" s="46" t="s">
        <v>89</v>
      </c>
      <c r="D21" s="35" t="s">
        <v>42</v>
      </c>
      <c r="E21" s="113">
        <v>2.7</v>
      </c>
      <c r="F21" s="34">
        <f>SUM(E21*2/100)</f>
        <v>5.4000000000000006E-2</v>
      </c>
      <c r="G21" s="34">
        <v>283.44</v>
      </c>
      <c r="H21" s="114">
        <f t="shared" si="0"/>
        <v>1.5305760000000002E-2</v>
      </c>
      <c r="I21" s="13">
        <v>0</v>
      </c>
      <c r="J21" s="23"/>
      <c r="K21" s="8"/>
      <c r="L21" s="8"/>
      <c r="M21" s="8"/>
    </row>
    <row r="22" spans="1:13" ht="15.75" hidden="1" customHeight="1">
      <c r="A22" s="30"/>
      <c r="B22" s="35" t="s">
        <v>101</v>
      </c>
      <c r="C22" s="46" t="s">
        <v>52</v>
      </c>
      <c r="D22" s="35" t="s">
        <v>98</v>
      </c>
      <c r="E22" s="113">
        <v>259.2</v>
      </c>
      <c r="F22" s="34">
        <f>SUM(E22/100)</f>
        <v>2.5920000000000001</v>
      </c>
      <c r="G22" s="34">
        <v>353.14</v>
      </c>
      <c r="H22" s="114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102</v>
      </c>
      <c r="C23" s="46" t="s">
        <v>52</v>
      </c>
      <c r="D23" s="35" t="s">
        <v>98</v>
      </c>
      <c r="E23" s="115">
        <v>24.15</v>
      </c>
      <c r="F23" s="34">
        <f>SUM(E23/100)</f>
        <v>0.24149999999999999</v>
      </c>
      <c r="G23" s="34">
        <v>58.08</v>
      </c>
      <c r="H23" s="114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103</v>
      </c>
      <c r="C24" s="46" t="s">
        <v>52</v>
      </c>
      <c r="D24" s="35" t="s">
        <v>104</v>
      </c>
      <c r="E24" s="113">
        <v>10</v>
      </c>
      <c r="F24" s="34">
        <f>E24/100</f>
        <v>0.1</v>
      </c>
      <c r="G24" s="34">
        <v>511.12</v>
      </c>
      <c r="H24" s="114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105</v>
      </c>
      <c r="C25" s="46" t="s">
        <v>52</v>
      </c>
      <c r="D25" s="35" t="s">
        <v>53</v>
      </c>
      <c r="E25" s="113">
        <v>9.5</v>
      </c>
      <c r="F25" s="34">
        <f>E25/100</f>
        <v>9.5000000000000001E-2</v>
      </c>
      <c r="G25" s="34">
        <v>283.44</v>
      </c>
      <c r="H25" s="114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106</v>
      </c>
      <c r="C26" s="46" t="s">
        <v>52</v>
      </c>
      <c r="D26" s="35" t="s">
        <v>98</v>
      </c>
      <c r="E26" s="113">
        <v>4.25</v>
      </c>
      <c r="F26" s="34">
        <f>SUM(E26/100)</f>
        <v>4.2500000000000003E-2</v>
      </c>
      <c r="G26" s="34">
        <v>683.05</v>
      </c>
      <c r="H26" s="114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64</v>
      </c>
      <c r="C27" s="46" t="s">
        <v>32</v>
      </c>
      <c r="D27" s="35" t="s">
        <v>191</v>
      </c>
      <c r="E27" s="116">
        <v>0.1</v>
      </c>
      <c r="F27" s="34">
        <f>SUM(E27*182)</f>
        <v>18.2</v>
      </c>
      <c r="G27" s="34">
        <v>264.85000000000002</v>
      </c>
      <c r="H27" s="114">
        <f t="shared" ref="H27:H28" si="1">SUM(F27*G27/1000)</f>
        <v>4.8202700000000007</v>
      </c>
      <c r="I27" s="13">
        <f>F27/12*G27</f>
        <v>401.68916666666667</v>
      </c>
      <c r="J27" s="24"/>
    </row>
    <row r="28" spans="1:13" ht="15.75" customHeight="1">
      <c r="A28" s="30">
        <v>6</v>
      </c>
      <c r="B28" s="89" t="s">
        <v>23</v>
      </c>
      <c r="C28" s="82" t="s">
        <v>24</v>
      </c>
      <c r="D28" s="89" t="s">
        <v>122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si="1"/>
        <v>91.728191999999993</v>
      </c>
      <c r="I28" s="13">
        <f>F28/12*G28</f>
        <v>7644.0159999999996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customHeight="1">
      <c r="A31" s="30">
        <v>7</v>
      </c>
      <c r="B31" s="81" t="s">
        <v>111</v>
      </c>
      <c r="C31" s="46" t="s">
        <v>92</v>
      </c>
      <c r="D31" s="35" t="s">
        <v>180</v>
      </c>
      <c r="E31" s="34">
        <v>331.9</v>
      </c>
      <c r="F31" s="34">
        <f>SUM(E31*52/1000)</f>
        <v>17.258800000000001</v>
      </c>
      <c r="G31" s="34">
        <v>204.44</v>
      </c>
      <c r="H31" s="114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customHeight="1">
      <c r="A32" s="30">
        <v>8</v>
      </c>
      <c r="B32" s="81" t="s">
        <v>110</v>
      </c>
      <c r="C32" s="46" t="s">
        <v>92</v>
      </c>
      <c r="D32" s="35" t="s">
        <v>181</v>
      </c>
      <c r="E32" s="34">
        <v>108.9</v>
      </c>
      <c r="F32" s="34">
        <f>SUM(E32*78/1000)</f>
        <v>8.4942000000000011</v>
      </c>
      <c r="G32" s="34">
        <v>339.21</v>
      </c>
      <c r="H32" s="114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92</v>
      </c>
      <c r="D33" s="35" t="s">
        <v>53</v>
      </c>
      <c r="E33" s="34">
        <v>331.9</v>
      </c>
      <c r="F33" s="34">
        <f>SUM(E33/1000)</f>
        <v>0.33189999999999997</v>
      </c>
      <c r="G33" s="34">
        <v>3961.23</v>
      </c>
      <c r="H33" s="114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customHeight="1">
      <c r="A34" s="30">
        <v>9</v>
      </c>
      <c r="B34" s="81" t="s">
        <v>143</v>
      </c>
      <c r="C34" s="46" t="s">
        <v>40</v>
      </c>
      <c r="D34" s="35" t="s">
        <v>63</v>
      </c>
      <c r="E34" s="34">
        <v>2</v>
      </c>
      <c r="F34" s="34">
        <v>3.1</v>
      </c>
      <c r="G34" s="34">
        <v>1707.63</v>
      </c>
      <c r="H34" s="114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customHeight="1">
      <c r="A35" s="30">
        <v>10</v>
      </c>
      <c r="B35" s="81" t="s">
        <v>109</v>
      </c>
      <c r="C35" s="46" t="s">
        <v>30</v>
      </c>
      <c r="D35" s="35" t="s">
        <v>63</v>
      </c>
      <c r="E35" s="117">
        <f>1/3</f>
        <v>0.33333333333333331</v>
      </c>
      <c r="F35" s="34">
        <f>155/3</f>
        <v>51.666666666666664</v>
      </c>
      <c r="G35" s="34">
        <v>74.349999999999994</v>
      </c>
      <c r="H35" s="114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65</v>
      </c>
      <c r="C36" s="46" t="s">
        <v>32</v>
      </c>
      <c r="D36" s="35" t="s">
        <v>67</v>
      </c>
      <c r="E36" s="113"/>
      <c r="F36" s="34">
        <v>2</v>
      </c>
      <c r="G36" s="34">
        <v>250.92</v>
      </c>
      <c r="H36" s="114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66</v>
      </c>
      <c r="C37" s="46" t="s">
        <v>31</v>
      </c>
      <c r="D37" s="35" t="s">
        <v>67</v>
      </c>
      <c r="E37" s="113"/>
      <c r="F37" s="34">
        <v>1</v>
      </c>
      <c r="G37" s="34">
        <v>1490.31</v>
      </c>
      <c r="H37" s="114">
        <f t="shared" si="2"/>
        <v>1.49031</v>
      </c>
      <c r="I37" s="13">
        <v>0</v>
      </c>
      <c r="J37" s="24"/>
    </row>
    <row r="38" spans="1:14" ht="15.75" hidden="1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hidden="1" customHeight="1">
      <c r="A39" s="30">
        <v>8</v>
      </c>
      <c r="B39" s="36" t="s">
        <v>25</v>
      </c>
      <c r="C39" s="46" t="s">
        <v>31</v>
      </c>
      <c r="D39" s="35"/>
      <c r="E39" s="113"/>
      <c r="F39" s="34">
        <v>4</v>
      </c>
      <c r="G39" s="34">
        <v>2003</v>
      </c>
      <c r="H39" s="114">
        <f t="shared" ref="H39:H45" si="4">SUM(F39*G39/1000)</f>
        <v>8.0120000000000005</v>
      </c>
      <c r="I39" s="13">
        <f t="shared" ref="I39:I45" si="5">F39/6*G39</f>
        <v>1335.3333333333333</v>
      </c>
      <c r="J39" s="24"/>
      <c r="L39" s="19"/>
      <c r="M39" s="20"/>
      <c r="N39" s="21"/>
    </row>
    <row r="40" spans="1:14" ht="15.75" hidden="1" customHeight="1">
      <c r="A40" s="30">
        <v>9</v>
      </c>
      <c r="B40" s="36" t="s">
        <v>192</v>
      </c>
      <c r="C40" s="55" t="s">
        <v>28</v>
      </c>
      <c r="D40" s="35" t="s">
        <v>90</v>
      </c>
      <c r="E40" s="113">
        <v>108.9</v>
      </c>
      <c r="F40" s="37">
        <f>E40*30/1000</f>
        <v>3.2669999999999999</v>
      </c>
      <c r="G40" s="34">
        <v>2757.78</v>
      </c>
      <c r="H40" s="114">
        <f t="shared" si="4"/>
        <v>9.0096672600000005</v>
      </c>
      <c r="I40" s="13">
        <f t="shared" si="5"/>
        <v>1501.61121</v>
      </c>
      <c r="J40" s="24"/>
      <c r="L40" s="19"/>
      <c r="M40" s="20"/>
      <c r="N40" s="21"/>
    </row>
    <row r="41" spans="1:14" ht="15.75" hidden="1" customHeight="1">
      <c r="A41" s="30">
        <v>10</v>
      </c>
      <c r="B41" s="35" t="s">
        <v>68</v>
      </c>
      <c r="C41" s="46" t="s">
        <v>28</v>
      </c>
      <c r="D41" s="35" t="s">
        <v>91</v>
      </c>
      <c r="E41" s="34">
        <v>108.9</v>
      </c>
      <c r="F41" s="37">
        <f>SUM(E41*155/1000)</f>
        <v>16.8795</v>
      </c>
      <c r="G41" s="34">
        <v>460.02</v>
      </c>
      <c r="H41" s="114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193</v>
      </c>
      <c r="C42" s="46" t="s">
        <v>194</v>
      </c>
      <c r="D42" s="35" t="s">
        <v>67</v>
      </c>
      <c r="E42" s="113"/>
      <c r="F42" s="37">
        <v>39</v>
      </c>
      <c r="G42" s="34">
        <v>314</v>
      </c>
      <c r="H42" s="114">
        <f t="shared" si="4"/>
        <v>12.246</v>
      </c>
      <c r="I42" s="13"/>
      <c r="J42" s="24"/>
      <c r="L42" s="19"/>
      <c r="M42" s="20"/>
      <c r="N42" s="21"/>
    </row>
    <row r="43" spans="1:14" ht="47.25" hidden="1" customHeight="1">
      <c r="A43" s="30">
        <v>11</v>
      </c>
      <c r="B43" s="35" t="s">
        <v>84</v>
      </c>
      <c r="C43" s="46" t="s">
        <v>92</v>
      </c>
      <c r="D43" s="35" t="s">
        <v>127</v>
      </c>
      <c r="E43" s="34">
        <v>40</v>
      </c>
      <c r="F43" s="37">
        <f>SUM(E43*35/1000)</f>
        <v>1.4</v>
      </c>
      <c r="G43" s="34">
        <v>7611.16</v>
      </c>
      <c r="H43" s="114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hidden="1" customHeight="1">
      <c r="A44" s="30">
        <v>12</v>
      </c>
      <c r="B44" s="35" t="s">
        <v>128</v>
      </c>
      <c r="C44" s="46" t="s">
        <v>92</v>
      </c>
      <c r="D44" s="35" t="s">
        <v>69</v>
      </c>
      <c r="E44" s="34">
        <v>108.9</v>
      </c>
      <c r="F44" s="37">
        <f>SUM(E44*45/1000)</f>
        <v>4.9005000000000001</v>
      </c>
      <c r="G44" s="34">
        <v>562.25</v>
      </c>
      <c r="H44" s="114">
        <f t="shared" si="4"/>
        <v>2.7553061250000002</v>
      </c>
      <c r="I44" s="13">
        <f t="shared" si="5"/>
        <v>459.21768750000001</v>
      </c>
      <c r="J44" s="24"/>
      <c r="L44" s="19"/>
      <c r="M44" s="20"/>
      <c r="N44" s="21"/>
    </row>
    <row r="45" spans="1:14" ht="15.75" hidden="1" customHeight="1">
      <c r="A45" s="30">
        <v>13</v>
      </c>
      <c r="B45" s="36" t="s">
        <v>70</v>
      </c>
      <c r="C45" s="55" t="s">
        <v>32</v>
      </c>
      <c r="D45" s="36"/>
      <c r="E45" s="116"/>
      <c r="F45" s="37">
        <v>0.5</v>
      </c>
      <c r="G45" s="37">
        <v>974.83</v>
      </c>
      <c r="H45" s="114">
        <f t="shared" si="4"/>
        <v>0.48741500000000004</v>
      </c>
      <c r="I45" s="13">
        <f t="shared" si="5"/>
        <v>81.235833333333332</v>
      </c>
      <c r="J45" s="24"/>
      <c r="L45" s="19"/>
      <c r="M45" s="20"/>
      <c r="N45" s="21"/>
    </row>
    <row r="46" spans="1:14" ht="15.75" hidden="1" customHeight="1">
      <c r="A46" s="154" t="s">
        <v>138</v>
      </c>
      <c r="B46" s="155"/>
      <c r="C46" s="155"/>
      <c r="D46" s="155"/>
      <c r="E46" s="155"/>
      <c r="F46" s="155"/>
      <c r="G46" s="155"/>
      <c r="H46" s="155"/>
      <c r="I46" s="156"/>
      <c r="J46" s="24"/>
      <c r="L46" s="19"/>
      <c r="M46" s="20"/>
      <c r="N46" s="21"/>
    </row>
    <row r="47" spans="1:14" ht="15.75" hidden="1" customHeight="1">
      <c r="A47" s="30"/>
      <c r="B47" s="35" t="s">
        <v>112</v>
      </c>
      <c r="C47" s="46" t="s">
        <v>92</v>
      </c>
      <c r="D47" s="35" t="s">
        <v>42</v>
      </c>
      <c r="E47" s="113">
        <v>838.88</v>
      </c>
      <c r="F47" s="34">
        <f>SUM(E47*2/1000)</f>
        <v>1.6777599999999999</v>
      </c>
      <c r="G47" s="39">
        <v>1062</v>
      </c>
      <c r="H47" s="114">
        <f t="shared" ref="H47:H56" si="6">SUM(F47*G47/1000)</f>
        <v>1.7817811199999998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35" t="s">
        <v>35</v>
      </c>
      <c r="C48" s="46" t="s">
        <v>92</v>
      </c>
      <c r="D48" s="35" t="s">
        <v>42</v>
      </c>
      <c r="E48" s="113">
        <v>26</v>
      </c>
      <c r="F48" s="34">
        <f>E48*2/1000</f>
        <v>5.1999999999999998E-2</v>
      </c>
      <c r="G48" s="39">
        <v>759.98</v>
      </c>
      <c r="H48" s="114">
        <f t="shared" si="6"/>
        <v>3.9518959999999999E-2</v>
      </c>
      <c r="I48" s="13">
        <v>0</v>
      </c>
      <c r="J48" s="24"/>
      <c r="L48" s="19"/>
      <c r="M48" s="20"/>
      <c r="N48" s="21"/>
    </row>
    <row r="49" spans="1:14" ht="15.75" hidden="1" customHeight="1">
      <c r="A49" s="30"/>
      <c r="B49" s="35" t="s">
        <v>36</v>
      </c>
      <c r="C49" s="46" t="s">
        <v>92</v>
      </c>
      <c r="D49" s="35" t="s">
        <v>42</v>
      </c>
      <c r="E49" s="113">
        <v>879</v>
      </c>
      <c r="F49" s="34">
        <f>SUM(E49*2/1000)</f>
        <v>1.758</v>
      </c>
      <c r="G49" s="39">
        <v>759.98</v>
      </c>
      <c r="H49" s="114">
        <f t="shared" si="6"/>
        <v>1.33604484</v>
      </c>
      <c r="I49" s="13">
        <v>0</v>
      </c>
      <c r="J49" s="24"/>
      <c r="L49" s="19"/>
      <c r="M49" s="20"/>
      <c r="N49" s="21"/>
    </row>
    <row r="50" spans="1:14" ht="15.75" hidden="1" customHeight="1">
      <c r="A50" s="30"/>
      <c r="B50" s="35" t="s">
        <v>37</v>
      </c>
      <c r="C50" s="46" t="s">
        <v>92</v>
      </c>
      <c r="D50" s="35" t="s">
        <v>42</v>
      </c>
      <c r="E50" s="113">
        <v>1490.75</v>
      </c>
      <c r="F50" s="34">
        <f>SUM(E50*2/1000)</f>
        <v>2.9815</v>
      </c>
      <c r="G50" s="39">
        <v>795.82</v>
      </c>
      <c r="H50" s="114">
        <f t="shared" si="6"/>
        <v>2.3727373300000005</v>
      </c>
      <c r="I50" s="13">
        <v>0</v>
      </c>
      <c r="J50" s="24"/>
      <c r="L50" s="19"/>
      <c r="M50" s="20"/>
      <c r="N50" s="21"/>
    </row>
    <row r="51" spans="1:14" ht="15.75" hidden="1" customHeight="1">
      <c r="A51" s="30"/>
      <c r="B51" s="35" t="s">
        <v>33</v>
      </c>
      <c r="C51" s="46" t="s">
        <v>34</v>
      </c>
      <c r="D51" s="35" t="s">
        <v>42</v>
      </c>
      <c r="E51" s="113">
        <v>61.04</v>
      </c>
      <c r="F51" s="34">
        <f>SUM(E51*2/100)</f>
        <v>1.2207999999999999</v>
      </c>
      <c r="G51" s="39">
        <v>95.49</v>
      </c>
      <c r="H51" s="114">
        <f t="shared" si="6"/>
        <v>0.11657419199999998</v>
      </c>
      <c r="I51" s="13">
        <v>0</v>
      </c>
      <c r="J51" s="24"/>
      <c r="L51" s="19"/>
      <c r="M51" s="20"/>
      <c r="N51" s="21"/>
    </row>
    <row r="52" spans="1:14" ht="15.75" hidden="1" customHeight="1">
      <c r="A52" s="30">
        <v>11</v>
      </c>
      <c r="B52" s="35" t="s">
        <v>56</v>
      </c>
      <c r="C52" s="46" t="s">
        <v>92</v>
      </c>
      <c r="D52" s="35" t="s">
        <v>150</v>
      </c>
      <c r="E52" s="113">
        <v>2135.1999999999998</v>
      </c>
      <c r="F52" s="34">
        <f>SUM(E52*5/1000)</f>
        <v>10.676</v>
      </c>
      <c r="G52" s="39">
        <v>1591.6</v>
      </c>
      <c r="H52" s="114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/>
      <c r="B53" s="35" t="s">
        <v>93</v>
      </c>
      <c r="C53" s="46" t="s">
        <v>92</v>
      </c>
      <c r="D53" s="35" t="s">
        <v>42</v>
      </c>
      <c r="E53" s="113">
        <v>2135.1999999999998</v>
      </c>
      <c r="F53" s="34">
        <f>SUM(E53*2/1000)</f>
        <v>4.2703999999999995</v>
      </c>
      <c r="G53" s="39">
        <v>1591.6</v>
      </c>
      <c r="H53" s="114">
        <f t="shared" si="6"/>
        <v>6.796768639999998</v>
      </c>
      <c r="I53" s="13">
        <v>0</v>
      </c>
      <c r="J53" s="24"/>
      <c r="L53" s="19"/>
      <c r="M53" s="20"/>
      <c r="N53" s="21"/>
    </row>
    <row r="54" spans="1:14" ht="31.5" hidden="1" customHeight="1">
      <c r="A54" s="30"/>
      <c r="B54" s="35" t="s">
        <v>94</v>
      </c>
      <c r="C54" s="46" t="s">
        <v>38</v>
      </c>
      <c r="D54" s="35" t="s">
        <v>42</v>
      </c>
      <c r="E54" s="113">
        <v>10</v>
      </c>
      <c r="F54" s="34">
        <f>SUM(E54*2/100)</f>
        <v>0.2</v>
      </c>
      <c r="G54" s="39">
        <v>3581.13</v>
      </c>
      <c r="H54" s="114">
        <f t="shared" si="6"/>
        <v>0.71622600000000014</v>
      </c>
      <c r="I54" s="13">
        <v>0</v>
      </c>
      <c r="J54" s="24"/>
      <c r="L54" s="19"/>
      <c r="M54" s="20"/>
      <c r="N54" s="21"/>
    </row>
    <row r="55" spans="1:14" ht="15.75" hidden="1" customHeight="1">
      <c r="A55" s="30"/>
      <c r="B55" s="35" t="s">
        <v>39</v>
      </c>
      <c r="C55" s="46" t="s">
        <v>40</v>
      </c>
      <c r="D55" s="35" t="s">
        <v>42</v>
      </c>
      <c r="E55" s="113">
        <v>1</v>
      </c>
      <c r="F55" s="34">
        <v>0.02</v>
      </c>
      <c r="G55" s="39">
        <v>7412.92</v>
      </c>
      <c r="H55" s="114">
        <f t="shared" si="6"/>
        <v>0.14825839999999998</v>
      </c>
      <c r="I55" s="13">
        <v>0</v>
      </c>
      <c r="J55" s="24"/>
      <c r="L55" s="19"/>
      <c r="M55" s="20"/>
      <c r="N55" s="21"/>
    </row>
    <row r="56" spans="1:14" ht="15.75" hidden="1" customHeight="1">
      <c r="A56" s="122">
        <v>12</v>
      </c>
      <c r="B56" s="118" t="s">
        <v>41</v>
      </c>
      <c r="C56" s="119" t="s">
        <v>113</v>
      </c>
      <c r="D56" s="118" t="s">
        <v>71</v>
      </c>
      <c r="E56" s="120">
        <v>80</v>
      </c>
      <c r="F56" s="121">
        <f>SUM(E56)*3</f>
        <v>240</v>
      </c>
      <c r="G56" s="123">
        <v>86.15</v>
      </c>
      <c r="H56" s="124">
        <f t="shared" si="6"/>
        <v>20.675999999999998</v>
      </c>
      <c r="I56" s="125">
        <f>E56*G56</f>
        <v>6892</v>
      </c>
      <c r="J56" s="24"/>
      <c r="L56" s="19"/>
      <c r="M56" s="20"/>
      <c r="N56" s="21"/>
    </row>
    <row r="57" spans="1:14" ht="15.75" customHeight="1">
      <c r="A57" s="146" t="s">
        <v>153</v>
      </c>
      <c r="B57" s="146"/>
      <c r="C57" s="146"/>
      <c r="D57" s="146"/>
      <c r="E57" s="146"/>
      <c r="F57" s="146"/>
      <c r="G57" s="146"/>
      <c r="H57" s="146"/>
      <c r="I57" s="146"/>
      <c r="J57" s="24"/>
      <c r="L57" s="19"/>
      <c r="M57" s="20"/>
      <c r="N57" s="21"/>
    </row>
    <row r="58" spans="1:14" ht="15.75" hidden="1" customHeight="1">
      <c r="A58" s="30"/>
      <c r="B58" s="69" t="s">
        <v>43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16</v>
      </c>
      <c r="B59" s="41" t="s">
        <v>114</v>
      </c>
      <c r="C59" s="42" t="s">
        <v>89</v>
      </c>
      <c r="D59" s="41" t="s">
        <v>115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195</v>
      </c>
      <c r="C60" s="42" t="s">
        <v>196</v>
      </c>
      <c r="D60" s="41" t="s">
        <v>67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69" t="s">
        <v>44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132</v>
      </c>
      <c r="C62" s="42" t="s">
        <v>89</v>
      </c>
      <c r="D62" s="41" t="s">
        <v>53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11</v>
      </c>
      <c r="B63" s="41" t="s">
        <v>197</v>
      </c>
      <c r="C63" s="42" t="s">
        <v>198</v>
      </c>
      <c r="D63" s="41" t="s">
        <v>199</v>
      </c>
      <c r="E63" s="17">
        <v>134.19999999999999</v>
      </c>
      <c r="F63" s="39">
        <f>E63*12</f>
        <v>1610.3999999999999</v>
      </c>
      <c r="G63" s="39">
        <v>2.8</v>
      </c>
      <c r="H63" s="39">
        <f>F63*G63/1000</f>
        <v>4.5091199999999994</v>
      </c>
      <c r="I63" s="13">
        <f>F63/12*G63</f>
        <v>375.75999999999993</v>
      </c>
    </row>
    <row r="64" spans="1:14" ht="15.75" customHeight="1">
      <c r="A64" s="126"/>
      <c r="B64" s="127" t="s">
        <v>45</v>
      </c>
      <c r="C64" s="128"/>
      <c r="D64" s="129"/>
      <c r="E64" s="86"/>
      <c r="F64" s="130"/>
      <c r="G64" s="130"/>
      <c r="H64" s="131" t="s">
        <v>122</v>
      </c>
      <c r="I64" s="132"/>
    </row>
    <row r="65" spans="1:22" ht="15.75" customHeight="1">
      <c r="A65" s="30">
        <v>12</v>
      </c>
      <c r="B65" s="58" t="s">
        <v>46</v>
      </c>
      <c r="C65" s="42" t="s">
        <v>113</v>
      </c>
      <c r="D65" s="41" t="s">
        <v>67</v>
      </c>
      <c r="E65" s="17">
        <v>5</v>
      </c>
      <c r="F65" s="34">
        <f>E65</f>
        <v>5</v>
      </c>
      <c r="G65" s="39">
        <v>291.68</v>
      </c>
      <c r="H65" s="79">
        <f t="shared" ref="H65:H72" si="7">SUM(F65*G65/1000)</f>
        <v>1.4584000000000001</v>
      </c>
      <c r="I65" s="13">
        <f>G65*6</f>
        <v>1750.08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47</v>
      </c>
      <c r="C66" s="42" t="s">
        <v>113</v>
      </c>
      <c r="D66" s="41" t="s">
        <v>67</v>
      </c>
      <c r="E66" s="17">
        <v>5</v>
      </c>
      <c r="F66" s="34">
        <f>E66</f>
        <v>5</v>
      </c>
      <c r="G66" s="39">
        <v>100.01</v>
      </c>
      <c r="H66" s="79">
        <f t="shared" si="7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48</v>
      </c>
      <c r="C67" s="44" t="s">
        <v>116</v>
      </c>
      <c r="D67" s="41" t="s">
        <v>53</v>
      </c>
      <c r="E67" s="113">
        <v>10348</v>
      </c>
      <c r="F67" s="40">
        <f>SUM(E67/100)</f>
        <v>103.48</v>
      </c>
      <c r="G67" s="39">
        <v>278.24</v>
      </c>
      <c r="H67" s="79">
        <f t="shared" si="7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49</v>
      </c>
      <c r="C68" s="42" t="s">
        <v>117</v>
      </c>
      <c r="D68" s="41" t="s">
        <v>53</v>
      </c>
      <c r="E68" s="113">
        <v>10348</v>
      </c>
      <c r="F68" s="39">
        <f>SUM(E68/1000)</f>
        <v>10.348000000000001</v>
      </c>
      <c r="G68" s="39">
        <v>216.68</v>
      </c>
      <c r="H68" s="79">
        <f t="shared" si="7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47"/>
      <c r="S68" s="147"/>
      <c r="T68" s="147"/>
      <c r="U68" s="147"/>
    </row>
    <row r="69" spans="1:22" ht="15.75" hidden="1" customHeight="1">
      <c r="A69" s="30"/>
      <c r="B69" s="58" t="s">
        <v>50</v>
      </c>
      <c r="C69" s="42" t="s">
        <v>77</v>
      </c>
      <c r="D69" s="41" t="s">
        <v>53</v>
      </c>
      <c r="E69" s="113">
        <v>1645</v>
      </c>
      <c r="F69" s="39">
        <f>SUM(E69/100)</f>
        <v>16.45</v>
      </c>
      <c r="G69" s="39">
        <v>2720.94</v>
      </c>
      <c r="H69" s="79">
        <f t="shared" si="7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118</v>
      </c>
      <c r="C70" s="42" t="s">
        <v>32</v>
      </c>
      <c r="D70" s="41"/>
      <c r="E70" s="113">
        <v>9</v>
      </c>
      <c r="F70" s="39">
        <f>E70</f>
        <v>9</v>
      </c>
      <c r="G70" s="39">
        <v>42.61</v>
      </c>
      <c r="H70" s="79">
        <f t="shared" si="7"/>
        <v>0.38349</v>
      </c>
      <c r="I70" s="13">
        <v>0</v>
      </c>
    </row>
    <row r="71" spans="1:22" ht="15.75" hidden="1" customHeight="1">
      <c r="A71" s="30"/>
      <c r="B71" s="53" t="s">
        <v>119</v>
      </c>
      <c r="C71" s="42" t="s">
        <v>32</v>
      </c>
      <c r="D71" s="41"/>
      <c r="E71" s="113">
        <v>9</v>
      </c>
      <c r="F71" s="39">
        <f t="shared" ref="F71:F72" si="8">E71</f>
        <v>9</v>
      </c>
      <c r="G71" s="39">
        <v>46.04</v>
      </c>
      <c r="H71" s="79">
        <f t="shared" si="7"/>
        <v>0.41436000000000001</v>
      </c>
      <c r="I71" s="13">
        <v>0</v>
      </c>
    </row>
    <row r="72" spans="1:22" ht="15.75" hidden="1" customHeight="1">
      <c r="A72" s="30"/>
      <c r="B72" s="41" t="s">
        <v>57</v>
      </c>
      <c r="C72" s="42" t="s">
        <v>58</v>
      </c>
      <c r="D72" s="41" t="s">
        <v>53</v>
      </c>
      <c r="E72" s="17">
        <v>2</v>
      </c>
      <c r="F72" s="39">
        <f t="shared" si="8"/>
        <v>2</v>
      </c>
      <c r="G72" s="39">
        <v>65.42</v>
      </c>
      <c r="H72" s="79">
        <f t="shared" si="7"/>
        <v>0.13084000000000001</v>
      </c>
      <c r="I72" s="13">
        <v>0</v>
      </c>
    </row>
    <row r="73" spans="1:22" ht="15.75" customHeight="1">
      <c r="A73" s="30"/>
      <c r="B73" s="66" t="s">
        <v>72</v>
      </c>
      <c r="C73" s="16"/>
      <c r="D73" s="14"/>
      <c r="E73" s="18"/>
      <c r="F73" s="13"/>
      <c r="G73" s="13"/>
      <c r="H73" s="80" t="s">
        <v>122</v>
      </c>
      <c r="I73" s="13"/>
    </row>
    <row r="74" spans="1:22" ht="15.75" hidden="1" customHeight="1">
      <c r="A74" s="30"/>
      <c r="B74" s="14" t="s">
        <v>200</v>
      </c>
      <c r="C74" s="16" t="s">
        <v>201</v>
      </c>
      <c r="D74" s="41" t="s">
        <v>67</v>
      </c>
      <c r="E74" s="18">
        <v>1</v>
      </c>
      <c r="F74" s="13">
        <f>E74</f>
        <v>1</v>
      </c>
      <c r="G74" s="13">
        <v>1029.1199999999999</v>
      </c>
      <c r="H74" s="80">
        <f t="shared" ref="H74:H75" si="9">SUM(F74*G74/1000)</f>
        <v>1.0291199999999998</v>
      </c>
      <c r="I74" s="13">
        <v>0</v>
      </c>
    </row>
    <row r="75" spans="1:22" ht="15.75" hidden="1" customHeight="1">
      <c r="A75" s="30"/>
      <c r="B75" s="14" t="s">
        <v>202</v>
      </c>
      <c r="C75" s="16" t="s">
        <v>203</v>
      </c>
      <c r="D75" s="133"/>
      <c r="E75" s="18">
        <v>1</v>
      </c>
      <c r="F75" s="13">
        <v>1</v>
      </c>
      <c r="G75" s="13">
        <v>735</v>
      </c>
      <c r="H75" s="80">
        <f t="shared" si="9"/>
        <v>0.73499999999999999</v>
      </c>
      <c r="I75" s="13">
        <v>0</v>
      </c>
    </row>
    <row r="76" spans="1:22" ht="15.75" hidden="1" customHeight="1">
      <c r="A76" s="30"/>
      <c r="B76" s="14" t="s">
        <v>73</v>
      </c>
      <c r="C76" s="16" t="s">
        <v>75</v>
      </c>
      <c r="D76" s="41" t="s">
        <v>67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204</v>
      </c>
      <c r="C77" s="16" t="s">
        <v>113</v>
      </c>
      <c r="D77" s="41" t="s">
        <v>67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205</v>
      </c>
      <c r="C78" s="57" t="s">
        <v>113</v>
      </c>
      <c r="D78" s="41" t="s">
        <v>67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13</v>
      </c>
      <c r="B79" s="56" t="s">
        <v>206</v>
      </c>
      <c r="C79" s="57" t="s">
        <v>113</v>
      </c>
      <c r="D79" s="14" t="s">
        <v>29</v>
      </c>
      <c r="E79" s="18">
        <v>2</v>
      </c>
      <c r="F79" s="84">
        <f>E79*12</f>
        <v>24</v>
      </c>
      <c r="G79" s="13">
        <v>53.42</v>
      </c>
      <c r="H79" s="80">
        <f t="shared" ref="H79:H80" si="10">SUM(F79*G79/1000)</f>
        <v>1.2820799999999999</v>
      </c>
      <c r="I79" s="13">
        <f>G79*2</f>
        <v>106.84</v>
      </c>
    </row>
    <row r="80" spans="1:22" ht="31.5" customHeight="1">
      <c r="A80" s="30">
        <v>14</v>
      </c>
      <c r="B80" s="56" t="s">
        <v>207</v>
      </c>
      <c r="C80" s="57" t="s">
        <v>113</v>
      </c>
      <c r="D80" s="14" t="s">
        <v>29</v>
      </c>
      <c r="E80" s="18">
        <v>1</v>
      </c>
      <c r="F80" s="84">
        <f>E80*12</f>
        <v>12</v>
      </c>
      <c r="G80" s="13">
        <v>1194</v>
      </c>
      <c r="H80" s="80">
        <f t="shared" si="10"/>
        <v>14.327999999999999</v>
      </c>
      <c r="I80" s="13">
        <f>G80</f>
        <v>1194</v>
      </c>
    </row>
    <row r="81" spans="1:9" ht="15.75" hidden="1" customHeight="1">
      <c r="A81" s="30"/>
      <c r="B81" s="98" t="s">
        <v>76</v>
      </c>
      <c r="C81" s="16"/>
      <c r="D81" s="14"/>
      <c r="E81" s="18"/>
      <c r="F81" s="13"/>
      <c r="G81" s="13" t="s">
        <v>122</v>
      </c>
      <c r="H81" s="80" t="s">
        <v>122</v>
      </c>
      <c r="I81" s="13"/>
    </row>
    <row r="82" spans="1:9" ht="15.75" hidden="1" customHeight="1">
      <c r="A82" s="30"/>
      <c r="B82" s="43" t="s">
        <v>123</v>
      </c>
      <c r="C82" s="44" t="s">
        <v>77</v>
      </c>
      <c r="D82" s="58"/>
      <c r="E82" s="134"/>
      <c r="F82" s="40">
        <v>0.6</v>
      </c>
      <c r="G82" s="40">
        <v>3619.09</v>
      </c>
      <c r="H82" s="79">
        <f t="shared" ref="H82" si="11">SUM(F82*G82/1000)</f>
        <v>2.1714540000000002</v>
      </c>
      <c r="I82" s="13">
        <v>0</v>
      </c>
    </row>
    <row r="83" spans="1:9" ht="15.75" hidden="1" customHeight="1">
      <c r="A83" s="30"/>
      <c r="B83" s="105" t="s">
        <v>95</v>
      </c>
      <c r="C83" s="98"/>
      <c r="D83" s="32"/>
      <c r="E83" s="33"/>
      <c r="F83" s="87"/>
      <c r="G83" s="87"/>
      <c r="H83" s="99">
        <f>SUM(H59:H82)</f>
        <v>118.31888176</v>
      </c>
      <c r="I83" s="87"/>
    </row>
    <row r="84" spans="1:9" ht="15.75" hidden="1" customHeight="1">
      <c r="A84" s="122">
        <v>17</v>
      </c>
      <c r="B84" s="136" t="s">
        <v>120</v>
      </c>
      <c r="C84" s="137"/>
      <c r="D84" s="138"/>
      <c r="E84" s="135"/>
      <c r="F84" s="139">
        <v>1</v>
      </c>
      <c r="G84" s="139">
        <v>7005.5</v>
      </c>
      <c r="H84" s="140">
        <f>G84*F84/1000</f>
        <v>7.0054999999999996</v>
      </c>
      <c r="I84" s="125">
        <f>G84</f>
        <v>7005.5</v>
      </c>
    </row>
    <row r="85" spans="1:9" ht="15.75" customHeight="1">
      <c r="A85" s="146" t="s">
        <v>154</v>
      </c>
      <c r="B85" s="146"/>
      <c r="C85" s="146"/>
      <c r="D85" s="146"/>
      <c r="E85" s="146"/>
      <c r="F85" s="146"/>
      <c r="G85" s="146"/>
      <c r="H85" s="146"/>
      <c r="I85" s="146"/>
    </row>
    <row r="86" spans="1:9" ht="15.75" customHeight="1">
      <c r="A86" s="30">
        <v>15</v>
      </c>
      <c r="B86" s="41" t="s">
        <v>121</v>
      </c>
      <c r="C86" s="42" t="s">
        <v>54</v>
      </c>
      <c r="D86" s="59" t="s">
        <v>55</v>
      </c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16</v>
      </c>
      <c r="B87" s="14" t="s">
        <v>78</v>
      </c>
      <c r="C87" s="16"/>
      <c r="D87" s="59" t="s">
        <v>55</v>
      </c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81</v>
      </c>
      <c r="C88" s="98"/>
      <c r="D88" s="97"/>
      <c r="E88" s="87"/>
      <c r="F88" s="87"/>
      <c r="G88" s="87"/>
      <c r="H88" s="99">
        <f>H87</f>
        <v>89.678399999999996</v>
      </c>
      <c r="I88" s="87">
        <f>I16+I17+I18+I20+I27+I28+I31+I32+I34+I35+I63+I65+I79+I80+I86+I87</f>
        <v>34838.958773444436</v>
      </c>
    </row>
    <row r="89" spans="1:9" ht="15.75" customHeight="1">
      <c r="A89" s="158" t="s">
        <v>60</v>
      </c>
      <c r="B89" s="159"/>
      <c r="C89" s="159"/>
      <c r="D89" s="159"/>
      <c r="E89" s="159"/>
      <c r="F89" s="159"/>
      <c r="G89" s="159"/>
      <c r="H89" s="159"/>
      <c r="I89" s="160"/>
    </row>
    <row r="90" spans="1:9" ht="15.75" customHeight="1">
      <c r="A90" s="30">
        <v>17</v>
      </c>
      <c r="B90" s="56" t="s">
        <v>82</v>
      </c>
      <c r="C90" s="57" t="s">
        <v>113</v>
      </c>
      <c r="D90" s="60"/>
      <c r="E90" s="39"/>
      <c r="F90" s="39">
        <v>1</v>
      </c>
      <c r="G90" s="39">
        <v>189.88</v>
      </c>
      <c r="H90" s="79">
        <f>G90*F90/1000</f>
        <v>0.18987999999999999</v>
      </c>
      <c r="I90" s="13">
        <f>G90</f>
        <v>189.88</v>
      </c>
    </row>
    <row r="91" spans="1:9" ht="15.75" customHeight="1">
      <c r="A91" s="30">
        <v>18</v>
      </c>
      <c r="B91" s="56" t="s">
        <v>124</v>
      </c>
      <c r="C91" s="61" t="s">
        <v>113</v>
      </c>
      <c r="D91" s="60"/>
      <c r="E91" s="39"/>
      <c r="F91" s="39">
        <v>120</v>
      </c>
      <c r="G91" s="39">
        <v>53.42</v>
      </c>
      <c r="H91" s="79">
        <f>G91*F91/1000</f>
        <v>6.410400000000001</v>
      </c>
      <c r="I91" s="13">
        <f>G91*40</f>
        <v>2136.8000000000002</v>
      </c>
    </row>
    <row r="92" spans="1:9" ht="31.5" customHeight="1">
      <c r="A92" s="30">
        <v>19</v>
      </c>
      <c r="B92" s="56" t="s">
        <v>208</v>
      </c>
      <c r="C92" s="57" t="s">
        <v>209</v>
      </c>
      <c r="D92" s="60"/>
      <c r="E92" s="39"/>
      <c r="F92" s="39">
        <f>8/10</f>
        <v>0.8</v>
      </c>
      <c r="G92" s="39">
        <v>2064.25</v>
      </c>
      <c r="H92" s="80">
        <f t="shared" ref="H92" si="12">G92*F92/1000</f>
        <v>1.6514000000000002</v>
      </c>
      <c r="I92" s="13">
        <f>G92*0.8</f>
        <v>1651.4</v>
      </c>
    </row>
    <row r="93" spans="1:9" ht="15.75" customHeight="1">
      <c r="A93" s="30"/>
      <c r="B93" s="50" t="s">
        <v>51</v>
      </c>
      <c r="C93" s="57"/>
      <c r="D93" s="52"/>
      <c r="E93" s="13"/>
      <c r="F93" s="13"/>
      <c r="G93" s="13"/>
      <c r="H93" s="80"/>
      <c r="I93" s="87">
        <f>SUM(I90:I92)</f>
        <v>3978.0800000000004</v>
      </c>
    </row>
    <row r="94" spans="1:9">
      <c r="A94" s="30"/>
      <c r="B94" s="52" t="s">
        <v>79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4"/>
      <c r="B95" s="51" t="s">
        <v>169</v>
      </c>
      <c r="C95" s="38"/>
      <c r="D95" s="38"/>
      <c r="E95" s="38"/>
      <c r="F95" s="38"/>
      <c r="G95" s="38"/>
      <c r="H95" s="38"/>
      <c r="I95" s="49">
        <f>I88+I93</f>
        <v>38817.038773444438</v>
      </c>
    </row>
    <row r="96" spans="1:9" ht="15.75" customHeight="1">
      <c r="A96" s="165" t="s">
        <v>210</v>
      </c>
      <c r="B96" s="165"/>
      <c r="C96" s="165"/>
      <c r="D96" s="165"/>
      <c r="E96" s="165"/>
      <c r="F96" s="165"/>
      <c r="G96" s="165"/>
      <c r="H96" s="165"/>
      <c r="I96" s="165"/>
    </row>
    <row r="97" spans="1:9" ht="15.75" customHeight="1">
      <c r="A97" s="68"/>
      <c r="B97" s="166" t="s">
        <v>211</v>
      </c>
      <c r="C97" s="166"/>
      <c r="D97" s="166"/>
      <c r="E97" s="166"/>
      <c r="F97" s="166"/>
      <c r="G97" s="166"/>
      <c r="H97" s="78"/>
      <c r="I97" s="3"/>
    </row>
    <row r="98" spans="1:9">
      <c r="A98" s="64"/>
      <c r="B98" s="163" t="s">
        <v>6</v>
      </c>
      <c r="C98" s="163"/>
      <c r="D98" s="163"/>
      <c r="E98" s="163"/>
      <c r="F98" s="163"/>
      <c r="G98" s="163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67" t="s">
        <v>7</v>
      </c>
      <c r="B100" s="167"/>
      <c r="C100" s="167"/>
      <c r="D100" s="167"/>
      <c r="E100" s="167"/>
      <c r="F100" s="167"/>
      <c r="G100" s="167"/>
      <c r="H100" s="167"/>
      <c r="I100" s="167"/>
    </row>
    <row r="101" spans="1:9" ht="15.75" customHeight="1">
      <c r="A101" s="167" t="s">
        <v>8</v>
      </c>
      <c r="B101" s="167"/>
      <c r="C101" s="167"/>
      <c r="D101" s="167"/>
      <c r="E101" s="167"/>
      <c r="F101" s="167"/>
      <c r="G101" s="167"/>
      <c r="H101" s="167"/>
      <c r="I101" s="167"/>
    </row>
    <row r="102" spans="1:9" ht="15.75">
      <c r="A102" s="144" t="s">
        <v>61</v>
      </c>
      <c r="B102" s="144"/>
      <c r="C102" s="144"/>
      <c r="D102" s="144"/>
      <c r="E102" s="144"/>
      <c r="F102" s="144"/>
      <c r="G102" s="144"/>
      <c r="H102" s="144"/>
      <c r="I102" s="144"/>
    </row>
    <row r="103" spans="1:9" ht="15.75">
      <c r="A103" s="11"/>
    </row>
    <row r="104" spans="1:9" ht="15.75" customHeight="1">
      <c r="A104" s="145" t="s">
        <v>9</v>
      </c>
      <c r="B104" s="145"/>
      <c r="C104" s="145"/>
      <c r="D104" s="145"/>
      <c r="E104" s="145"/>
      <c r="F104" s="145"/>
      <c r="G104" s="145"/>
      <c r="H104" s="145"/>
      <c r="I104" s="145"/>
    </row>
    <row r="105" spans="1:9" ht="15.75" customHeight="1">
      <c r="A105" s="4"/>
    </row>
    <row r="106" spans="1:9" ht="15.75" customHeight="1">
      <c r="B106" s="65" t="s">
        <v>10</v>
      </c>
      <c r="C106" s="162" t="s">
        <v>139</v>
      </c>
      <c r="D106" s="162"/>
      <c r="E106" s="162"/>
      <c r="F106" s="76"/>
      <c r="I106" s="63"/>
    </row>
    <row r="107" spans="1:9" ht="15.75" customHeight="1">
      <c r="A107" s="64"/>
      <c r="C107" s="163" t="s">
        <v>11</v>
      </c>
      <c r="D107" s="163"/>
      <c r="E107" s="163"/>
      <c r="F107" s="25"/>
      <c r="I107" s="62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65" t="s">
        <v>13</v>
      </c>
      <c r="C109" s="164"/>
      <c r="D109" s="164"/>
      <c r="E109" s="164"/>
      <c r="F109" s="77"/>
      <c r="I109" s="63"/>
    </row>
    <row r="110" spans="1:9">
      <c r="A110" s="64"/>
      <c r="C110" s="147" t="s">
        <v>11</v>
      </c>
      <c r="D110" s="147"/>
      <c r="E110" s="147"/>
      <c r="F110" s="64"/>
      <c r="I110" s="62" t="s">
        <v>12</v>
      </c>
    </row>
    <row r="111" spans="1:9" ht="15.75">
      <c r="A111" s="4" t="s">
        <v>14</v>
      </c>
    </row>
    <row r="112" spans="1:9">
      <c r="A112" s="161" t="s">
        <v>15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45" customHeight="1">
      <c r="A113" s="157" t="s">
        <v>16</v>
      </c>
      <c r="B113" s="157"/>
      <c r="C113" s="157"/>
      <c r="D113" s="157"/>
      <c r="E113" s="157"/>
      <c r="F113" s="157"/>
      <c r="G113" s="157"/>
      <c r="H113" s="157"/>
      <c r="I113" s="157"/>
    </row>
    <row r="114" spans="1:9" ht="30" customHeight="1">
      <c r="A114" s="157" t="s">
        <v>17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30" customHeight="1">
      <c r="A115" s="157" t="s">
        <v>21</v>
      </c>
      <c r="B115" s="157"/>
      <c r="C115" s="157"/>
      <c r="D115" s="157"/>
      <c r="E115" s="157"/>
      <c r="F115" s="157"/>
      <c r="G115" s="157"/>
      <c r="H115" s="157"/>
      <c r="I115" s="157"/>
    </row>
    <row r="116" spans="1:9" ht="15" customHeight="1">
      <c r="A116" s="157" t="s">
        <v>20</v>
      </c>
      <c r="B116" s="157"/>
      <c r="C116" s="157"/>
      <c r="D116" s="157"/>
      <c r="E116" s="157"/>
      <c r="F116" s="157"/>
      <c r="G116" s="157"/>
      <c r="H116" s="157"/>
      <c r="I116" s="157"/>
    </row>
  </sheetData>
  <autoFilter ref="I12:I62"/>
  <mergeCells count="29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9:I29"/>
    <mergeCell ref="A46:I46"/>
    <mergeCell ref="A57:I57"/>
    <mergeCell ref="A89:I89"/>
    <mergeCell ref="A96:I96"/>
    <mergeCell ref="B97:G97"/>
    <mergeCell ref="B98:G98"/>
    <mergeCell ref="A100:I100"/>
    <mergeCell ref="A101:I101"/>
    <mergeCell ref="R68:U68"/>
    <mergeCell ref="A85:I8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159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212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42978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213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35" t="s">
        <v>88</v>
      </c>
      <c r="C16" s="46" t="s">
        <v>89</v>
      </c>
      <c r="D16" s="35" t="s">
        <v>164</v>
      </c>
      <c r="E16" s="113">
        <v>37.78</v>
      </c>
      <c r="F16" s="34">
        <f>SUM(E16*156/100)</f>
        <v>58.936800000000005</v>
      </c>
      <c r="G16" s="34">
        <v>230</v>
      </c>
      <c r="H16" s="114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141</v>
      </c>
      <c r="C17" s="46" t="s">
        <v>89</v>
      </c>
      <c r="D17" s="35" t="s">
        <v>165</v>
      </c>
      <c r="E17" s="113">
        <v>151.12</v>
      </c>
      <c r="F17" s="34">
        <f>SUM(E17*104/100)</f>
        <v>157.16479999999999</v>
      </c>
      <c r="G17" s="34">
        <v>230</v>
      </c>
      <c r="H17" s="114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142</v>
      </c>
      <c r="C18" s="46" t="s">
        <v>89</v>
      </c>
      <c r="D18" s="35" t="s">
        <v>166</v>
      </c>
      <c r="E18" s="113">
        <v>188.9</v>
      </c>
      <c r="F18" s="34">
        <f>SUM(E18*24/100)</f>
        <v>45.336000000000006</v>
      </c>
      <c r="G18" s="34">
        <v>661.67</v>
      </c>
      <c r="H18" s="114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96</v>
      </c>
      <c r="C19" s="46" t="s">
        <v>97</v>
      </c>
      <c r="D19" s="35" t="s">
        <v>98</v>
      </c>
      <c r="E19" s="113">
        <v>18</v>
      </c>
      <c r="F19" s="34">
        <f>SUM(E19/10)</f>
        <v>1.8</v>
      </c>
      <c r="G19" s="34">
        <v>223.17</v>
      </c>
      <c r="H19" s="114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99</v>
      </c>
      <c r="C20" s="46" t="s">
        <v>89</v>
      </c>
      <c r="D20" s="35" t="s">
        <v>29</v>
      </c>
      <c r="E20" s="113">
        <v>14.6</v>
      </c>
      <c r="F20" s="34">
        <f>SUM(E20*12/100)</f>
        <v>1.7519999999999998</v>
      </c>
      <c r="G20" s="34">
        <v>285.76</v>
      </c>
      <c r="H20" s="114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100</v>
      </c>
      <c r="C21" s="46" t="s">
        <v>89</v>
      </c>
      <c r="D21" s="35" t="s">
        <v>42</v>
      </c>
      <c r="E21" s="113">
        <v>2.7</v>
      </c>
      <c r="F21" s="34">
        <f>SUM(E21*2/100)</f>
        <v>5.4000000000000006E-2</v>
      </c>
      <c r="G21" s="34">
        <v>283.44</v>
      </c>
      <c r="H21" s="114">
        <f t="shared" si="0"/>
        <v>1.5305760000000002E-2</v>
      </c>
      <c r="I21" s="13">
        <v>0</v>
      </c>
      <c r="J21" s="23"/>
      <c r="K21" s="8"/>
      <c r="L21" s="8"/>
      <c r="M21" s="8"/>
    </row>
    <row r="22" spans="1:13" ht="15.75" hidden="1" customHeight="1">
      <c r="A22" s="30"/>
      <c r="B22" s="35" t="s">
        <v>101</v>
      </c>
      <c r="C22" s="46" t="s">
        <v>52</v>
      </c>
      <c r="D22" s="35" t="s">
        <v>98</v>
      </c>
      <c r="E22" s="113">
        <v>259.2</v>
      </c>
      <c r="F22" s="34">
        <f>SUM(E22/100)</f>
        <v>2.5920000000000001</v>
      </c>
      <c r="G22" s="34">
        <v>353.14</v>
      </c>
      <c r="H22" s="114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102</v>
      </c>
      <c r="C23" s="46" t="s">
        <v>52</v>
      </c>
      <c r="D23" s="35" t="s">
        <v>98</v>
      </c>
      <c r="E23" s="115">
        <v>24.15</v>
      </c>
      <c r="F23" s="34">
        <f>SUM(E23/100)</f>
        <v>0.24149999999999999</v>
      </c>
      <c r="G23" s="34">
        <v>58.08</v>
      </c>
      <c r="H23" s="114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103</v>
      </c>
      <c r="C24" s="46" t="s">
        <v>52</v>
      </c>
      <c r="D24" s="35" t="s">
        <v>104</v>
      </c>
      <c r="E24" s="113">
        <v>10</v>
      </c>
      <c r="F24" s="34">
        <f>E24/100</f>
        <v>0.1</v>
      </c>
      <c r="G24" s="34">
        <v>511.12</v>
      </c>
      <c r="H24" s="114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105</v>
      </c>
      <c r="C25" s="46" t="s">
        <v>52</v>
      </c>
      <c r="D25" s="35" t="s">
        <v>53</v>
      </c>
      <c r="E25" s="113">
        <v>9.5</v>
      </c>
      <c r="F25" s="34">
        <f>E25/100</f>
        <v>9.5000000000000001E-2</v>
      </c>
      <c r="G25" s="34">
        <v>283.44</v>
      </c>
      <c r="H25" s="114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106</v>
      </c>
      <c r="C26" s="46" t="s">
        <v>52</v>
      </c>
      <c r="D26" s="35" t="s">
        <v>98</v>
      </c>
      <c r="E26" s="113">
        <v>4.25</v>
      </c>
      <c r="F26" s="34">
        <f>SUM(E26/100)</f>
        <v>4.2500000000000003E-2</v>
      </c>
      <c r="G26" s="34">
        <v>683.05</v>
      </c>
      <c r="H26" s="114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64</v>
      </c>
      <c r="C27" s="46" t="s">
        <v>32</v>
      </c>
      <c r="D27" s="35" t="s">
        <v>191</v>
      </c>
      <c r="E27" s="116">
        <v>0.1</v>
      </c>
      <c r="F27" s="34">
        <f>SUM(E27*182)</f>
        <v>18.2</v>
      </c>
      <c r="G27" s="34">
        <v>264.85000000000002</v>
      </c>
      <c r="H27" s="114">
        <f t="shared" ref="H27:H28" si="1">SUM(F27*G27/1000)</f>
        <v>4.8202700000000007</v>
      </c>
      <c r="I27" s="13">
        <f>F27/12*G27</f>
        <v>401.68916666666667</v>
      </c>
      <c r="J27" s="24"/>
    </row>
    <row r="28" spans="1:13" ht="15.75" customHeight="1">
      <c r="A28" s="30">
        <v>6</v>
      </c>
      <c r="B28" s="89" t="s">
        <v>23</v>
      </c>
      <c r="C28" s="82" t="s">
        <v>24</v>
      </c>
      <c r="D28" s="89" t="s">
        <v>122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si="1"/>
        <v>91.728191999999993</v>
      </c>
      <c r="I28" s="13">
        <f>F28/12*G28</f>
        <v>7644.0159999999996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customHeight="1">
      <c r="A31" s="30">
        <v>7</v>
      </c>
      <c r="B31" s="81" t="s">
        <v>111</v>
      </c>
      <c r="C31" s="46" t="s">
        <v>92</v>
      </c>
      <c r="D31" s="35" t="s">
        <v>180</v>
      </c>
      <c r="E31" s="34">
        <v>331.9</v>
      </c>
      <c r="F31" s="34">
        <f>SUM(E31*52/1000)</f>
        <v>17.258800000000001</v>
      </c>
      <c r="G31" s="34">
        <v>204.44</v>
      </c>
      <c r="H31" s="114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customHeight="1">
      <c r="A32" s="30">
        <v>8</v>
      </c>
      <c r="B32" s="81" t="s">
        <v>110</v>
      </c>
      <c r="C32" s="46" t="s">
        <v>92</v>
      </c>
      <c r="D32" s="35" t="s">
        <v>181</v>
      </c>
      <c r="E32" s="34">
        <v>108.9</v>
      </c>
      <c r="F32" s="34">
        <f>SUM(E32*78/1000)</f>
        <v>8.4942000000000011</v>
      </c>
      <c r="G32" s="34">
        <v>339.21</v>
      </c>
      <c r="H32" s="114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92</v>
      </c>
      <c r="D33" s="35" t="s">
        <v>53</v>
      </c>
      <c r="E33" s="34">
        <v>331.9</v>
      </c>
      <c r="F33" s="34">
        <f>SUM(E33/1000)</f>
        <v>0.33189999999999997</v>
      </c>
      <c r="G33" s="34">
        <v>3961.23</v>
      </c>
      <c r="H33" s="114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customHeight="1">
      <c r="A34" s="30">
        <v>9</v>
      </c>
      <c r="B34" s="81" t="s">
        <v>143</v>
      </c>
      <c r="C34" s="46" t="s">
        <v>40</v>
      </c>
      <c r="D34" s="35" t="s">
        <v>63</v>
      </c>
      <c r="E34" s="34">
        <v>2</v>
      </c>
      <c r="F34" s="34">
        <v>3.1</v>
      </c>
      <c r="G34" s="34">
        <v>1707.63</v>
      </c>
      <c r="H34" s="114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customHeight="1">
      <c r="A35" s="30">
        <v>10</v>
      </c>
      <c r="B35" s="81" t="s">
        <v>109</v>
      </c>
      <c r="C35" s="46" t="s">
        <v>30</v>
      </c>
      <c r="D35" s="35" t="s">
        <v>63</v>
      </c>
      <c r="E35" s="117">
        <f>1/3</f>
        <v>0.33333333333333331</v>
      </c>
      <c r="F35" s="34">
        <f>155/3</f>
        <v>51.666666666666664</v>
      </c>
      <c r="G35" s="34">
        <v>74.349999999999994</v>
      </c>
      <c r="H35" s="114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65</v>
      </c>
      <c r="C36" s="46" t="s">
        <v>32</v>
      </c>
      <c r="D36" s="35" t="s">
        <v>67</v>
      </c>
      <c r="E36" s="113"/>
      <c r="F36" s="34">
        <v>2</v>
      </c>
      <c r="G36" s="34">
        <v>250.92</v>
      </c>
      <c r="H36" s="114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66</v>
      </c>
      <c r="C37" s="46" t="s">
        <v>31</v>
      </c>
      <c r="D37" s="35" t="s">
        <v>67</v>
      </c>
      <c r="E37" s="113"/>
      <c r="F37" s="34">
        <v>1</v>
      </c>
      <c r="G37" s="34">
        <v>1490.31</v>
      </c>
      <c r="H37" s="114">
        <f t="shared" si="2"/>
        <v>1.49031</v>
      </c>
      <c r="I37" s="13">
        <v>0</v>
      </c>
      <c r="J37" s="24"/>
    </row>
    <row r="38" spans="1:14" ht="15.75" hidden="1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hidden="1" customHeight="1">
      <c r="A39" s="30">
        <v>8</v>
      </c>
      <c r="B39" s="36" t="s">
        <v>25</v>
      </c>
      <c r="C39" s="46" t="s">
        <v>31</v>
      </c>
      <c r="D39" s="35"/>
      <c r="E39" s="113"/>
      <c r="F39" s="34">
        <v>4</v>
      </c>
      <c r="G39" s="34">
        <v>2003</v>
      </c>
      <c r="H39" s="114">
        <f t="shared" ref="H39:H45" si="4">SUM(F39*G39/1000)</f>
        <v>8.0120000000000005</v>
      </c>
      <c r="I39" s="13">
        <f t="shared" ref="I39:I45" si="5">F39/6*G39</f>
        <v>1335.3333333333333</v>
      </c>
      <c r="J39" s="24"/>
      <c r="L39" s="19"/>
      <c r="M39" s="20"/>
      <c r="N39" s="21"/>
    </row>
    <row r="40" spans="1:14" ht="15.75" hidden="1" customHeight="1">
      <c r="A40" s="30">
        <v>9</v>
      </c>
      <c r="B40" s="36" t="s">
        <v>192</v>
      </c>
      <c r="C40" s="55" t="s">
        <v>28</v>
      </c>
      <c r="D40" s="35" t="s">
        <v>90</v>
      </c>
      <c r="E40" s="113">
        <v>108.9</v>
      </c>
      <c r="F40" s="37">
        <f>E40*30/1000</f>
        <v>3.2669999999999999</v>
      </c>
      <c r="G40" s="34">
        <v>2757.78</v>
      </c>
      <c r="H40" s="114">
        <f t="shared" si="4"/>
        <v>9.0096672600000005</v>
      </c>
      <c r="I40" s="13">
        <f t="shared" si="5"/>
        <v>1501.61121</v>
      </c>
      <c r="J40" s="24"/>
      <c r="L40" s="19"/>
      <c r="M40" s="20"/>
      <c r="N40" s="21"/>
    </row>
    <row r="41" spans="1:14" ht="15.75" hidden="1" customHeight="1">
      <c r="A41" s="30">
        <v>10</v>
      </c>
      <c r="B41" s="35" t="s">
        <v>68</v>
      </c>
      <c r="C41" s="46" t="s">
        <v>28</v>
      </c>
      <c r="D41" s="35" t="s">
        <v>91</v>
      </c>
      <c r="E41" s="34">
        <v>108.9</v>
      </c>
      <c r="F41" s="37">
        <f>SUM(E41*155/1000)</f>
        <v>16.8795</v>
      </c>
      <c r="G41" s="34">
        <v>460.02</v>
      </c>
      <c r="H41" s="114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193</v>
      </c>
      <c r="C42" s="46" t="s">
        <v>194</v>
      </c>
      <c r="D42" s="35" t="s">
        <v>67</v>
      </c>
      <c r="E42" s="113"/>
      <c r="F42" s="37">
        <v>39</v>
      </c>
      <c r="G42" s="34">
        <v>314</v>
      </c>
      <c r="H42" s="114">
        <f t="shared" si="4"/>
        <v>12.246</v>
      </c>
      <c r="I42" s="13"/>
      <c r="J42" s="24"/>
      <c r="L42" s="19"/>
      <c r="M42" s="20"/>
      <c r="N42" s="21"/>
    </row>
    <row r="43" spans="1:14" ht="47.25" hidden="1" customHeight="1">
      <c r="A43" s="30">
        <v>11</v>
      </c>
      <c r="B43" s="35" t="s">
        <v>84</v>
      </c>
      <c r="C43" s="46" t="s">
        <v>92</v>
      </c>
      <c r="D43" s="35" t="s">
        <v>127</v>
      </c>
      <c r="E43" s="34">
        <v>40</v>
      </c>
      <c r="F43" s="37">
        <f>SUM(E43*35/1000)</f>
        <v>1.4</v>
      </c>
      <c r="G43" s="34">
        <v>7611.16</v>
      </c>
      <c r="H43" s="114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hidden="1" customHeight="1">
      <c r="A44" s="30">
        <v>12</v>
      </c>
      <c r="B44" s="35" t="s">
        <v>128</v>
      </c>
      <c r="C44" s="46" t="s">
        <v>92</v>
      </c>
      <c r="D44" s="35" t="s">
        <v>69</v>
      </c>
      <c r="E44" s="34">
        <v>108.9</v>
      </c>
      <c r="F44" s="37">
        <f>SUM(E44*45/1000)</f>
        <v>4.9005000000000001</v>
      </c>
      <c r="G44" s="34">
        <v>562.25</v>
      </c>
      <c r="H44" s="114">
        <f t="shared" si="4"/>
        <v>2.7553061250000002</v>
      </c>
      <c r="I44" s="13">
        <f t="shared" si="5"/>
        <v>459.21768750000001</v>
      </c>
      <c r="J44" s="24"/>
      <c r="L44" s="19"/>
      <c r="M44" s="20"/>
      <c r="N44" s="21"/>
    </row>
    <row r="45" spans="1:14" ht="15.75" hidden="1" customHeight="1">
      <c r="A45" s="30">
        <v>13</v>
      </c>
      <c r="B45" s="36" t="s">
        <v>70</v>
      </c>
      <c r="C45" s="55" t="s">
        <v>32</v>
      </c>
      <c r="D45" s="36"/>
      <c r="E45" s="116"/>
      <c r="F45" s="37">
        <v>0.5</v>
      </c>
      <c r="G45" s="37">
        <v>974.83</v>
      </c>
      <c r="H45" s="114">
        <f t="shared" si="4"/>
        <v>0.48741500000000004</v>
      </c>
      <c r="I45" s="13">
        <f t="shared" si="5"/>
        <v>81.235833333333332</v>
      </c>
      <c r="J45" s="24"/>
      <c r="L45" s="19"/>
      <c r="M45" s="20"/>
      <c r="N45" s="21"/>
    </row>
    <row r="46" spans="1:14" ht="15.75" hidden="1" customHeight="1">
      <c r="A46" s="154" t="s">
        <v>138</v>
      </c>
      <c r="B46" s="155"/>
      <c r="C46" s="155"/>
      <c r="D46" s="155"/>
      <c r="E46" s="155"/>
      <c r="F46" s="155"/>
      <c r="G46" s="155"/>
      <c r="H46" s="155"/>
      <c r="I46" s="156"/>
      <c r="J46" s="24"/>
      <c r="L46" s="19"/>
      <c r="M46" s="20"/>
      <c r="N46" s="21"/>
    </row>
    <row r="47" spans="1:14" ht="15.75" hidden="1" customHeight="1">
      <c r="A47" s="30"/>
      <c r="B47" s="35" t="s">
        <v>112</v>
      </c>
      <c r="C47" s="46" t="s">
        <v>92</v>
      </c>
      <c r="D47" s="35" t="s">
        <v>42</v>
      </c>
      <c r="E47" s="113">
        <v>838.88</v>
      </c>
      <c r="F47" s="34">
        <f>SUM(E47*2/1000)</f>
        <v>1.6777599999999999</v>
      </c>
      <c r="G47" s="39">
        <v>1062</v>
      </c>
      <c r="H47" s="114">
        <f t="shared" ref="H47:H56" si="6">SUM(F47*G47/1000)</f>
        <v>1.7817811199999998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35" t="s">
        <v>35</v>
      </c>
      <c r="C48" s="46" t="s">
        <v>92</v>
      </c>
      <c r="D48" s="35" t="s">
        <v>42</v>
      </c>
      <c r="E48" s="113">
        <v>26</v>
      </c>
      <c r="F48" s="34">
        <f>E48*2/1000</f>
        <v>5.1999999999999998E-2</v>
      </c>
      <c r="G48" s="39">
        <v>759.98</v>
      </c>
      <c r="H48" s="114">
        <f t="shared" si="6"/>
        <v>3.9518959999999999E-2</v>
      </c>
      <c r="I48" s="13">
        <v>0</v>
      </c>
      <c r="J48" s="24"/>
      <c r="L48" s="19"/>
      <c r="M48" s="20"/>
      <c r="N48" s="21"/>
    </row>
    <row r="49" spans="1:14" ht="15.75" hidden="1" customHeight="1">
      <c r="A49" s="30"/>
      <c r="B49" s="35" t="s">
        <v>36</v>
      </c>
      <c r="C49" s="46" t="s">
        <v>92</v>
      </c>
      <c r="D49" s="35" t="s">
        <v>42</v>
      </c>
      <c r="E49" s="113">
        <v>879</v>
      </c>
      <c r="F49" s="34">
        <f>SUM(E49*2/1000)</f>
        <v>1.758</v>
      </c>
      <c r="G49" s="39">
        <v>759.98</v>
      </c>
      <c r="H49" s="114">
        <f t="shared" si="6"/>
        <v>1.33604484</v>
      </c>
      <c r="I49" s="13">
        <v>0</v>
      </c>
      <c r="J49" s="24"/>
      <c r="L49" s="19"/>
      <c r="M49" s="20"/>
      <c r="N49" s="21"/>
    </row>
    <row r="50" spans="1:14" ht="15.75" hidden="1" customHeight="1">
      <c r="A50" s="30"/>
      <c r="B50" s="35" t="s">
        <v>37</v>
      </c>
      <c r="C50" s="46" t="s">
        <v>92</v>
      </c>
      <c r="D50" s="35" t="s">
        <v>42</v>
      </c>
      <c r="E50" s="113">
        <v>1490.75</v>
      </c>
      <c r="F50" s="34">
        <f>SUM(E50*2/1000)</f>
        <v>2.9815</v>
      </c>
      <c r="G50" s="39">
        <v>795.82</v>
      </c>
      <c r="H50" s="114">
        <f t="shared" si="6"/>
        <v>2.3727373300000005</v>
      </c>
      <c r="I50" s="13">
        <v>0</v>
      </c>
      <c r="J50" s="24"/>
      <c r="L50" s="19"/>
      <c r="M50" s="20"/>
      <c r="N50" s="21"/>
    </row>
    <row r="51" spans="1:14" ht="15.75" hidden="1" customHeight="1">
      <c r="A51" s="30"/>
      <c r="B51" s="35" t="s">
        <v>33</v>
      </c>
      <c r="C51" s="46" t="s">
        <v>34</v>
      </c>
      <c r="D51" s="35" t="s">
        <v>42</v>
      </c>
      <c r="E51" s="113">
        <v>61.04</v>
      </c>
      <c r="F51" s="34">
        <f>SUM(E51*2/100)</f>
        <v>1.2207999999999999</v>
      </c>
      <c r="G51" s="39">
        <v>95.49</v>
      </c>
      <c r="H51" s="114">
        <f t="shared" si="6"/>
        <v>0.11657419199999998</v>
      </c>
      <c r="I51" s="13">
        <v>0</v>
      </c>
      <c r="J51" s="24"/>
      <c r="L51" s="19"/>
      <c r="M51" s="20"/>
      <c r="N51" s="21"/>
    </row>
    <row r="52" spans="1:14" ht="15.75" hidden="1" customHeight="1">
      <c r="A52" s="30">
        <v>11</v>
      </c>
      <c r="B52" s="35" t="s">
        <v>56</v>
      </c>
      <c r="C52" s="46" t="s">
        <v>92</v>
      </c>
      <c r="D52" s="35" t="s">
        <v>150</v>
      </c>
      <c r="E52" s="113">
        <v>2135.1999999999998</v>
      </c>
      <c r="F52" s="34">
        <f>SUM(E52*5/1000)</f>
        <v>10.676</v>
      </c>
      <c r="G52" s="39">
        <v>1591.6</v>
      </c>
      <c r="H52" s="114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/>
      <c r="B53" s="35" t="s">
        <v>93</v>
      </c>
      <c r="C53" s="46" t="s">
        <v>92</v>
      </c>
      <c r="D53" s="35" t="s">
        <v>42</v>
      </c>
      <c r="E53" s="113">
        <v>2135.1999999999998</v>
      </c>
      <c r="F53" s="34">
        <f>SUM(E53*2/1000)</f>
        <v>4.2703999999999995</v>
      </c>
      <c r="G53" s="39">
        <v>1591.6</v>
      </c>
      <c r="H53" s="114">
        <f t="shared" si="6"/>
        <v>6.796768639999998</v>
      </c>
      <c r="I53" s="13">
        <v>0</v>
      </c>
      <c r="J53" s="24"/>
      <c r="L53" s="19"/>
      <c r="M53" s="20"/>
      <c r="N53" s="21"/>
    </row>
    <row r="54" spans="1:14" ht="31.5" hidden="1" customHeight="1">
      <c r="A54" s="30"/>
      <c r="B54" s="35" t="s">
        <v>94</v>
      </c>
      <c r="C54" s="46" t="s">
        <v>38</v>
      </c>
      <c r="D54" s="35" t="s">
        <v>42</v>
      </c>
      <c r="E54" s="113">
        <v>10</v>
      </c>
      <c r="F54" s="34">
        <f>SUM(E54*2/100)</f>
        <v>0.2</v>
      </c>
      <c r="G54" s="39">
        <v>3581.13</v>
      </c>
      <c r="H54" s="114">
        <f t="shared" si="6"/>
        <v>0.71622600000000014</v>
      </c>
      <c r="I54" s="13">
        <v>0</v>
      </c>
      <c r="J54" s="24"/>
      <c r="L54" s="19"/>
      <c r="M54" s="20"/>
      <c r="N54" s="21"/>
    </row>
    <row r="55" spans="1:14" ht="15.75" hidden="1" customHeight="1">
      <c r="A55" s="30"/>
      <c r="B55" s="35" t="s">
        <v>39</v>
      </c>
      <c r="C55" s="46" t="s">
        <v>40</v>
      </c>
      <c r="D55" s="35" t="s">
        <v>42</v>
      </c>
      <c r="E55" s="113">
        <v>1</v>
      </c>
      <c r="F55" s="34">
        <v>0.02</v>
      </c>
      <c r="G55" s="39">
        <v>7412.92</v>
      </c>
      <c r="H55" s="114">
        <f t="shared" si="6"/>
        <v>0.14825839999999998</v>
      </c>
      <c r="I55" s="13">
        <v>0</v>
      </c>
      <c r="J55" s="24"/>
      <c r="L55" s="19"/>
      <c r="M55" s="20"/>
      <c r="N55" s="21"/>
    </row>
    <row r="56" spans="1:14" ht="15.75" hidden="1" customHeight="1">
      <c r="A56" s="122">
        <v>12</v>
      </c>
      <c r="B56" s="118" t="s">
        <v>41</v>
      </c>
      <c r="C56" s="119" t="s">
        <v>113</v>
      </c>
      <c r="D56" s="118" t="s">
        <v>71</v>
      </c>
      <c r="E56" s="120">
        <v>80</v>
      </c>
      <c r="F56" s="121">
        <f>SUM(E56)*3</f>
        <v>240</v>
      </c>
      <c r="G56" s="123">
        <v>86.15</v>
      </c>
      <c r="H56" s="124">
        <f t="shared" si="6"/>
        <v>20.675999999999998</v>
      </c>
      <c r="I56" s="125">
        <f>E56*G56</f>
        <v>6892</v>
      </c>
      <c r="J56" s="24"/>
      <c r="L56" s="19"/>
      <c r="M56" s="20"/>
      <c r="N56" s="21"/>
    </row>
    <row r="57" spans="1:14" ht="15.75" customHeight="1">
      <c r="A57" s="146" t="s">
        <v>153</v>
      </c>
      <c r="B57" s="146"/>
      <c r="C57" s="146"/>
      <c r="D57" s="146"/>
      <c r="E57" s="146"/>
      <c r="F57" s="146"/>
      <c r="G57" s="146"/>
      <c r="H57" s="146"/>
      <c r="I57" s="146"/>
      <c r="J57" s="24"/>
      <c r="L57" s="19"/>
      <c r="M57" s="20"/>
      <c r="N57" s="21"/>
    </row>
    <row r="58" spans="1:14" ht="15.75" hidden="1" customHeight="1">
      <c r="A58" s="30"/>
      <c r="B58" s="69" t="s">
        <v>43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16</v>
      </c>
      <c r="B59" s="41" t="s">
        <v>114</v>
      </c>
      <c r="C59" s="42" t="s">
        <v>89</v>
      </c>
      <c r="D59" s="41" t="s">
        <v>115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195</v>
      </c>
      <c r="C60" s="42" t="s">
        <v>196</v>
      </c>
      <c r="D60" s="41" t="s">
        <v>67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69" t="s">
        <v>44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132</v>
      </c>
      <c r="C62" s="42" t="s">
        <v>89</v>
      </c>
      <c r="D62" s="41" t="s">
        <v>53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11</v>
      </c>
      <c r="B63" s="41" t="s">
        <v>197</v>
      </c>
      <c r="C63" s="42" t="s">
        <v>198</v>
      </c>
      <c r="D63" s="41" t="s">
        <v>199</v>
      </c>
      <c r="E63" s="17">
        <v>134.19999999999999</v>
      </c>
      <c r="F63" s="39">
        <f>E63*12</f>
        <v>1610.3999999999999</v>
      </c>
      <c r="G63" s="39">
        <v>2.8</v>
      </c>
      <c r="H63" s="39">
        <f>F63*G63/1000</f>
        <v>4.5091199999999994</v>
      </c>
      <c r="I63" s="13">
        <f>F63/12*G63</f>
        <v>375.75999999999993</v>
      </c>
    </row>
    <row r="64" spans="1:14" ht="15.75" customHeight="1">
      <c r="A64" s="126"/>
      <c r="B64" s="127" t="s">
        <v>45</v>
      </c>
      <c r="C64" s="128"/>
      <c r="D64" s="129"/>
      <c r="E64" s="86"/>
      <c r="F64" s="130"/>
      <c r="G64" s="130"/>
      <c r="H64" s="131" t="s">
        <v>122</v>
      </c>
      <c r="I64" s="132"/>
    </row>
    <row r="65" spans="1:22" ht="15.75" customHeight="1">
      <c r="A65" s="30">
        <v>12</v>
      </c>
      <c r="B65" s="58" t="s">
        <v>46</v>
      </c>
      <c r="C65" s="42" t="s">
        <v>113</v>
      </c>
      <c r="D65" s="41" t="s">
        <v>67</v>
      </c>
      <c r="E65" s="17">
        <v>5</v>
      </c>
      <c r="F65" s="34">
        <f>E65</f>
        <v>5</v>
      </c>
      <c r="G65" s="39">
        <v>291.68</v>
      </c>
      <c r="H65" s="79">
        <f t="shared" ref="H65:H72" si="7">SUM(F65*G65/1000)</f>
        <v>1.4584000000000001</v>
      </c>
      <c r="I65" s="13">
        <f>G65</f>
        <v>291.68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47</v>
      </c>
      <c r="C66" s="42" t="s">
        <v>113</v>
      </c>
      <c r="D66" s="41" t="s">
        <v>67</v>
      </c>
      <c r="E66" s="17">
        <v>5</v>
      </c>
      <c r="F66" s="34">
        <f>E66</f>
        <v>5</v>
      </c>
      <c r="G66" s="39">
        <v>100.01</v>
      </c>
      <c r="H66" s="79">
        <f t="shared" si="7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48</v>
      </c>
      <c r="C67" s="44" t="s">
        <v>116</v>
      </c>
      <c r="D67" s="41" t="s">
        <v>53</v>
      </c>
      <c r="E67" s="113">
        <v>10348</v>
      </c>
      <c r="F67" s="40">
        <f>SUM(E67/100)</f>
        <v>103.48</v>
      </c>
      <c r="G67" s="39">
        <v>278.24</v>
      </c>
      <c r="H67" s="79">
        <f t="shared" si="7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49</v>
      </c>
      <c r="C68" s="42" t="s">
        <v>117</v>
      </c>
      <c r="D68" s="41" t="s">
        <v>53</v>
      </c>
      <c r="E68" s="113">
        <v>10348</v>
      </c>
      <c r="F68" s="39">
        <f>SUM(E68/1000)</f>
        <v>10.348000000000001</v>
      </c>
      <c r="G68" s="39">
        <v>216.68</v>
      </c>
      <c r="H68" s="79">
        <f t="shared" si="7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47"/>
      <c r="S68" s="147"/>
      <c r="T68" s="147"/>
      <c r="U68" s="147"/>
    </row>
    <row r="69" spans="1:22" ht="15.75" hidden="1" customHeight="1">
      <c r="A69" s="30"/>
      <c r="B69" s="58" t="s">
        <v>50</v>
      </c>
      <c r="C69" s="42" t="s">
        <v>77</v>
      </c>
      <c r="D69" s="41" t="s">
        <v>53</v>
      </c>
      <c r="E69" s="113">
        <v>1645</v>
      </c>
      <c r="F69" s="39">
        <f>SUM(E69/100)</f>
        <v>16.45</v>
      </c>
      <c r="G69" s="39">
        <v>2720.94</v>
      </c>
      <c r="H69" s="79">
        <f t="shared" si="7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118</v>
      </c>
      <c r="C70" s="42" t="s">
        <v>32</v>
      </c>
      <c r="D70" s="41"/>
      <c r="E70" s="113">
        <v>9</v>
      </c>
      <c r="F70" s="39">
        <f>E70</f>
        <v>9</v>
      </c>
      <c r="G70" s="39">
        <v>42.61</v>
      </c>
      <c r="H70" s="79">
        <f t="shared" si="7"/>
        <v>0.38349</v>
      </c>
      <c r="I70" s="13">
        <v>0</v>
      </c>
    </row>
    <row r="71" spans="1:22" ht="15.75" hidden="1" customHeight="1">
      <c r="A71" s="30"/>
      <c r="B71" s="53" t="s">
        <v>119</v>
      </c>
      <c r="C71" s="42" t="s">
        <v>32</v>
      </c>
      <c r="D71" s="41"/>
      <c r="E71" s="113">
        <v>9</v>
      </c>
      <c r="F71" s="39">
        <f t="shared" ref="F71:F72" si="8">E71</f>
        <v>9</v>
      </c>
      <c r="G71" s="39">
        <v>46.04</v>
      </c>
      <c r="H71" s="79">
        <f t="shared" si="7"/>
        <v>0.41436000000000001</v>
      </c>
      <c r="I71" s="13">
        <v>0</v>
      </c>
    </row>
    <row r="72" spans="1:22" ht="15.75" hidden="1" customHeight="1">
      <c r="A72" s="30"/>
      <c r="B72" s="41" t="s">
        <v>57</v>
      </c>
      <c r="C72" s="42" t="s">
        <v>58</v>
      </c>
      <c r="D72" s="41" t="s">
        <v>53</v>
      </c>
      <c r="E72" s="17">
        <v>2</v>
      </c>
      <c r="F72" s="39">
        <f t="shared" si="8"/>
        <v>2</v>
      </c>
      <c r="G72" s="39">
        <v>65.42</v>
      </c>
      <c r="H72" s="79">
        <f t="shared" si="7"/>
        <v>0.13084000000000001</v>
      </c>
      <c r="I72" s="13">
        <v>0</v>
      </c>
    </row>
    <row r="73" spans="1:22" ht="15.75" customHeight="1">
      <c r="A73" s="30"/>
      <c r="B73" s="69" t="s">
        <v>72</v>
      </c>
      <c r="C73" s="16"/>
      <c r="D73" s="14"/>
      <c r="E73" s="18"/>
      <c r="F73" s="13"/>
      <c r="G73" s="13"/>
      <c r="H73" s="80" t="s">
        <v>122</v>
      </c>
      <c r="I73" s="13"/>
    </row>
    <row r="74" spans="1:22" ht="15.75" hidden="1" customHeight="1">
      <c r="A74" s="30"/>
      <c r="B74" s="14" t="s">
        <v>200</v>
      </c>
      <c r="C74" s="16" t="s">
        <v>201</v>
      </c>
      <c r="D74" s="41" t="s">
        <v>67</v>
      </c>
      <c r="E74" s="18">
        <v>1</v>
      </c>
      <c r="F74" s="13">
        <f>E74</f>
        <v>1</v>
      </c>
      <c r="G74" s="13">
        <v>1029.1199999999999</v>
      </c>
      <c r="H74" s="80">
        <f t="shared" ref="H74:H75" si="9">SUM(F74*G74/1000)</f>
        <v>1.0291199999999998</v>
      </c>
      <c r="I74" s="13">
        <v>0</v>
      </c>
    </row>
    <row r="75" spans="1:22" ht="15.75" hidden="1" customHeight="1">
      <c r="A75" s="30"/>
      <c r="B75" s="14" t="s">
        <v>202</v>
      </c>
      <c r="C75" s="16" t="s">
        <v>203</v>
      </c>
      <c r="D75" s="133"/>
      <c r="E75" s="18">
        <v>1</v>
      </c>
      <c r="F75" s="13">
        <v>1</v>
      </c>
      <c r="G75" s="13">
        <v>735</v>
      </c>
      <c r="H75" s="80">
        <f t="shared" si="9"/>
        <v>0.73499999999999999</v>
      </c>
      <c r="I75" s="13">
        <v>0</v>
      </c>
    </row>
    <row r="76" spans="1:22" ht="15.75" hidden="1" customHeight="1">
      <c r="A76" s="30"/>
      <c r="B76" s="14" t="s">
        <v>73</v>
      </c>
      <c r="C76" s="16" t="s">
        <v>75</v>
      </c>
      <c r="D76" s="41" t="s">
        <v>67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204</v>
      </c>
      <c r="C77" s="16" t="s">
        <v>113</v>
      </c>
      <c r="D77" s="41" t="s">
        <v>67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205</v>
      </c>
      <c r="C78" s="57" t="s">
        <v>113</v>
      </c>
      <c r="D78" s="41" t="s">
        <v>67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13</v>
      </c>
      <c r="B79" s="56" t="s">
        <v>206</v>
      </c>
      <c r="C79" s="57" t="s">
        <v>113</v>
      </c>
      <c r="D79" s="14" t="s">
        <v>29</v>
      </c>
      <c r="E79" s="18">
        <v>2</v>
      </c>
      <c r="F79" s="84">
        <f>E79*12</f>
        <v>24</v>
      </c>
      <c r="G79" s="13">
        <v>53.42</v>
      </c>
      <c r="H79" s="80">
        <f t="shared" ref="H79:H80" si="10">SUM(F79*G79/1000)</f>
        <v>1.2820799999999999</v>
      </c>
      <c r="I79" s="13">
        <f>G79*2</f>
        <v>106.84</v>
      </c>
    </row>
    <row r="80" spans="1:22" ht="31.5" customHeight="1">
      <c r="A80" s="30">
        <v>14</v>
      </c>
      <c r="B80" s="56" t="s">
        <v>207</v>
      </c>
      <c r="C80" s="57" t="s">
        <v>113</v>
      </c>
      <c r="D80" s="14" t="s">
        <v>29</v>
      </c>
      <c r="E80" s="18">
        <v>1</v>
      </c>
      <c r="F80" s="84">
        <f>E80*12</f>
        <v>12</v>
      </c>
      <c r="G80" s="13">
        <v>1194</v>
      </c>
      <c r="H80" s="80">
        <f t="shared" si="10"/>
        <v>14.327999999999999</v>
      </c>
      <c r="I80" s="13">
        <f>G80</f>
        <v>1194</v>
      </c>
    </row>
    <row r="81" spans="1:9" ht="15.75" hidden="1" customHeight="1">
      <c r="A81" s="30"/>
      <c r="B81" s="98" t="s">
        <v>76</v>
      </c>
      <c r="C81" s="16"/>
      <c r="D81" s="14"/>
      <c r="E81" s="18"/>
      <c r="F81" s="13"/>
      <c r="G81" s="13" t="s">
        <v>122</v>
      </c>
      <c r="H81" s="80" t="s">
        <v>122</v>
      </c>
      <c r="I81" s="13"/>
    </row>
    <row r="82" spans="1:9" ht="15.75" hidden="1" customHeight="1">
      <c r="A82" s="30"/>
      <c r="B82" s="43" t="s">
        <v>123</v>
      </c>
      <c r="C82" s="44" t="s">
        <v>77</v>
      </c>
      <c r="D82" s="58"/>
      <c r="E82" s="134"/>
      <c r="F82" s="40">
        <v>0.6</v>
      </c>
      <c r="G82" s="40">
        <v>3619.09</v>
      </c>
      <c r="H82" s="79">
        <f t="shared" ref="H82" si="11">SUM(F82*G82/1000)</f>
        <v>2.1714540000000002</v>
      </c>
      <c r="I82" s="13">
        <v>0</v>
      </c>
    </row>
    <row r="83" spans="1:9" ht="15.75" hidden="1" customHeight="1">
      <c r="A83" s="30"/>
      <c r="B83" s="105" t="s">
        <v>95</v>
      </c>
      <c r="C83" s="98"/>
      <c r="D83" s="32"/>
      <c r="E83" s="33"/>
      <c r="F83" s="87"/>
      <c r="G83" s="87"/>
      <c r="H83" s="99">
        <f>SUM(H59:H82)</f>
        <v>118.31888176</v>
      </c>
      <c r="I83" s="87"/>
    </row>
    <row r="84" spans="1:9" ht="15.75" hidden="1" customHeight="1">
      <c r="A84" s="122">
        <v>17</v>
      </c>
      <c r="B84" s="136" t="s">
        <v>120</v>
      </c>
      <c r="C84" s="137"/>
      <c r="D84" s="138"/>
      <c r="E84" s="135"/>
      <c r="F84" s="139">
        <v>1</v>
      </c>
      <c r="G84" s="139">
        <v>7005.5</v>
      </c>
      <c r="H84" s="140">
        <f>G84*F84/1000</f>
        <v>7.0054999999999996</v>
      </c>
      <c r="I84" s="125">
        <f>G84</f>
        <v>7005.5</v>
      </c>
    </row>
    <row r="85" spans="1:9" ht="15.75" customHeight="1">
      <c r="A85" s="146" t="s">
        <v>154</v>
      </c>
      <c r="B85" s="146"/>
      <c r="C85" s="146"/>
      <c r="D85" s="146"/>
      <c r="E85" s="146"/>
      <c r="F85" s="146"/>
      <c r="G85" s="146"/>
      <c r="H85" s="146"/>
      <c r="I85" s="146"/>
    </row>
    <row r="86" spans="1:9" ht="15.75" customHeight="1">
      <c r="A86" s="30">
        <v>15</v>
      </c>
      <c r="B86" s="41" t="s">
        <v>121</v>
      </c>
      <c r="C86" s="42" t="s">
        <v>54</v>
      </c>
      <c r="D86" s="59" t="s">
        <v>55</v>
      </c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16</v>
      </c>
      <c r="B87" s="14" t="s">
        <v>78</v>
      </c>
      <c r="C87" s="16"/>
      <c r="D87" s="59" t="s">
        <v>55</v>
      </c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81</v>
      </c>
      <c r="C88" s="98"/>
      <c r="D88" s="97"/>
      <c r="E88" s="87"/>
      <c r="F88" s="87"/>
      <c r="G88" s="87"/>
      <c r="H88" s="99">
        <f>H87</f>
        <v>89.678399999999996</v>
      </c>
      <c r="I88" s="87">
        <f>I16+I17+I18+I20+I27+I28+I31+I32+I34+I35+I63+I65+I79+I80+I86+I87</f>
        <v>33380.558773444442</v>
      </c>
    </row>
    <row r="89" spans="1:9" ht="15.75" customHeight="1">
      <c r="A89" s="158" t="s">
        <v>60</v>
      </c>
      <c r="B89" s="159"/>
      <c r="C89" s="159"/>
      <c r="D89" s="159"/>
      <c r="E89" s="159"/>
      <c r="F89" s="159"/>
      <c r="G89" s="159"/>
      <c r="H89" s="159"/>
      <c r="I89" s="160"/>
    </row>
    <row r="90" spans="1:9" ht="15.75" customHeight="1">
      <c r="A90" s="30">
        <v>17</v>
      </c>
      <c r="B90" s="56" t="s">
        <v>124</v>
      </c>
      <c r="C90" s="61" t="s">
        <v>113</v>
      </c>
      <c r="D90" s="60"/>
      <c r="E90" s="39"/>
      <c r="F90" s="39">
        <v>120</v>
      </c>
      <c r="G90" s="39">
        <v>53.42</v>
      </c>
      <c r="H90" s="79">
        <f>G90*F90/1000</f>
        <v>6.410400000000001</v>
      </c>
      <c r="I90" s="13">
        <f>G90*40</f>
        <v>2136.8000000000002</v>
      </c>
    </row>
    <row r="91" spans="1:9" ht="15.75" customHeight="1">
      <c r="A91" s="30"/>
      <c r="B91" s="50" t="s">
        <v>51</v>
      </c>
      <c r="C91" s="57"/>
      <c r="D91" s="52"/>
      <c r="E91" s="13"/>
      <c r="F91" s="13"/>
      <c r="G91" s="13"/>
      <c r="H91" s="80"/>
      <c r="I91" s="87">
        <f>SUM(I90:I90)</f>
        <v>2136.8000000000002</v>
      </c>
    </row>
    <row r="92" spans="1:9">
      <c r="A92" s="30"/>
      <c r="B92" s="52" t="s">
        <v>79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4"/>
      <c r="B93" s="51" t="s">
        <v>169</v>
      </c>
      <c r="C93" s="38"/>
      <c r="D93" s="38"/>
      <c r="E93" s="38"/>
      <c r="F93" s="38"/>
      <c r="G93" s="38"/>
      <c r="H93" s="38"/>
      <c r="I93" s="49">
        <f>I88+I91</f>
        <v>35517.358773444445</v>
      </c>
    </row>
    <row r="94" spans="1:9" ht="15.75" customHeight="1">
      <c r="A94" s="165" t="s">
        <v>214</v>
      </c>
      <c r="B94" s="165"/>
      <c r="C94" s="165"/>
      <c r="D94" s="165"/>
      <c r="E94" s="165"/>
      <c r="F94" s="165"/>
      <c r="G94" s="165"/>
      <c r="H94" s="165"/>
      <c r="I94" s="165"/>
    </row>
    <row r="95" spans="1:9" ht="15.75" customHeight="1">
      <c r="A95" s="68"/>
      <c r="B95" s="166" t="s">
        <v>215</v>
      </c>
      <c r="C95" s="166"/>
      <c r="D95" s="166"/>
      <c r="E95" s="166"/>
      <c r="F95" s="166"/>
      <c r="G95" s="166"/>
      <c r="H95" s="78"/>
      <c r="I95" s="3"/>
    </row>
    <row r="96" spans="1:9">
      <c r="A96" s="74"/>
      <c r="B96" s="163" t="s">
        <v>6</v>
      </c>
      <c r="C96" s="163"/>
      <c r="D96" s="163"/>
      <c r="E96" s="163"/>
      <c r="F96" s="163"/>
      <c r="G96" s="163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67" t="s">
        <v>7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 customHeight="1">
      <c r="A99" s="167" t="s">
        <v>8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>
      <c r="A100" s="144" t="s">
        <v>61</v>
      </c>
      <c r="B100" s="144"/>
      <c r="C100" s="144"/>
      <c r="D100" s="144"/>
      <c r="E100" s="144"/>
      <c r="F100" s="144"/>
      <c r="G100" s="144"/>
      <c r="H100" s="144"/>
      <c r="I100" s="144"/>
    </row>
    <row r="101" spans="1:9" ht="15.75">
      <c r="A101" s="11"/>
    </row>
    <row r="102" spans="1:9" ht="15.75" customHeight="1">
      <c r="A102" s="145" t="s">
        <v>9</v>
      </c>
      <c r="B102" s="145"/>
      <c r="C102" s="145"/>
      <c r="D102" s="145"/>
      <c r="E102" s="145"/>
      <c r="F102" s="145"/>
      <c r="G102" s="145"/>
      <c r="H102" s="145"/>
      <c r="I102" s="145"/>
    </row>
    <row r="103" spans="1:9" ht="15.75" customHeight="1">
      <c r="A103" s="4"/>
    </row>
    <row r="104" spans="1:9" ht="15.75" customHeight="1">
      <c r="B104" s="71" t="s">
        <v>10</v>
      </c>
      <c r="C104" s="162" t="s">
        <v>139</v>
      </c>
      <c r="D104" s="162"/>
      <c r="E104" s="162"/>
      <c r="F104" s="76"/>
      <c r="I104" s="73"/>
    </row>
    <row r="105" spans="1:9" ht="15.75" customHeight="1">
      <c r="A105" s="74"/>
      <c r="C105" s="163" t="s">
        <v>11</v>
      </c>
      <c r="D105" s="163"/>
      <c r="E105" s="163"/>
      <c r="F105" s="25"/>
      <c r="I105" s="72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71" t="s">
        <v>13</v>
      </c>
      <c r="C107" s="164"/>
      <c r="D107" s="164"/>
      <c r="E107" s="164"/>
      <c r="F107" s="77"/>
      <c r="I107" s="73"/>
    </row>
    <row r="108" spans="1:9">
      <c r="A108" s="74"/>
      <c r="C108" s="147" t="s">
        <v>11</v>
      </c>
      <c r="D108" s="147"/>
      <c r="E108" s="147"/>
      <c r="F108" s="74"/>
      <c r="I108" s="72" t="s">
        <v>12</v>
      </c>
    </row>
    <row r="109" spans="1:9" ht="15.75">
      <c r="A109" s="4" t="s">
        <v>14</v>
      </c>
    </row>
    <row r="110" spans="1:9">
      <c r="A110" s="161" t="s">
        <v>15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45" customHeight="1">
      <c r="A111" s="157" t="s">
        <v>16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30" customHeight="1">
      <c r="A112" s="157" t="s">
        <v>17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30" customHeight="1">
      <c r="A113" s="157" t="s">
        <v>21</v>
      </c>
      <c r="B113" s="157"/>
      <c r="C113" s="157"/>
      <c r="D113" s="157"/>
      <c r="E113" s="157"/>
      <c r="F113" s="157"/>
      <c r="G113" s="157"/>
      <c r="H113" s="157"/>
      <c r="I113" s="157"/>
    </row>
    <row r="114" spans="1:9" ht="15" customHeight="1">
      <c r="A114" s="157" t="s">
        <v>20</v>
      </c>
      <c r="B114" s="157"/>
      <c r="C114" s="157"/>
      <c r="D114" s="157"/>
      <c r="E114" s="157"/>
      <c r="F114" s="157"/>
      <c r="G114" s="157"/>
      <c r="H114" s="157"/>
      <c r="I114" s="157"/>
    </row>
  </sheetData>
  <autoFilter ref="I12:I62"/>
  <mergeCells count="29">
    <mergeCell ref="A14:I14"/>
    <mergeCell ref="A15:I15"/>
    <mergeCell ref="A29:I29"/>
    <mergeCell ref="A46:I46"/>
    <mergeCell ref="A57:I57"/>
    <mergeCell ref="A3:I3"/>
    <mergeCell ref="A4:I4"/>
    <mergeCell ref="A5:I5"/>
    <mergeCell ref="A8:I8"/>
    <mergeCell ref="A10:I10"/>
    <mergeCell ref="R68:U68"/>
    <mergeCell ref="C108:E108"/>
    <mergeCell ref="A89:I89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5:I85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48" t="s">
        <v>160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>
      <c r="A5" s="148" t="s">
        <v>216</v>
      </c>
      <c r="B5" s="150"/>
      <c r="C5" s="150"/>
      <c r="D5" s="150"/>
      <c r="E5" s="150"/>
      <c r="F5" s="150"/>
      <c r="G5" s="150"/>
      <c r="H5" s="150"/>
      <c r="I5" s="150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43008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1" t="s">
        <v>213</v>
      </c>
      <c r="B8" s="151"/>
      <c r="C8" s="151"/>
      <c r="D8" s="151"/>
      <c r="E8" s="151"/>
      <c r="F8" s="151"/>
      <c r="G8" s="151"/>
      <c r="H8" s="151"/>
      <c r="I8" s="15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2" t="s">
        <v>163</v>
      </c>
      <c r="B10" s="152"/>
      <c r="C10" s="152"/>
      <c r="D10" s="152"/>
      <c r="E10" s="152"/>
      <c r="F10" s="152"/>
      <c r="G10" s="152"/>
      <c r="H10" s="152"/>
      <c r="I10" s="15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3" t="s">
        <v>59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" customHeight="1">
      <c r="A15" s="146" t="s">
        <v>4</v>
      </c>
      <c r="B15" s="146"/>
      <c r="C15" s="146"/>
      <c r="D15" s="146"/>
      <c r="E15" s="146"/>
      <c r="F15" s="146"/>
      <c r="G15" s="146"/>
      <c r="H15" s="146"/>
      <c r="I15" s="146"/>
      <c r="J15" s="8"/>
      <c r="K15" s="8"/>
      <c r="L15" s="8"/>
      <c r="M15" s="8"/>
    </row>
    <row r="16" spans="1:13" ht="15.75" customHeight="1">
      <c r="A16" s="30">
        <v>1</v>
      </c>
      <c r="B16" s="35" t="s">
        <v>88</v>
      </c>
      <c r="C16" s="46" t="s">
        <v>89</v>
      </c>
      <c r="D16" s="35" t="s">
        <v>164</v>
      </c>
      <c r="E16" s="113">
        <v>37.78</v>
      </c>
      <c r="F16" s="34">
        <f>SUM(E16*156/100)</f>
        <v>58.936800000000005</v>
      </c>
      <c r="G16" s="34">
        <v>230</v>
      </c>
      <c r="H16" s="114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141</v>
      </c>
      <c r="C17" s="46" t="s">
        <v>89</v>
      </c>
      <c r="D17" s="35" t="s">
        <v>165</v>
      </c>
      <c r="E17" s="113">
        <v>151.12</v>
      </c>
      <c r="F17" s="34">
        <f>SUM(E17*104/100)</f>
        <v>157.16479999999999</v>
      </c>
      <c r="G17" s="34">
        <v>230</v>
      </c>
      <c r="H17" s="114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142</v>
      </c>
      <c r="C18" s="46" t="s">
        <v>89</v>
      </c>
      <c r="D18" s="35" t="s">
        <v>166</v>
      </c>
      <c r="E18" s="113">
        <v>188.9</v>
      </c>
      <c r="F18" s="34">
        <f>SUM(E18*24/100)</f>
        <v>45.336000000000006</v>
      </c>
      <c r="G18" s="34">
        <v>661.67</v>
      </c>
      <c r="H18" s="114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96</v>
      </c>
      <c r="C19" s="46" t="s">
        <v>97</v>
      </c>
      <c r="D19" s="35" t="s">
        <v>98</v>
      </c>
      <c r="E19" s="113">
        <v>18</v>
      </c>
      <c r="F19" s="34">
        <f>SUM(E19/10)</f>
        <v>1.8</v>
      </c>
      <c r="G19" s="34">
        <v>223.17</v>
      </c>
      <c r="H19" s="114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99</v>
      </c>
      <c r="C20" s="46" t="s">
        <v>89</v>
      </c>
      <c r="D20" s="35" t="s">
        <v>29</v>
      </c>
      <c r="E20" s="113">
        <v>14.6</v>
      </c>
      <c r="F20" s="34">
        <f>SUM(E20*12/100)</f>
        <v>1.7519999999999998</v>
      </c>
      <c r="G20" s="34">
        <v>285.76</v>
      </c>
      <c r="H20" s="114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customHeight="1">
      <c r="A21" s="30">
        <v>5</v>
      </c>
      <c r="B21" s="35" t="s">
        <v>100</v>
      </c>
      <c r="C21" s="46" t="s">
        <v>89</v>
      </c>
      <c r="D21" s="35" t="s">
        <v>42</v>
      </c>
      <c r="E21" s="113">
        <v>2.7</v>
      </c>
      <c r="F21" s="34">
        <f>SUM(E21*2/100)</f>
        <v>5.4000000000000006E-2</v>
      </c>
      <c r="G21" s="34">
        <v>283.44</v>
      </c>
      <c r="H21" s="114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101</v>
      </c>
      <c r="C22" s="46" t="s">
        <v>52</v>
      </c>
      <c r="D22" s="35" t="s">
        <v>98</v>
      </c>
      <c r="E22" s="113">
        <v>259.2</v>
      </c>
      <c r="F22" s="34">
        <f>SUM(E22/100)</f>
        <v>2.5920000000000001</v>
      </c>
      <c r="G22" s="34">
        <v>353.14</v>
      </c>
      <c r="H22" s="114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102</v>
      </c>
      <c r="C23" s="46" t="s">
        <v>52</v>
      </c>
      <c r="D23" s="35" t="s">
        <v>98</v>
      </c>
      <c r="E23" s="115">
        <v>24.15</v>
      </c>
      <c r="F23" s="34">
        <f>SUM(E23/100)</f>
        <v>0.24149999999999999</v>
      </c>
      <c r="G23" s="34">
        <v>58.08</v>
      </c>
      <c r="H23" s="114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103</v>
      </c>
      <c r="C24" s="46" t="s">
        <v>52</v>
      </c>
      <c r="D24" s="35" t="s">
        <v>104</v>
      </c>
      <c r="E24" s="113">
        <v>10</v>
      </c>
      <c r="F24" s="34">
        <f>E24/100</f>
        <v>0.1</v>
      </c>
      <c r="G24" s="34">
        <v>511.12</v>
      </c>
      <c r="H24" s="114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105</v>
      </c>
      <c r="C25" s="46" t="s">
        <v>52</v>
      </c>
      <c r="D25" s="35" t="s">
        <v>53</v>
      </c>
      <c r="E25" s="113">
        <v>9.5</v>
      </c>
      <c r="F25" s="34">
        <f>E25/100</f>
        <v>9.5000000000000001E-2</v>
      </c>
      <c r="G25" s="34">
        <v>283.44</v>
      </c>
      <c r="H25" s="114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106</v>
      </c>
      <c r="C26" s="46" t="s">
        <v>52</v>
      </c>
      <c r="D26" s="35" t="s">
        <v>98</v>
      </c>
      <c r="E26" s="113">
        <v>4.25</v>
      </c>
      <c r="F26" s="34">
        <f>SUM(E26/100)</f>
        <v>4.2500000000000003E-2</v>
      </c>
      <c r="G26" s="34">
        <v>683.05</v>
      </c>
      <c r="H26" s="114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6</v>
      </c>
      <c r="B27" s="35" t="s">
        <v>64</v>
      </c>
      <c r="C27" s="46" t="s">
        <v>32</v>
      </c>
      <c r="D27" s="35" t="s">
        <v>191</v>
      </c>
      <c r="E27" s="116">
        <v>0.1</v>
      </c>
      <c r="F27" s="34">
        <f>SUM(E27*182)</f>
        <v>18.2</v>
      </c>
      <c r="G27" s="34">
        <v>264.85000000000002</v>
      </c>
      <c r="H27" s="114">
        <f t="shared" ref="H27:H28" si="1">SUM(F27*G27/1000)</f>
        <v>4.8202700000000007</v>
      </c>
      <c r="I27" s="13">
        <f>F27/12*G27</f>
        <v>401.68916666666667</v>
      </c>
      <c r="J27" s="24"/>
    </row>
    <row r="28" spans="1:13" ht="15.75" customHeight="1">
      <c r="A28" s="30">
        <v>7</v>
      </c>
      <c r="B28" s="89" t="s">
        <v>23</v>
      </c>
      <c r="C28" s="82" t="s">
        <v>24</v>
      </c>
      <c r="D28" s="89" t="s">
        <v>122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si="1"/>
        <v>91.728191999999993</v>
      </c>
      <c r="I28" s="13">
        <f>F28/12*G28</f>
        <v>7644.0159999999996</v>
      </c>
      <c r="J28" s="24"/>
    </row>
    <row r="29" spans="1:13" ht="15.75" customHeight="1">
      <c r="A29" s="154" t="s">
        <v>86</v>
      </c>
      <c r="B29" s="155"/>
      <c r="C29" s="155"/>
      <c r="D29" s="155"/>
      <c r="E29" s="155"/>
      <c r="F29" s="155"/>
      <c r="G29" s="155"/>
      <c r="H29" s="155"/>
      <c r="I29" s="156"/>
      <c r="J29" s="23"/>
      <c r="K29" s="8"/>
      <c r="L29" s="8"/>
      <c r="M29" s="8"/>
    </row>
    <row r="30" spans="1:13" ht="15.75" customHeight="1">
      <c r="A30" s="30"/>
      <c r="B30" s="103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customHeight="1">
      <c r="A31" s="30">
        <v>8</v>
      </c>
      <c r="B31" s="81" t="s">
        <v>111</v>
      </c>
      <c r="C31" s="46" t="s">
        <v>92</v>
      </c>
      <c r="D31" s="35" t="s">
        <v>180</v>
      </c>
      <c r="E31" s="34">
        <v>331.9</v>
      </c>
      <c r="F31" s="34">
        <f>SUM(E31*52/1000)</f>
        <v>17.258800000000001</v>
      </c>
      <c r="G31" s="34">
        <v>204.44</v>
      </c>
      <c r="H31" s="114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customHeight="1">
      <c r="A32" s="30">
        <v>9</v>
      </c>
      <c r="B32" s="81" t="s">
        <v>110</v>
      </c>
      <c r="C32" s="46" t="s">
        <v>92</v>
      </c>
      <c r="D32" s="35" t="s">
        <v>181</v>
      </c>
      <c r="E32" s="34">
        <v>108.9</v>
      </c>
      <c r="F32" s="34">
        <f>SUM(E32*78/1000)</f>
        <v>8.4942000000000011</v>
      </c>
      <c r="G32" s="34">
        <v>339.21</v>
      </c>
      <c r="H32" s="114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92</v>
      </c>
      <c r="D33" s="35" t="s">
        <v>53</v>
      </c>
      <c r="E33" s="34">
        <v>331.9</v>
      </c>
      <c r="F33" s="34">
        <f>SUM(E33/1000)</f>
        <v>0.33189999999999997</v>
      </c>
      <c r="G33" s="34">
        <v>3961.23</v>
      </c>
      <c r="H33" s="114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customHeight="1">
      <c r="A34" s="30">
        <v>10</v>
      </c>
      <c r="B34" s="81" t="s">
        <v>143</v>
      </c>
      <c r="C34" s="46" t="s">
        <v>40</v>
      </c>
      <c r="D34" s="35" t="s">
        <v>63</v>
      </c>
      <c r="E34" s="34">
        <v>2</v>
      </c>
      <c r="F34" s="34">
        <v>3.1</v>
      </c>
      <c r="G34" s="34">
        <v>1707.63</v>
      </c>
      <c r="H34" s="114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customHeight="1">
      <c r="A35" s="30">
        <v>11</v>
      </c>
      <c r="B35" s="81" t="s">
        <v>109</v>
      </c>
      <c r="C35" s="46" t="s">
        <v>30</v>
      </c>
      <c r="D35" s="35" t="s">
        <v>63</v>
      </c>
      <c r="E35" s="117">
        <f>1/3</f>
        <v>0.33333333333333331</v>
      </c>
      <c r="F35" s="34">
        <f>155/3</f>
        <v>51.666666666666664</v>
      </c>
      <c r="G35" s="34">
        <v>74.349999999999994</v>
      </c>
      <c r="H35" s="114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65</v>
      </c>
      <c r="C36" s="46" t="s">
        <v>32</v>
      </c>
      <c r="D36" s="35" t="s">
        <v>67</v>
      </c>
      <c r="E36" s="113"/>
      <c r="F36" s="34">
        <v>2</v>
      </c>
      <c r="G36" s="34">
        <v>250.92</v>
      </c>
      <c r="H36" s="114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66</v>
      </c>
      <c r="C37" s="46" t="s">
        <v>31</v>
      </c>
      <c r="D37" s="35" t="s">
        <v>67</v>
      </c>
      <c r="E37" s="113"/>
      <c r="F37" s="34">
        <v>1</v>
      </c>
      <c r="G37" s="34">
        <v>1490.31</v>
      </c>
      <c r="H37" s="114">
        <f t="shared" si="2"/>
        <v>1.49031</v>
      </c>
      <c r="I37" s="13">
        <v>0</v>
      </c>
      <c r="J37" s="24"/>
    </row>
    <row r="38" spans="1:14" ht="15.75" hidden="1" customHeight="1">
      <c r="A38" s="30"/>
      <c r="B38" s="103" t="s">
        <v>5</v>
      </c>
      <c r="C38" s="82"/>
      <c r="D38" s="81"/>
      <c r="E38" s="83"/>
      <c r="F38" s="84"/>
      <c r="G38" s="84"/>
      <c r="H38" s="85" t="s">
        <v>122</v>
      </c>
      <c r="I38" s="13"/>
      <c r="J38" s="24"/>
    </row>
    <row r="39" spans="1:14" ht="15.75" hidden="1" customHeight="1">
      <c r="A39" s="30">
        <v>8</v>
      </c>
      <c r="B39" s="36" t="s">
        <v>25</v>
      </c>
      <c r="C39" s="46" t="s">
        <v>31</v>
      </c>
      <c r="D39" s="35"/>
      <c r="E39" s="113"/>
      <c r="F39" s="34">
        <v>4</v>
      </c>
      <c r="G39" s="34">
        <v>2003</v>
      </c>
      <c r="H39" s="114">
        <f t="shared" ref="H39:H45" si="4">SUM(F39*G39/1000)</f>
        <v>8.0120000000000005</v>
      </c>
      <c r="I39" s="13">
        <f t="shared" ref="I39:I45" si="5">F39/6*G39</f>
        <v>1335.3333333333333</v>
      </c>
      <c r="J39" s="24"/>
      <c r="L39" s="19"/>
      <c r="M39" s="20"/>
      <c r="N39" s="21"/>
    </row>
    <row r="40" spans="1:14" ht="15.75" hidden="1" customHeight="1">
      <c r="A40" s="30">
        <v>9</v>
      </c>
      <c r="B40" s="36" t="s">
        <v>192</v>
      </c>
      <c r="C40" s="55" t="s">
        <v>28</v>
      </c>
      <c r="D40" s="35" t="s">
        <v>90</v>
      </c>
      <c r="E40" s="113">
        <v>108.9</v>
      </c>
      <c r="F40" s="37">
        <f>E40*30/1000</f>
        <v>3.2669999999999999</v>
      </c>
      <c r="G40" s="34">
        <v>2757.78</v>
      </c>
      <c r="H40" s="114">
        <f t="shared" si="4"/>
        <v>9.0096672600000005</v>
      </c>
      <c r="I40" s="13">
        <f t="shared" si="5"/>
        <v>1501.61121</v>
      </c>
      <c r="J40" s="24"/>
      <c r="L40" s="19"/>
      <c r="M40" s="20"/>
      <c r="N40" s="21"/>
    </row>
    <row r="41" spans="1:14" ht="15.75" hidden="1" customHeight="1">
      <c r="A41" s="30">
        <v>10</v>
      </c>
      <c r="B41" s="35" t="s">
        <v>68</v>
      </c>
      <c r="C41" s="46" t="s">
        <v>28</v>
      </c>
      <c r="D41" s="35" t="s">
        <v>91</v>
      </c>
      <c r="E41" s="34">
        <v>108.9</v>
      </c>
      <c r="F41" s="37">
        <f>SUM(E41*155/1000)</f>
        <v>16.8795</v>
      </c>
      <c r="G41" s="34">
        <v>460.02</v>
      </c>
      <c r="H41" s="114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193</v>
      </c>
      <c r="C42" s="46" t="s">
        <v>194</v>
      </c>
      <c r="D42" s="35" t="s">
        <v>67</v>
      </c>
      <c r="E42" s="113"/>
      <c r="F42" s="37">
        <v>39</v>
      </c>
      <c r="G42" s="34">
        <v>314</v>
      </c>
      <c r="H42" s="114">
        <f t="shared" si="4"/>
        <v>12.246</v>
      </c>
      <c r="I42" s="13"/>
      <c r="J42" s="24"/>
      <c r="L42" s="19"/>
      <c r="M42" s="20"/>
      <c r="N42" s="21"/>
    </row>
    <row r="43" spans="1:14" ht="47.25" hidden="1" customHeight="1">
      <c r="A43" s="30">
        <v>11</v>
      </c>
      <c r="B43" s="35" t="s">
        <v>84</v>
      </c>
      <c r="C43" s="46" t="s">
        <v>92</v>
      </c>
      <c r="D43" s="35" t="s">
        <v>127</v>
      </c>
      <c r="E43" s="34">
        <v>40</v>
      </c>
      <c r="F43" s="37">
        <f>SUM(E43*35/1000)</f>
        <v>1.4</v>
      </c>
      <c r="G43" s="34">
        <v>7611.16</v>
      </c>
      <c r="H43" s="114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hidden="1" customHeight="1">
      <c r="A44" s="30">
        <v>12</v>
      </c>
      <c r="B44" s="35" t="s">
        <v>128</v>
      </c>
      <c r="C44" s="46" t="s">
        <v>92</v>
      </c>
      <c r="D44" s="35" t="s">
        <v>69</v>
      </c>
      <c r="E44" s="34">
        <v>108.9</v>
      </c>
      <c r="F44" s="37">
        <f>SUM(E44*45/1000)</f>
        <v>4.9005000000000001</v>
      </c>
      <c r="G44" s="34">
        <v>562.25</v>
      </c>
      <c r="H44" s="114">
        <f t="shared" si="4"/>
        <v>2.7553061250000002</v>
      </c>
      <c r="I44" s="13">
        <f t="shared" si="5"/>
        <v>459.21768750000001</v>
      </c>
      <c r="J44" s="24"/>
      <c r="L44" s="19"/>
      <c r="M44" s="20"/>
      <c r="N44" s="21"/>
    </row>
    <row r="45" spans="1:14" ht="15.75" hidden="1" customHeight="1">
      <c r="A45" s="30">
        <v>13</v>
      </c>
      <c r="B45" s="36" t="s">
        <v>70</v>
      </c>
      <c r="C45" s="55" t="s">
        <v>32</v>
      </c>
      <c r="D45" s="36"/>
      <c r="E45" s="116"/>
      <c r="F45" s="37">
        <v>0.5</v>
      </c>
      <c r="G45" s="37">
        <v>974.83</v>
      </c>
      <c r="H45" s="114">
        <f t="shared" si="4"/>
        <v>0.48741500000000004</v>
      </c>
      <c r="I45" s="13">
        <f t="shared" si="5"/>
        <v>81.235833333333332</v>
      </c>
      <c r="J45" s="24"/>
      <c r="L45" s="19"/>
      <c r="M45" s="20"/>
      <c r="N45" s="21"/>
    </row>
    <row r="46" spans="1:14" ht="15.75" customHeight="1">
      <c r="A46" s="154" t="s">
        <v>138</v>
      </c>
      <c r="B46" s="155"/>
      <c r="C46" s="155"/>
      <c r="D46" s="155"/>
      <c r="E46" s="155"/>
      <c r="F46" s="155"/>
      <c r="G46" s="155"/>
      <c r="H46" s="155"/>
      <c r="I46" s="156"/>
      <c r="J46" s="24"/>
      <c r="L46" s="19"/>
      <c r="M46" s="20"/>
      <c r="N46" s="21"/>
    </row>
    <row r="47" spans="1:14" ht="15.75" customHeight="1">
      <c r="A47" s="30">
        <v>12</v>
      </c>
      <c r="B47" s="35" t="s">
        <v>112</v>
      </c>
      <c r="C47" s="46" t="s">
        <v>92</v>
      </c>
      <c r="D47" s="35" t="s">
        <v>42</v>
      </c>
      <c r="E47" s="113">
        <v>838.88</v>
      </c>
      <c r="F47" s="34">
        <f>SUM(E47*2/1000)</f>
        <v>1.6777599999999999</v>
      </c>
      <c r="G47" s="39">
        <v>1062</v>
      </c>
      <c r="H47" s="114">
        <f t="shared" ref="H47:H56" si="6">SUM(F47*G47/1000)</f>
        <v>1.7817811199999998</v>
      </c>
      <c r="I47" s="13">
        <f t="shared" ref="I47:I50" si="7">F47/2*G47</f>
        <v>890.89055999999994</v>
      </c>
      <c r="J47" s="24"/>
      <c r="L47" s="19"/>
      <c r="M47" s="20"/>
      <c r="N47" s="21"/>
    </row>
    <row r="48" spans="1:14" ht="15.75" customHeight="1">
      <c r="A48" s="30">
        <v>13</v>
      </c>
      <c r="B48" s="35" t="s">
        <v>35</v>
      </c>
      <c r="C48" s="46" t="s">
        <v>92</v>
      </c>
      <c r="D48" s="35" t="s">
        <v>42</v>
      </c>
      <c r="E48" s="113">
        <v>26</v>
      </c>
      <c r="F48" s="34">
        <f>E48*2/1000</f>
        <v>5.1999999999999998E-2</v>
      </c>
      <c r="G48" s="39">
        <v>759.98</v>
      </c>
      <c r="H48" s="114">
        <f t="shared" si="6"/>
        <v>3.9518959999999999E-2</v>
      </c>
      <c r="I48" s="13">
        <f t="shared" si="7"/>
        <v>19.75948</v>
      </c>
      <c r="J48" s="24"/>
      <c r="L48" s="19"/>
      <c r="M48" s="20"/>
      <c r="N48" s="21"/>
    </row>
    <row r="49" spans="1:14" ht="15.75" customHeight="1">
      <c r="A49" s="30">
        <v>14</v>
      </c>
      <c r="B49" s="35" t="s">
        <v>36</v>
      </c>
      <c r="C49" s="46" t="s">
        <v>92</v>
      </c>
      <c r="D49" s="35" t="s">
        <v>42</v>
      </c>
      <c r="E49" s="113">
        <v>879</v>
      </c>
      <c r="F49" s="34">
        <f>SUM(E49*2/1000)</f>
        <v>1.758</v>
      </c>
      <c r="G49" s="39">
        <v>759.98</v>
      </c>
      <c r="H49" s="114">
        <f t="shared" si="6"/>
        <v>1.33604484</v>
      </c>
      <c r="I49" s="13">
        <f t="shared" si="7"/>
        <v>668.02242000000001</v>
      </c>
      <c r="J49" s="24"/>
      <c r="L49" s="19"/>
      <c r="M49" s="20"/>
      <c r="N49" s="21"/>
    </row>
    <row r="50" spans="1:14" ht="15.75" customHeight="1">
      <c r="A50" s="30">
        <v>15</v>
      </c>
      <c r="B50" s="35" t="s">
        <v>37</v>
      </c>
      <c r="C50" s="46" t="s">
        <v>92</v>
      </c>
      <c r="D50" s="35" t="s">
        <v>42</v>
      </c>
      <c r="E50" s="113">
        <v>1490.75</v>
      </c>
      <c r="F50" s="34">
        <f>SUM(E50*2/1000)</f>
        <v>2.9815</v>
      </c>
      <c r="G50" s="39">
        <v>795.82</v>
      </c>
      <c r="H50" s="114">
        <f t="shared" si="6"/>
        <v>2.3727373300000005</v>
      </c>
      <c r="I50" s="13">
        <f t="shared" si="7"/>
        <v>1186.3686650000002</v>
      </c>
      <c r="J50" s="24"/>
      <c r="L50" s="19"/>
      <c r="M50" s="20"/>
      <c r="N50" s="21"/>
    </row>
    <row r="51" spans="1:14" ht="15.75" customHeight="1">
      <c r="A51" s="30">
        <v>16</v>
      </c>
      <c r="B51" s="35" t="s">
        <v>33</v>
      </c>
      <c r="C51" s="46" t="s">
        <v>34</v>
      </c>
      <c r="D51" s="35" t="s">
        <v>42</v>
      </c>
      <c r="E51" s="113">
        <v>61.04</v>
      </c>
      <c r="F51" s="34">
        <f>SUM(E51*2/100)</f>
        <v>1.2207999999999999</v>
      </c>
      <c r="G51" s="39">
        <v>95.49</v>
      </c>
      <c r="H51" s="114">
        <f t="shared" si="6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customHeight="1">
      <c r="A52" s="30">
        <v>17</v>
      </c>
      <c r="B52" s="35" t="s">
        <v>56</v>
      </c>
      <c r="C52" s="46" t="s">
        <v>92</v>
      </c>
      <c r="D52" s="35" t="s">
        <v>150</v>
      </c>
      <c r="E52" s="113">
        <v>2135.1999999999998</v>
      </c>
      <c r="F52" s="34">
        <f>SUM(E52*5/1000)</f>
        <v>10.676</v>
      </c>
      <c r="G52" s="39">
        <v>1591.6</v>
      </c>
      <c r="H52" s="114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/>
      <c r="B53" s="35" t="s">
        <v>93</v>
      </c>
      <c r="C53" s="46" t="s">
        <v>92</v>
      </c>
      <c r="D53" s="35" t="s">
        <v>42</v>
      </c>
      <c r="E53" s="113">
        <v>2135.1999999999998</v>
      </c>
      <c r="F53" s="34">
        <f>SUM(E53*2/1000)</f>
        <v>4.2703999999999995</v>
      </c>
      <c r="G53" s="39">
        <v>1591.6</v>
      </c>
      <c r="H53" s="114">
        <f t="shared" si="6"/>
        <v>6.796768639999998</v>
      </c>
      <c r="I53" s="13">
        <v>0</v>
      </c>
      <c r="J53" s="24"/>
      <c r="L53" s="19"/>
      <c r="M53" s="20"/>
      <c r="N53" s="21"/>
    </row>
    <row r="54" spans="1:14" ht="31.5" hidden="1" customHeight="1">
      <c r="A54" s="30"/>
      <c r="B54" s="35" t="s">
        <v>94</v>
      </c>
      <c r="C54" s="46" t="s">
        <v>38</v>
      </c>
      <c r="D54" s="35" t="s">
        <v>42</v>
      </c>
      <c r="E54" s="113">
        <v>10</v>
      </c>
      <c r="F54" s="34">
        <f>SUM(E54*2/100)</f>
        <v>0.2</v>
      </c>
      <c r="G54" s="39">
        <v>3581.13</v>
      </c>
      <c r="H54" s="114">
        <f t="shared" si="6"/>
        <v>0.71622600000000014</v>
      </c>
      <c r="I54" s="13">
        <v>0</v>
      </c>
      <c r="J54" s="24"/>
      <c r="L54" s="19"/>
      <c r="M54" s="20"/>
      <c r="N54" s="21"/>
    </row>
    <row r="55" spans="1:14" ht="15.75" hidden="1" customHeight="1">
      <c r="A55" s="30"/>
      <c r="B55" s="35" t="s">
        <v>39</v>
      </c>
      <c r="C55" s="46" t="s">
        <v>40</v>
      </c>
      <c r="D55" s="35" t="s">
        <v>42</v>
      </c>
      <c r="E55" s="113">
        <v>1</v>
      </c>
      <c r="F55" s="34">
        <v>0.02</v>
      </c>
      <c r="G55" s="39">
        <v>7412.92</v>
      </c>
      <c r="H55" s="114">
        <f t="shared" si="6"/>
        <v>0.14825839999999998</v>
      </c>
      <c r="I55" s="13">
        <v>0</v>
      </c>
      <c r="J55" s="24"/>
      <c r="L55" s="19"/>
      <c r="M55" s="20"/>
      <c r="N55" s="21"/>
    </row>
    <row r="56" spans="1:14" ht="15.75" customHeight="1">
      <c r="A56" s="122">
        <v>18</v>
      </c>
      <c r="B56" s="118" t="s">
        <v>41</v>
      </c>
      <c r="C56" s="119" t="s">
        <v>113</v>
      </c>
      <c r="D56" s="118" t="s">
        <v>71</v>
      </c>
      <c r="E56" s="120">
        <v>80</v>
      </c>
      <c r="F56" s="121">
        <f>SUM(E56)*3</f>
        <v>240</v>
      </c>
      <c r="G56" s="123">
        <v>86.15</v>
      </c>
      <c r="H56" s="124">
        <f t="shared" si="6"/>
        <v>20.675999999999998</v>
      </c>
      <c r="I56" s="125">
        <f>E56*G56</f>
        <v>6892</v>
      </c>
      <c r="J56" s="24"/>
      <c r="L56" s="19"/>
      <c r="M56" s="20"/>
      <c r="N56" s="21"/>
    </row>
    <row r="57" spans="1:14" ht="15.75" customHeight="1">
      <c r="A57" s="146" t="s">
        <v>137</v>
      </c>
      <c r="B57" s="146"/>
      <c r="C57" s="146"/>
      <c r="D57" s="146"/>
      <c r="E57" s="146"/>
      <c r="F57" s="146"/>
      <c r="G57" s="146"/>
      <c r="H57" s="146"/>
      <c r="I57" s="146"/>
      <c r="J57" s="24"/>
      <c r="L57" s="19"/>
      <c r="M57" s="20"/>
      <c r="N57" s="21"/>
    </row>
    <row r="58" spans="1:14" ht="15.75" hidden="1" customHeight="1">
      <c r="A58" s="30"/>
      <c r="B58" s="69" t="s">
        <v>43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16</v>
      </c>
      <c r="B59" s="41" t="s">
        <v>114</v>
      </c>
      <c r="C59" s="42" t="s">
        <v>89</v>
      </c>
      <c r="D59" s="41" t="s">
        <v>115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195</v>
      </c>
      <c r="C60" s="42" t="s">
        <v>196</v>
      </c>
      <c r="D60" s="41" t="s">
        <v>67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69" t="s">
        <v>44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132</v>
      </c>
      <c r="C62" s="42" t="s">
        <v>89</v>
      </c>
      <c r="D62" s="41" t="s">
        <v>53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19</v>
      </c>
      <c r="B63" s="41" t="s">
        <v>197</v>
      </c>
      <c r="C63" s="42" t="s">
        <v>198</v>
      </c>
      <c r="D63" s="41" t="s">
        <v>199</v>
      </c>
      <c r="E63" s="17">
        <v>134.19999999999999</v>
      </c>
      <c r="F63" s="39">
        <f>E63*12</f>
        <v>1610.3999999999999</v>
      </c>
      <c r="G63" s="39">
        <v>2.8</v>
      </c>
      <c r="H63" s="39">
        <f>F63*G63/1000</f>
        <v>4.5091199999999994</v>
      </c>
      <c r="I63" s="13">
        <f>F63/12*G63</f>
        <v>375.75999999999993</v>
      </c>
    </row>
    <row r="64" spans="1:14" ht="15.75" customHeight="1">
      <c r="A64" s="126"/>
      <c r="B64" s="127" t="s">
        <v>45</v>
      </c>
      <c r="C64" s="128"/>
      <c r="D64" s="129"/>
      <c r="E64" s="86"/>
      <c r="F64" s="130"/>
      <c r="G64" s="130"/>
      <c r="H64" s="131" t="s">
        <v>122</v>
      </c>
      <c r="I64" s="132"/>
    </row>
    <row r="65" spans="1:22" ht="15.75" customHeight="1">
      <c r="A65" s="30">
        <v>20</v>
      </c>
      <c r="B65" s="58" t="s">
        <v>46</v>
      </c>
      <c r="C65" s="42" t="s">
        <v>113</v>
      </c>
      <c r="D65" s="41" t="s">
        <v>67</v>
      </c>
      <c r="E65" s="17">
        <v>5</v>
      </c>
      <c r="F65" s="34">
        <f>E65</f>
        <v>5</v>
      </c>
      <c r="G65" s="39">
        <v>291.68</v>
      </c>
      <c r="H65" s="79">
        <f t="shared" ref="H65:H72" si="8">SUM(F65*G65/1000)</f>
        <v>1.4584000000000001</v>
      </c>
      <c r="I65" s="13">
        <f>G65*4</f>
        <v>1166.72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47</v>
      </c>
      <c r="C66" s="42" t="s">
        <v>113</v>
      </c>
      <c r="D66" s="41" t="s">
        <v>67</v>
      </c>
      <c r="E66" s="17">
        <v>5</v>
      </c>
      <c r="F66" s="34">
        <f>E66</f>
        <v>5</v>
      </c>
      <c r="G66" s="39">
        <v>100.01</v>
      </c>
      <c r="H66" s="79">
        <f t="shared" si="8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48</v>
      </c>
      <c r="C67" s="44" t="s">
        <v>116</v>
      </c>
      <c r="D67" s="41" t="s">
        <v>53</v>
      </c>
      <c r="E67" s="113">
        <v>10348</v>
      </c>
      <c r="F67" s="40">
        <f>SUM(E67/100)</f>
        <v>103.48</v>
      </c>
      <c r="G67" s="39">
        <v>278.24</v>
      </c>
      <c r="H67" s="79">
        <f t="shared" si="8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49</v>
      </c>
      <c r="C68" s="42" t="s">
        <v>117</v>
      </c>
      <c r="D68" s="41" t="s">
        <v>53</v>
      </c>
      <c r="E68" s="113">
        <v>10348</v>
      </c>
      <c r="F68" s="39">
        <f>SUM(E68/1000)</f>
        <v>10.348000000000001</v>
      </c>
      <c r="G68" s="39">
        <v>216.68</v>
      </c>
      <c r="H68" s="79">
        <f t="shared" si="8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47"/>
      <c r="S68" s="147"/>
      <c r="T68" s="147"/>
      <c r="U68" s="147"/>
    </row>
    <row r="69" spans="1:22" ht="15.75" hidden="1" customHeight="1">
      <c r="A69" s="30"/>
      <c r="B69" s="58" t="s">
        <v>50</v>
      </c>
      <c r="C69" s="42" t="s">
        <v>77</v>
      </c>
      <c r="D69" s="41" t="s">
        <v>53</v>
      </c>
      <c r="E69" s="113">
        <v>1645</v>
      </c>
      <c r="F69" s="39">
        <f>SUM(E69/100)</f>
        <v>16.45</v>
      </c>
      <c r="G69" s="39">
        <v>2720.94</v>
      </c>
      <c r="H69" s="79">
        <f t="shared" si="8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118</v>
      </c>
      <c r="C70" s="42" t="s">
        <v>32</v>
      </c>
      <c r="D70" s="41"/>
      <c r="E70" s="113">
        <v>9</v>
      </c>
      <c r="F70" s="39">
        <f>E70</f>
        <v>9</v>
      </c>
      <c r="G70" s="39">
        <v>42.61</v>
      </c>
      <c r="H70" s="79">
        <f t="shared" si="8"/>
        <v>0.38349</v>
      </c>
      <c r="I70" s="13">
        <v>0</v>
      </c>
    </row>
    <row r="71" spans="1:22" ht="15.75" hidden="1" customHeight="1">
      <c r="A71" s="30"/>
      <c r="B71" s="53" t="s">
        <v>119</v>
      </c>
      <c r="C71" s="42" t="s">
        <v>32</v>
      </c>
      <c r="D71" s="41"/>
      <c r="E71" s="113">
        <v>9</v>
      </c>
      <c r="F71" s="39">
        <f t="shared" ref="F71:F72" si="9">E71</f>
        <v>9</v>
      </c>
      <c r="G71" s="39">
        <v>46.04</v>
      </c>
      <c r="H71" s="79">
        <f t="shared" si="8"/>
        <v>0.41436000000000001</v>
      </c>
      <c r="I71" s="13">
        <v>0</v>
      </c>
    </row>
    <row r="72" spans="1:22" ht="15.75" customHeight="1">
      <c r="A72" s="30">
        <v>21</v>
      </c>
      <c r="B72" s="41" t="s">
        <v>57</v>
      </c>
      <c r="C72" s="42" t="s">
        <v>58</v>
      </c>
      <c r="D72" s="41" t="s">
        <v>53</v>
      </c>
      <c r="E72" s="17">
        <v>2</v>
      </c>
      <c r="F72" s="39">
        <f t="shared" si="9"/>
        <v>2</v>
      </c>
      <c r="G72" s="39">
        <v>65.42</v>
      </c>
      <c r="H72" s="79">
        <f t="shared" si="8"/>
        <v>0.13084000000000001</v>
      </c>
      <c r="I72" s="13">
        <f>F72*G72</f>
        <v>130.84</v>
      </c>
    </row>
    <row r="73" spans="1:22" ht="15.75" customHeight="1">
      <c r="A73" s="30"/>
      <c r="B73" s="69" t="s">
        <v>72</v>
      </c>
      <c r="C73" s="16"/>
      <c r="D73" s="14"/>
      <c r="E73" s="18"/>
      <c r="F73" s="13"/>
      <c r="G73" s="13"/>
      <c r="H73" s="80" t="s">
        <v>122</v>
      </c>
      <c r="I73" s="13"/>
    </row>
    <row r="74" spans="1:22" ht="15.75" hidden="1" customHeight="1">
      <c r="A74" s="30"/>
      <c r="B74" s="14" t="s">
        <v>200</v>
      </c>
      <c r="C74" s="16" t="s">
        <v>201</v>
      </c>
      <c r="D74" s="41" t="s">
        <v>67</v>
      </c>
      <c r="E74" s="18">
        <v>1</v>
      </c>
      <c r="F74" s="13">
        <f>E74</f>
        <v>1</v>
      </c>
      <c r="G74" s="13">
        <v>1029.1199999999999</v>
      </c>
      <c r="H74" s="80">
        <f t="shared" ref="H74:H75" si="10">SUM(F74*G74/1000)</f>
        <v>1.0291199999999998</v>
      </c>
      <c r="I74" s="13">
        <v>0</v>
      </c>
    </row>
    <row r="75" spans="1:22" ht="15.75" hidden="1" customHeight="1">
      <c r="A75" s="30"/>
      <c r="B75" s="14" t="s">
        <v>202</v>
      </c>
      <c r="C75" s="16" t="s">
        <v>203</v>
      </c>
      <c r="D75" s="133"/>
      <c r="E75" s="18">
        <v>1</v>
      </c>
      <c r="F75" s="13">
        <v>1</v>
      </c>
      <c r="G75" s="13">
        <v>735</v>
      </c>
      <c r="H75" s="80">
        <f t="shared" si="10"/>
        <v>0.73499999999999999</v>
      </c>
      <c r="I75" s="13">
        <v>0</v>
      </c>
    </row>
    <row r="76" spans="1:22" ht="15.75" hidden="1" customHeight="1">
      <c r="A76" s="30"/>
      <c r="B76" s="14" t="s">
        <v>73</v>
      </c>
      <c r="C76" s="16" t="s">
        <v>75</v>
      </c>
      <c r="D76" s="41" t="s">
        <v>67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204</v>
      </c>
      <c r="C77" s="16" t="s">
        <v>113</v>
      </c>
      <c r="D77" s="41" t="s">
        <v>67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205</v>
      </c>
      <c r="C78" s="57" t="s">
        <v>113</v>
      </c>
      <c r="D78" s="41" t="s">
        <v>67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22</v>
      </c>
      <c r="B79" s="56" t="s">
        <v>206</v>
      </c>
      <c r="C79" s="57" t="s">
        <v>113</v>
      </c>
      <c r="D79" s="14" t="s">
        <v>29</v>
      </c>
      <c r="E79" s="18">
        <v>2</v>
      </c>
      <c r="F79" s="84">
        <f>E79*12</f>
        <v>24</v>
      </c>
      <c r="G79" s="13">
        <v>53.42</v>
      </c>
      <c r="H79" s="80">
        <f t="shared" ref="H79:H80" si="11">SUM(F79*G79/1000)</f>
        <v>1.2820799999999999</v>
      </c>
      <c r="I79" s="13">
        <f>G79*2</f>
        <v>106.84</v>
      </c>
    </row>
    <row r="80" spans="1:22" ht="31.5" customHeight="1">
      <c r="A80" s="30">
        <v>23</v>
      </c>
      <c r="B80" s="56" t="s">
        <v>207</v>
      </c>
      <c r="C80" s="57" t="s">
        <v>113</v>
      </c>
      <c r="D80" s="14" t="s">
        <v>29</v>
      </c>
      <c r="E80" s="18">
        <v>1</v>
      </c>
      <c r="F80" s="84">
        <f>E80*12</f>
        <v>12</v>
      </c>
      <c r="G80" s="13">
        <v>1194</v>
      </c>
      <c r="H80" s="80">
        <f t="shared" si="11"/>
        <v>14.327999999999999</v>
      </c>
      <c r="I80" s="13">
        <f>G80</f>
        <v>1194</v>
      </c>
    </row>
    <row r="81" spans="1:9" ht="15.75" hidden="1" customHeight="1">
      <c r="A81" s="30"/>
      <c r="B81" s="98" t="s">
        <v>76</v>
      </c>
      <c r="C81" s="16"/>
      <c r="D81" s="14"/>
      <c r="E81" s="18"/>
      <c r="F81" s="13"/>
      <c r="G81" s="13" t="s">
        <v>122</v>
      </c>
      <c r="H81" s="80" t="s">
        <v>122</v>
      </c>
      <c r="I81" s="13"/>
    </row>
    <row r="82" spans="1:9" ht="15.75" hidden="1" customHeight="1">
      <c r="A82" s="30"/>
      <c r="B82" s="43" t="s">
        <v>123</v>
      </c>
      <c r="C82" s="44" t="s">
        <v>77</v>
      </c>
      <c r="D82" s="58"/>
      <c r="E82" s="134"/>
      <c r="F82" s="40">
        <v>0.6</v>
      </c>
      <c r="G82" s="40">
        <v>3619.09</v>
      </c>
      <c r="H82" s="79">
        <f t="shared" ref="H82" si="12">SUM(F82*G82/1000)</f>
        <v>2.1714540000000002</v>
      </c>
      <c r="I82" s="13">
        <v>0</v>
      </c>
    </row>
    <row r="83" spans="1:9" ht="15.75" hidden="1" customHeight="1">
      <c r="A83" s="30"/>
      <c r="B83" s="105" t="s">
        <v>95</v>
      </c>
      <c r="C83" s="98"/>
      <c r="D83" s="32"/>
      <c r="E83" s="33"/>
      <c r="F83" s="87"/>
      <c r="G83" s="87"/>
      <c r="H83" s="99">
        <f>SUM(H59:H82)</f>
        <v>118.31888176</v>
      </c>
      <c r="I83" s="87"/>
    </row>
    <row r="84" spans="1:9" ht="15.75" hidden="1" customHeight="1">
      <c r="A84" s="122">
        <v>17</v>
      </c>
      <c r="B84" s="136" t="s">
        <v>120</v>
      </c>
      <c r="C84" s="137"/>
      <c r="D84" s="138"/>
      <c r="E84" s="135"/>
      <c r="F84" s="139">
        <v>1</v>
      </c>
      <c r="G84" s="139">
        <v>7005.5</v>
      </c>
      <c r="H84" s="140">
        <f>G84*F84/1000</f>
        <v>7.0054999999999996</v>
      </c>
      <c r="I84" s="125">
        <f>G84</f>
        <v>7005.5</v>
      </c>
    </row>
    <row r="85" spans="1:9" ht="15.75" customHeight="1">
      <c r="A85" s="146" t="s">
        <v>136</v>
      </c>
      <c r="B85" s="146"/>
      <c r="C85" s="146"/>
      <c r="D85" s="146"/>
      <c r="E85" s="146"/>
      <c r="F85" s="146"/>
      <c r="G85" s="146"/>
      <c r="H85" s="146"/>
      <c r="I85" s="146"/>
    </row>
    <row r="86" spans="1:9" ht="15.75" customHeight="1">
      <c r="A86" s="30">
        <v>24</v>
      </c>
      <c r="B86" s="41" t="s">
        <v>121</v>
      </c>
      <c r="C86" s="42" t="s">
        <v>54</v>
      </c>
      <c r="D86" s="59" t="s">
        <v>55</v>
      </c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25</v>
      </c>
      <c r="B87" s="14" t="s">
        <v>78</v>
      </c>
      <c r="C87" s="16"/>
      <c r="D87" s="59" t="s">
        <v>55</v>
      </c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81</v>
      </c>
      <c r="C88" s="98"/>
      <c r="D88" s="97"/>
      <c r="E88" s="87"/>
      <c r="F88" s="87"/>
      <c r="G88" s="87"/>
      <c r="H88" s="99">
        <f>H87</f>
        <v>89.678399999999996</v>
      </c>
      <c r="I88" s="87">
        <f>I16+I17+I18+I20+I21+I27+I28+I31+I32+I34+I35+I47+I48+I49+I50+I51+I52+I56+I63+I65+I72+I79+I80+I86+I87</f>
        <v>47507.804194444449</v>
      </c>
    </row>
    <row r="89" spans="1:9" ht="15.75" customHeight="1">
      <c r="A89" s="158" t="s">
        <v>60</v>
      </c>
      <c r="B89" s="159"/>
      <c r="C89" s="159"/>
      <c r="D89" s="159"/>
      <c r="E89" s="159"/>
      <c r="F89" s="159"/>
      <c r="G89" s="159"/>
      <c r="H89" s="159"/>
      <c r="I89" s="160"/>
    </row>
    <row r="90" spans="1:9" ht="15.75" customHeight="1">
      <c r="A90" s="30">
        <v>26</v>
      </c>
      <c r="B90" s="56" t="s">
        <v>124</v>
      </c>
      <c r="C90" s="61" t="s">
        <v>113</v>
      </c>
      <c r="D90" s="60"/>
      <c r="E90" s="39"/>
      <c r="F90" s="39">
        <v>120</v>
      </c>
      <c r="G90" s="39">
        <v>53.42</v>
      </c>
      <c r="H90" s="79">
        <f>G90*F90/1000</f>
        <v>6.410400000000001</v>
      </c>
      <c r="I90" s="13">
        <f>G90*40</f>
        <v>2136.8000000000002</v>
      </c>
    </row>
    <row r="91" spans="1:9" ht="15.75" customHeight="1">
      <c r="A91" s="30">
        <v>27</v>
      </c>
      <c r="B91" s="56" t="s">
        <v>146</v>
      </c>
      <c r="C91" s="57" t="s">
        <v>147</v>
      </c>
      <c r="D91" s="52"/>
      <c r="E91" s="13"/>
      <c r="F91" s="13">
        <v>1</v>
      </c>
      <c r="G91" s="13">
        <v>206.54</v>
      </c>
      <c r="H91" s="80">
        <f>G91*F91/1000</f>
        <v>0.20654</v>
      </c>
      <c r="I91" s="13">
        <f>G91</f>
        <v>206.54</v>
      </c>
    </row>
    <row r="92" spans="1:9" ht="15.75" customHeight="1">
      <c r="A92" s="30"/>
      <c r="B92" s="50" t="s">
        <v>51</v>
      </c>
      <c r="C92" s="57"/>
      <c r="D92" s="52"/>
      <c r="E92" s="13"/>
      <c r="F92" s="13"/>
      <c r="G92" s="13"/>
      <c r="H92" s="80"/>
      <c r="I92" s="87">
        <f>SUM(I90:I91)</f>
        <v>2343.34</v>
      </c>
    </row>
    <row r="93" spans="1:9">
      <c r="A93" s="30"/>
      <c r="B93" s="52" t="s">
        <v>79</v>
      </c>
      <c r="C93" s="15"/>
      <c r="D93" s="15"/>
      <c r="E93" s="47"/>
      <c r="F93" s="47"/>
      <c r="G93" s="48"/>
      <c r="H93" s="48"/>
      <c r="I93" s="17">
        <v>0</v>
      </c>
    </row>
    <row r="94" spans="1:9">
      <c r="A94" s="54"/>
      <c r="B94" s="51" t="s">
        <v>169</v>
      </c>
      <c r="C94" s="38"/>
      <c r="D94" s="38"/>
      <c r="E94" s="38"/>
      <c r="F94" s="38"/>
      <c r="G94" s="38"/>
      <c r="H94" s="38"/>
      <c r="I94" s="49">
        <f>I88+I92</f>
        <v>49851.144194444452</v>
      </c>
    </row>
    <row r="95" spans="1:9" ht="15.75" customHeight="1">
      <c r="A95" s="165" t="s">
        <v>217</v>
      </c>
      <c r="B95" s="165"/>
      <c r="C95" s="165"/>
      <c r="D95" s="165"/>
      <c r="E95" s="165"/>
      <c r="F95" s="165"/>
      <c r="G95" s="165"/>
      <c r="H95" s="165"/>
      <c r="I95" s="165"/>
    </row>
    <row r="96" spans="1:9" ht="15.75" customHeight="1">
      <c r="A96" s="68"/>
      <c r="B96" s="166" t="s">
        <v>218</v>
      </c>
      <c r="C96" s="166"/>
      <c r="D96" s="166"/>
      <c r="E96" s="166"/>
      <c r="F96" s="166"/>
      <c r="G96" s="166"/>
      <c r="H96" s="78"/>
      <c r="I96" s="3"/>
    </row>
    <row r="97" spans="1:9">
      <c r="A97" s="74"/>
      <c r="B97" s="163" t="s">
        <v>6</v>
      </c>
      <c r="C97" s="163"/>
      <c r="D97" s="163"/>
      <c r="E97" s="163"/>
      <c r="F97" s="163"/>
      <c r="G97" s="163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67" t="s">
        <v>7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 customHeight="1">
      <c r="A100" s="167" t="s">
        <v>8</v>
      </c>
      <c r="B100" s="167"/>
      <c r="C100" s="167"/>
      <c r="D100" s="167"/>
      <c r="E100" s="167"/>
      <c r="F100" s="167"/>
      <c r="G100" s="167"/>
      <c r="H100" s="167"/>
      <c r="I100" s="167"/>
    </row>
    <row r="101" spans="1:9" ht="15.75">
      <c r="A101" s="144" t="s">
        <v>61</v>
      </c>
      <c r="B101" s="144"/>
      <c r="C101" s="144"/>
      <c r="D101" s="144"/>
      <c r="E101" s="144"/>
      <c r="F101" s="144"/>
      <c r="G101" s="144"/>
      <c r="H101" s="144"/>
      <c r="I101" s="144"/>
    </row>
    <row r="102" spans="1:9" ht="15.75">
      <c r="A102" s="11"/>
    </row>
    <row r="103" spans="1:9" ht="15.75" customHeight="1">
      <c r="A103" s="145" t="s">
        <v>9</v>
      </c>
      <c r="B103" s="145"/>
      <c r="C103" s="145"/>
      <c r="D103" s="145"/>
      <c r="E103" s="145"/>
      <c r="F103" s="145"/>
      <c r="G103" s="145"/>
      <c r="H103" s="145"/>
      <c r="I103" s="145"/>
    </row>
    <row r="104" spans="1:9" ht="15.75" customHeight="1">
      <c r="A104" s="4"/>
    </row>
    <row r="105" spans="1:9" ht="15.75" customHeight="1">
      <c r="B105" s="71" t="s">
        <v>10</v>
      </c>
      <c r="C105" s="162" t="s">
        <v>139</v>
      </c>
      <c r="D105" s="162"/>
      <c r="E105" s="162"/>
      <c r="F105" s="76"/>
      <c r="I105" s="73"/>
    </row>
    <row r="106" spans="1:9" ht="15.75" customHeight="1">
      <c r="A106" s="74"/>
      <c r="C106" s="163" t="s">
        <v>11</v>
      </c>
      <c r="D106" s="163"/>
      <c r="E106" s="163"/>
      <c r="F106" s="25"/>
      <c r="I106" s="72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71" t="s">
        <v>13</v>
      </c>
      <c r="C108" s="164"/>
      <c r="D108" s="164"/>
      <c r="E108" s="164"/>
      <c r="F108" s="77"/>
      <c r="I108" s="73"/>
    </row>
    <row r="109" spans="1:9">
      <c r="A109" s="74"/>
      <c r="C109" s="147" t="s">
        <v>11</v>
      </c>
      <c r="D109" s="147"/>
      <c r="E109" s="147"/>
      <c r="F109" s="74"/>
      <c r="I109" s="72" t="s">
        <v>12</v>
      </c>
    </row>
    <row r="110" spans="1:9" ht="15.75">
      <c r="A110" s="4" t="s">
        <v>14</v>
      </c>
    </row>
    <row r="111" spans="1:9">
      <c r="A111" s="161" t="s">
        <v>15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45" customHeight="1">
      <c r="A112" s="157" t="s">
        <v>16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30" customHeight="1">
      <c r="A113" s="157" t="s">
        <v>17</v>
      </c>
      <c r="B113" s="157"/>
      <c r="C113" s="157"/>
      <c r="D113" s="157"/>
      <c r="E113" s="157"/>
      <c r="F113" s="157"/>
      <c r="G113" s="157"/>
      <c r="H113" s="157"/>
      <c r="I113" s="157"/>
    </row>
    <row r="114" spans="1:9" ht="30" customHeight="1">
      <c r="A114" s="157" t="s">
        <v>21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15" customHeight="1">
      <c r="A115" s="157" t="s">
        <v>20</v>
      </c>
      <c r="B115" s="157"/>
      <c r="C115" s="157"/>
      <c r="D115" s="157"/>
      <c r="E115" s="157"/>
      <c r="F115" s="157"/>
      <c r="G115" s="157"/>
      <c r="H115" s="157"/>
      <c r="I115" s="157"/>
    </row>
  </sheetData>
  <autoFilter ref="I12:I62"/>
  <mergeCells count="29">
    <mergeCell ref="A14:I14"/>
    <mergeCell ref="A15:I15"/>
    <mergeCell ref="A29:I29"/>
    <mergeCell ref="A46:I46"/>
    <mergeCell ref="A57:I57"/>
    <mergeCell ref="A3:I3"/>
    <mergeCell ref="A4:I4"/>
    <mergeCell ref="A5:I5"/>
    <mergeCell ref="A8:I8"/>
    <mergeCell ref="A10:I10"/>
    <mergeCell ref="R68:U68"/>
    <mergeCell ref="C109:E109"/>
    <mergeCell ref="A89:I8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5:I85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2018-04-16T12:14:03Z</cp:lastPrinted>
  <dcterms:created xsi:type="dcterms:W3CDTF">2016-03-25T08:33:47Z</dcterms:created>
  <dcterms:modified xsi:type="dcterms:W3CDTF">2018-04-16T12:14:04Z</dcterms:modified>
</cp:coreProperties>
</file>