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троит.8" sheetId="1" r:id="rId1"/>
    <sheet name="Лист1" sheetId="2" r:id="rId2"/>
  </sheets>
  <definedNames>
    <definedName name="_xlnm.Print_Area" localSheetId="0">строит.8!$A$1:$U$131</definedName>
  </definedNames>
  <calcPr calcId="124519"/>
</workbook>
</file>

<file path=xl/calcChain.xml><?xml version="1.0" encoding="utf-8"?>
<calcChain xmlns="http://schemas.openxmlformats.org/spreadsheetml/2006/main">
  <c r="U112" i="1"/>
  <c r="H112"/>
  <c r="U111"/>
  <c r="T111"/>
  <c r="H111"/>
  <c r="N71"/>
  <c r="R71"/>
  <c r="O71"/>
  <c r="P71"/>
  <c r="S71"/>
  <c r="T72"/>
  <c r="T71"/>
  <c r="U110"/>
  <c r="R110"/>
  <c r="Q110"/>
  <c r="H110"/>
  <c r="U109"/>
  <c r="R109"/>
  <c r="H109"/>
  <c r="U108"/>
  <c r="R108"/>
  <c r="P108"/>
  <c r="H108"/>
  <c r="N102"/>
  <c r="O102"/>
  <c r="P102"/>
  <c r="T102"/>
  <c r="S102"/>
  <c r="Q102"/>
  <c r="R102"/>
  <c r="S104"/>
  <c r="U107"/>
  <c r="T107"/>
  <c r="H107"/>
  <c r="T105"/>
  <c r="S80"/>
  <c r="R80"/>
  <c r="Q80"/>
  <c r="T115"/>
  <c r="S115"/>
  <c r="U106"/>
  <c r="T94"/>
  <c r="S94"/>
  <c r="T91"/>
  <c r="S91"/>
  <c r="T69"/>
  <c r="S69"/>
  <c r="T59"/>
  <c r="S59"/>
  <c r="T50"/>
  <c r="T42"/>
  <c r="S42"/>
  <c r="T41"/>
  <c r="S41"/>
  <c r="T40"/>
  <c r="S40"/>
  <c r="T39"/>
  <c r="S39"/>
  <c r="T37"/>
  <c r="S37"/>
  <c r="T36"/>
  <c r="S36"/>
  <c r="T33"/>
  <c r="S33"/>
  <c r="T29"/>
  <c r="S29"/>
  <c r="T19"/>
  <c r="S19"/>
  <c r="T16"/>
  <c r="S16"/>
  <c r="T15"/>
  <c r="S15"/>
  <c r="T13"/>
  <c r="S13"/>
  <c r="T12"/>
  <c r="S12"/>
  <c r="T11"/>
  <c r="S11"/>
  <c r="R106"/>
  <c r="H106"/>
  <c r="R115"/>
  <c r="Q115"/>
  <c r="P115"/>
  <c r="O115"/>
  <c r="N115"/>
  <c r="R94"/>
  <c r="Q94"/>
  <c r="P94"/>
  <c r="O94"/>
  <c r="N94"/>
  <c r="R91"/>
  <c r="Q91"/>
  <c r="U91" s="1"/>
  <c r="P91"/>
  <c r="O91"/>
  <c r="N91"/>
  <c r="N90"/>
  <c r="Q78"/>
  <c r="R69"/>
  <c r="Q69"/>
  <c r="P69"/>
  <c r="O69"/>
  <c r="N69"/>
  <c r="Q54"/>
  <c r="Q53"/>
  <c r="J52"/>
  <c r="J51"/>
  <c r="Q52"/>
  <c r="Q51"/>
  <c r="Q50"/>
  <c r="R49"/>
  <c r="R48"/>
  <c r="R47"/>
  <c r="R46"/>
  <c r="R45"/>
  <c r="R33"/>
  <c r="Q33"/>
  <c r="P33"/>
  <c r="O33"/>
  <c r="N33"/>
  <c r="R29"/>
  <c r="Q29"/>
  <c r="P29"/>
  <c r="O29"/>
  <c r="N29"/>
  <c r="R28"/>
  <c r="Q28"/>
  <c r="P28"/>
  <c r="M28"/>
  <c r="O28"/>
  <c r="N28"/>
  <c r="R27"/>
  <c r="Q27"/>
  <c r="P27"/>
  <c r="O27"/>
  <c r="N27"/>
  <c r="M26"/>
  <c r="Q25"/>
  <c r="P25"/>
  <c r="O25"/>
  <c r="N25"/>
  <c r="R24"/>
  <c r="Q24"/>
  <c r="P24"/>
  <c r="O24"/>
  <c r="N24"/>
  <c r="R19"/>
  <c r="Q19"/>
  <c r="P19"/>
  <c r="O19"/>
  <c r="N19"/>
  <c r="N21"/>
  <c r="N20"/>
  <c r="N18"/>
  <c r="N17"/>
  <c r="R16"/>
  <c r="Q16"/>
  <c r="P16"/>
  <c r="O16"/>
  <c r="N16"/>
  <c r="R15"/>
  <c r="Q15"/>
  <c r="P15"/>
  <c r="O15"/>
  <c r="N15"/>
  <c r="N14"/>
  <c r="R13"/>
  <c r="Q13"/>
  <c r="P13"/>
  <c r="O13"/>
  <c r="N13"/>
  <c r="R12"/>
  <c r="Q12"/>
  <c r="P12"/>
  <c r="O12"/>
  <c r="N12"/>
  <c r="R11"/>
  <c r="Q11"/>
  <c r="P11"/>
  <c r="O11"/>
  <c r="N11"/>
  <c r="M94"/>
  <c r="M91"/>
  <c r="M77"/>
  <c r="M76"/>
  <c r="M75"/>
  <c r="M74"/>
  <c r="M73"/>
  <c r="M69"/>
  <c r="M54"/>
  <c r="M50"/>
  <c r="M33"/>
  <c r="M29"/>
  <c r="F28"/>
  <c r="M27"/>
  <c r="M25"/>
  <c r="M24"/>
  <c r="M19"/>
  <c r="M16"/>
  <c r="M115" s="1"/>
  <c r="M15"/>
  <c r="M13"/>
  <c r="M12"/>
  <c r="M11"/>
  <c r="L102"/>
  <c r="L80"/>
  <c r="L115"/>
  <c r="L94"/>
  <c r="L91"/>
  <c r="L69"/>
  <c r="L59"/>
  <c r="L49"/>
  <c r="L48"/>
  <c r="L47"/>
  <c r="L46"/>
  <c r="L45"/>
  <c r="L42"/>
  <c r="L41"/>
  <c r="L40"/>
  <c r="L39"/>
  <c r="L37"/>
  <c r="L36"/>
  <c r="L33"/>
  <c r="L29"/>
  <c r="L19"/>
  <c r="L16"/>
  <c r="L15"/>
  <c r="L13"/>
  <c r="L12"/>
  <c r="L11"/>
  <c r="U105"/>
  <c r="K105"/>
  <c r="H105"/>
  <c r="U104"/>
  <c r="K104"/>
  <c r="H104"/>
  <c r="J102"/>
  <c r="K115"/>
  <c r="K94"/>
  <c r="K91"/>
  <c r="K69"/>
  <c r="K59"/>
  <c r="K42"/>
  <c r="K41"/>
  <c r="K40"/>
  <c r="K39"/>
  <c r="K37"/>
  <c r="K36"/>
  <c r="K33"/>
  <c r="K29"/>
  <c r="K19"/>
  <c r="K16"/>
  <c r="K15"/>
  <c r="K13"/>
  <c r="K12"/>
  <c r="K11"/>
  <c r="K80"/>
  <c r="F90"/>
  <c r="U90"/>
  <c r="H90"/>
  <c r="J71"/>
  <c r="J115"/>
  <c r="J94"/>
  <c r="J91"/>
  <c r="J69"/>
  <c r="J59"/>
  <c r="J50"/>
  <c r="J42"/>
  <c r="J41"/>
  <c r="J40"/>
  <c r="J39"/>
  <c r="J37"/>
  <c r="J36"/>
  <c r="J33"/>
  <c r="J29"/>
  <c r="J19"/>
  <c r="J16"/>
  <c r="J15"/>
  <c r="J13"/>
  <c r="J12"/>
  <c r="J11"/>
  <c r="U103"/>
  <c r="I103"/>
  <c r="H103"/>
  <c r="U102"/>
  <c r="U94"/>
  <c r="U74"/>
  <c r="U50"/>
  <c r="U37"/>
  <c r="U36"/>
  <c r="U33"/>
  <c r="U11"/>
  <c r="I94"/>
  <c r="I91"/>
  <c r="I36"/>
  <c r="I11"/>
  <c r="U88"/>
  <c r="U86"/>
  <c r="U84"/>
  <c r="U80"/>
  <c r="U78"/>
  <c r="U77"/>
  <c r="U76"/>
  <c r="U75"/>
  <c r="U73"/>
  <c r="U72"/>
  <c r="U71"/>
  <c r="U69"/>
  <c r="U68"/>
  <c r="U59"/>
  <c r="U54"/>
  <c r="U53"/>
  <c r="U52"/>
  <c r="U51"/>
  <c r="U49"/>
  <c r="U48"/>
  <c r="U47"/>
  <c r="U46"/>
  <c r="U45"/>
  <c r="U42"/>
  <c r="U41"/>
  <c r="U40"/>
  <c r="U39"/>
  <c r="U38"/>
  <c r="U32"/>
  <c r="U31"/>
  <c r="U30"/>
  <c r="U29"/>
  <c r="U28"/>
  <c r="U27"/>
  <c r="U26"/>
  <c r="U25"/>
  <c r="U24"/>
  <c r="U21"/>
  <c r="U20"/>
  <c r="U19"/>
  <c r="U18"/>
  <c r="U17"/>
  <c r="U15"/>
  <c r="U16"/>
  <c r="U14"/>
  <c r="U13"/>
  <c r="U12"/>
  <c r="I71"/>
  <c r="I69"/>
  <c r="I50"/>
  <c r="I59"/>
  <c r="F54"/>
  <c r="I53"/>
  <c r="I42"/>
  <c r="I41"/>
  <c r="I40"/>
  <c r="I39"/>
  <c r="I38"/>
  <c r="I37"/>
  <c r="I33"/>
  <c r="I29"/>
  <c r="I19"/>
  <c r="I16"/>
  <c r="I15"/>
  <c r="I13"/>
  <c r="I12"/>
  <c r="I102"/>
  <c r="I80"/>
  <c r="H38"/>
  <c r="H102" l="1"/>
  <c r="F49" l="1"/>
  <c r="F40"/>
  <c r="F37"/>
  <c r="H32"/>
  <c r="F19"/>
  <c r="F16"/>
  <c r="F68"/>
  <c r="H49"/>
  <c r="H21"/>
  <c r="F20"/>
  <c r="F69"/>
  <c r="H69" s="1"/>
  <c r="F59"/>
  <c r="F52"/>
  <c r="H52" s="1"/>
  <c r="F27"/>
  <c r="H68"/>
  <c r="F46" l="1"/>
  <c r="H27"/>
  <c r="F15" l="1"/>
  <c r="H37"/>
  <c r="H86"/>
  <c r="H84" l="1"/>
  <c r="F14" l="1"/>
  <c r="F17"/>
  <c r="F18"/>
  <c r="H119" l="1"/>
  <c r="H118"/>
  <c r="F115"/>
  <c r="H114"/>
  <c r="E94"/>
  <c r="H98" s="1"/>
  <c r="F92"/>
  <c r="H92" s="1"/>
  <c r="F91"/>
  <c r="H88"/>
  <c r="H85"/>
  <c r="U89"/>
  <c r="H83"/>
  <c r="H82"/>
  <c r="H80"/>
  <c r="H78"/>
  <c r="F77"/>
  <c r="H77" s="1"/>
  <c r="F76"/>
  <c r="H76" s="1"/>
  <c r="F75"/>
  <c r="H75" s="1"/>
  <c r="F74"/>
  <c r="H74" s="1"/>
  <c r="F73"/>
  <c r="H73" s="1"/>
  <c r="H72"/>
  <c r="H71"/>
  <c r="H66"/>
  <c r="H65"/>
  <c r="H64"/>
  <c r="F62"/>
  <c r="H62" s="1"/>
  <c r="H60"/>
  <c r="H59"/>
  <c r="F58"/>
  <c r="H58" s="1"/>
  <c r="H55"/>
  <c r="H54"/>
  <c r="H53"/>
  <c r="F51"/>
  <c r="H51" s="1"/>
  <c r="F50"/>
  <c r="F48"/>
  <c r="H48" s="1"/>
  <c r="F47"/>
  <c r="H47" s="1"/>
  <c r="H46"/>
  <c r="F45"/>
  <c r="H45" s="1"/>
  <c r="H42"/>
  <c r="F41"/>
  <c r="H41" s="1"/>
  <c r="H40"/>
  <c r="F39"/>
  <c r="H39" s="1"/>
  <c r="H36"/>
  <c r="F33"/>
  <c r="H33" s="1"/>
  <c r="H31"/>
  <c r="H30"/>
  <c r="F29"/>
  <c r="H28"/>
  <c r="F26"/>
  <c r="H26" s="1"/>
  <c r="F25"/>
  <c r="H25" s="1"/>
  <c r="F24"/>
  <c r="H24" s="1"/>
  <c r="H20"/>
  <c r="H18"/>
  <c r="H17"/>
  <c r="H14"/>
  <c r="F13"/>
  <c r="F12"/>
  <c r="F11"/>
  <c r="H91" l="1"/>
  <c r="H93" s="1"/>
  <c r="H29"/>
  <c r="H34" s="1"/>
  <c r="H50"/>
  <c r="H56" s="1"/>
  <c r="H11"/>
  <c r="H12"/>
  <c r="H16"/>
  <c r="H13"/>
  <c r="H15"/>
  <c r="U43"/>
  <c r="F94"/>
  <c r="H19"/>
  <c r="H43"/>
  <c r="U56"/>
  <c r="H89"/>
  <c r="U93"/>
  <c r="H22" l="1"/>
  <c r="U22"/>
  <c r="H94"/>
  <c r="H95" s="1"/>
  <c r="U95"/>
  <c r="C128"/>
  <c r="U34"/>
  <c r="U96" l="1"/>
  <c r="U115" s="1"/>
  <c r="I115"/>
  <c r="H96"/>
  <c r="H99" s="1"/>
  <c r="G115" s="1"/>
  <c r="H115" s="1"/>
  <c r="C127" l="1"/>
  <c r="C131"/>
</calcChain>
</file>

<file path=xl/sharedStrings.xml><?xml version="1.0" encoding="utf-8"?>
<sst xmlns="http://schemas.openxmlformats.org/spreadsheetml/2006/main" count="360" uniqueCount="260">
  <si>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</si>
  <si>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</si>
  <si>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</si>
  <si>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</si>
  <si>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</si>
  <si>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</si>
  <si>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</si>
  <si>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</si>
  <si>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</si>
  <si>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</si>
  <si>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</si>
  <si>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</si>
  <si>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</si>
  <si>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</si>
  <si>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</si>
  <si>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</si>
  <si>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</si>
  <si>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</si>
  <si>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</si>
  <si>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</si>
  <si>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</si>
  <si>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</si>
  <si>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</si>
  <si>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</si>
  <si>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</si>
  <si>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</si>
  <si>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</si>
  <si>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</si>
  <si>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</si>
  <si>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</si>
  <si>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</si>
  <si>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</si>
  <si>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</si>
  <si>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</si>
  <si>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</si>
  <si>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</si>
  <si>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</si>
  <si>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</si>
  <si>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</si>
  <si>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</si>
  <si>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</si>
  <si>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</si>
  <si>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</si>
  <si>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</si>
  <si>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</si>
  <si>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</si>
  <si>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</si>
  <si>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</si>
  <si>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</si>
  <si>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</si>
  <si>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</si>
  <si>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</si>
  <si>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</si>
  <si>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</si>
  <si>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</si>
  <si>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</si>
  <si>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</si>
  <si>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</si>
  <si>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Выкашивание газонов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</si>
  <si>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</si>
  <si>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</si>
  <si>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</si>
  <si>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</si>
  <si>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</si>
  <si>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</si>
  <si>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</si>
  <si>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</si>
  <si>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</si>
  <si>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</si>
  <si>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</si>
  <si>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</si>
  <si>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</si>
  <si>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</si>
  <si>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</si>
  <si>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</si>
  <si>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</si>
  <si>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</si>
  <si>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</si>
  <si>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</si>
  <si>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</si>
  <si>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</si>
  <si>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</si>
  <si>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</si>
  <si>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</si>
  <si>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</si>
  <si>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</si>
  <si>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</si>
  <si>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</si>
  <si>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</si>
  <si>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</si>
  <si>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</si>
  <si>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</si>
  <si>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</si>
  <si>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</si>
  <si>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</si>
  <si>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</si>
  <si>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</si>
  <si>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</si>
  <si>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</si>
  <si>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</si>
  <si>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</si>
  <si>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</si>
  <si>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</si>
  <si>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 xml:space="preserve">Электротехнические измерения </t>
  </si>
  <si>
    <t>1 раза в 3 года</t>
  </si>
  <si>
    <t>Кровля</t>
  </si>
  <si>
    <t>Очистка кровли от мусора</t>
  </si>
  <si>
    <t>ТЭР 54-041 и 42</t>
  </si>
  <si>
    <t xml:space="preserve">6 раз за сезон </t>
  </si>
  <si>
    <t xml:space="preserve">пр.ТЭР 54-041 </t>
  </si>
  <si>
    <t xml:space="preserve"> -от слежавшегося снега со сбрасыванием сосулек</t>
  </si>
  <si>
    <t>Чердак, подвал, технический этаж</t>
  </si>
  <si>
    <t>ТЭР 51-034</t>
  </si>
  <si>
    <t xml:space="preserve"> - очистка от мусора</t>
  </si>
  <si>
    <t xml:space="preserve"> - дератизация</t>
  </si>
  <si>
    <t>м2</t>
  </si>
  <si>
    <t>12 раз в год</t>
  </si>
  <si>
    <t>ТЭР 11-014</t>
  </si>
  <si>
    <t xml:space="preserve"> - закрытие проемов металлическими листами</t>
  </si>
  <si>
    <t>ТЭР 15-028</t>
  </si>
  <si>
    <t xml:space="preserve"> - утепление входных дверей</t>
  </si>
  <si>
    <t>10шт</t>
  </si>
  <si>
    <t>ТЭР 31-057</t>
  </si>
  <si>
    <t xml:space="preserve"> - утепление трубопроводов в тамбуре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</si>
  <si>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</si>
  <si>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</si>
  <si>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</si>
  <si>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</si>
  <si>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</si>
  <si>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</si>
  <si>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</si>
  <si>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</si>
  <si>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</si>
  <si>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</si>
  <si>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</si>
  <si>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</si>
  <si>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</si>
  <si>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</si>
  <si>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</si>
  <si>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</si>
  <si>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</si>
  <si>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</si>
  <si>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</si>
  <si>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</si>
  <si>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</si>
  <si>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</si>
  <si>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Смена магнитных пускателей</t>
  </si>
  <si>
    <t>ТЭР 33-025</t>
  </si>
  <si>
    <t>Смена выключателей</t>
  </si>
  <si>
    <t>ТЭР 33-028</t>
  </si>
  <si>
    <t>Смена патронов</t>
  </si>
  <si>
    <t>ТЭР 33-049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</si>
  <si>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</si>
  <si>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</si>
  <si>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</si>
  <si>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</si>
  <si>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</si>
  <si>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</si>
  <si>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</si>
  <si>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Ремонт рулонной кровли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</si>
  <si>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</si>
  <si>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</si>
  <si>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</si>
  <si>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</si>
  <si>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</si>
  <si>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</si>
  <si>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</si>
  <si>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</si>
  <si>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</si>
  <si>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</si>
  <si>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</si>
  <si>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</si>
  <si>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</si>
  <si>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 xml:space="preserve">1 раз в год     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</si>
  <si>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</si>
  <si>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</si>
  <si>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</si>
  <si>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</si>
  <si>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</si>
  <si>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</si>
  <si>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</si>
  <si>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</si>
  <si>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</si>
  <si>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ТЭР 55-003</t>
  </si>
  <si>
    <t>Очистка урн от мусора</t>
  </si>
  <si>
    <t>Дератизация</t>
  </si>
  <si>
    <t>Очистка  от мусора</t>
  </si>
  <si>
    <t>ТЭР 51-022</t>
  </si>
  <si>
    <t>Влажная протирка шкафов для щитов и слаботочн.ус.</t>
  </si>
  <si>
    <t>ТЭР 42-003</t>
  </si>
  <si>
    <t>Осмотр деревянных конструкций стропил</t>
  </si>
  <si>
    <t xml:space="preserve"> Очистка края кровли от слежавшегося снега со сбрасыванием сосулек (10% от S кровли)</t>
  </si>
  <si>
    <t>ТЭР 53-023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</si>
  <si>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</si>
  <si>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</si>
  <si>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</si>
  <si>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</si>
  <si>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</si>
  <si>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</si>
  <si>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</si>
  <si>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</si>
  <si>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</si>
  <si>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</si>
  <si>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</si>
  <si>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26 раз за сезон</t>
  </si>
  <si>
    <t>50 раз за сезон</t>
  </si>
  <si>
    <t>ТЭР 3-7-1в</t>
  </si>
  <si>
    <t>Осмотр  кровли из штучных материалов</t>
  </si>
  <si>
    <t>Вывоз снега с придомовой территории</t>
  </si>
  <si>
    <t>Снятие показаний эл.счетчика коммунального назначения</t>
  </si>
  <si>
    <t>ТЭР 33-037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</si>
  <si>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</si>
  <si>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</si>
  <si>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</si>
  <si>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</si>
  <si>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</si>
  <si>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</si>
  <si>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</si>
  <si>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</si>
  <si>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</si>
  <si>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</si>
  <si>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</si>
  <si>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</si>
  <si>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</si>
  <si>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</si>
  <si>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Ремонт внутренних трубопроводов и стояков д=до 50 мм</t>
  </si>
  <si>
    <t>место</t>
  </si>
  <si>
    <t>ТЭР 32-098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</si>
  <si>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Строительная, 8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</si>
  <si>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4 подъезда</t>
  </si>
  <si>
    <t>Стоимость (руб.)</t>
  </si>
  <si>
    <t>договор</t>
  </si>
  <si>
    <t>ТО внутридомового газ.оборудования</t>
  </si>
  <si>
    <t>10 м</t>
  </si>
  <si>
    <t>Подключение и отключение сварочного аппарата</t>
  </si>
  <si>
    <t>ТЭР 33-060</t>
  </si>
  <si>
    <t>калькуляция</t>
  </si>
  <si>
    <t>Ремонт и регулировка доводчика (со стоимостью доводчика)</t>
  </si>
  <si>
    <t>1шт.</t>
  </si>
  <si>
    <t>С учетом показателя инфляции     ( К=1,064)</t>
  </si>
  <si>
    <t>смета</t>
  </si>
  <si>
    <t>Монтаж измерительных трансформаторов тока (ИТТ)</t>
  </si>
  <si>
    <t>тыс. руб.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</si>
  <si>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</si>
  <si>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</si>
  <si>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</si>
  <si>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</si>
  <si>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</si>
  <si>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</si>
  <si>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и регулировка доводчика (без стоимости доводчика)</t>
  </si>
  <si>
    <t>Ремонт силового предохранительного шкафа (без стоимости материалов)</t>
  </si>
  <si>
    <t>ТЭР 33-032</t>
  </si>
  <si>
    <t>Ремонт групповых щитков на лестничной клетке без ремонта автоматов</t>
  </si>
  <si>
    <t>ТЭР 33-030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</si>
  <si>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</si>
  <si>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</si>
  <si>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прим. 2-2-1-2-7</t>
  </si>
  <si>
    <t>Установка заглушек диаметром трубопроводов до 100 мм</t>
  </si>
  <si>
    <t>заглушка</t>
  </si>
  <si>
    <t>ТЭР 31-012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</si>
</sst>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8" fillId="0" borderId="3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2" fillId="13" borderId="3" xfId="0" applyNumberFormat="1" applyFont="1" applyFill="1" applyBorder="1" applyAlignment="1" applyProtection="1">
      <alignment horizontal="left" vertical="center" wrapText="1"/>
    </xf>
    <xf numFmtId="0" fontId="2" fillId="13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4" fontId="2" fillId="9" borderId="8" xfId="0" applyNumberFormat="1" applyFont="1" applyFill="1" applyBorder="1" applyAlignment="1">
      <alignment vertical="center"/>
    </xf>
    <xf numFmtId="0" fontId="2" fillId="9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9" borderId="8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" fontId="2" fillId="1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4" fontId="2" fillId="8" borderId="3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1" borderId="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/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4" fontId="16" fillId="4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top" wrapText="1"/>
    </xf>
    <xf numFmtId="0" fontId="2" fillId="0" borderId="10" xfId="0" applyFont="1" applyBorder="1"/>
    <xf numFmtId="4" fontId="2" fillId="0" borderId="10" xfId="0" applyNumberFormat="1" applyFont="1" applyBorder="1" applyAlignment="1">
      <alignment horizontal="center" vertical="top" wrapText="1"/>
    </xf>
    <xf numFmtId="4" fontId="2" fillId="0" borderId="10" xfId="0" applyNumberFormat="1" applyFont="1" applyBorder="1"/>
    <xf numFmtId="4" fontId="2" fillId="0" borderId="10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2" fillId="7" borderId="1" xfId="0" applyFont="1" applyFill="1" applyBorder="1"/>
    <xf numFmtId="4" fontId="2" fillId="7" borderId="1" xfId="0" applyNumberFormat="1" applyFont="1" applyFill="1" applyBorder="1"/>
    <xf numFmtId="4" fontId="2" fillId="7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 applyProtection="1">
      <alignment horizontal="left" vertical="top" wrapText="1"/>
      <protection hidden="1"/>
    </xf>
    <xf numFmtId="2" fontId="2" fillId="0" borderId="3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left" vertical="top" wrapText="1"/>
    </xf>
    <xf numFmtId="4" fontId="2" fillId="0" borderId="3" xfId="0" applyNumberFormat="1" applyFont="1" applyBorder="1"/>
    <xf numFmtId="4" fontId="2" fillId="0" borderId="3" xfId="0" applyNumberFormat="1" applyFont="1" applyFill="1" applyBorder="1" applyAlignment="1" applyProtection="1">
      <alignment horizontal="left" vertical="top" wrapText="1"/>
      <protection hidden="1"/>
    </xf>
    <xf numFmtId="4" fontId="2" fillId="0" borderId="3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17" fillId="0" borderId="0" xfId="0" applyNumberFormat="1" applyFont="1"/>
    <xf numFmtId="0" fontId="17" fillId="0" borderId="0" xfId="0" applyFont="1"/>
    <xf numFmtId="0" fontId="8" fillId="0" borderId="3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4" fontId="4" fillId="14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2" fillId="4" borderId="8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4" fontId="4" fillId="11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4" borderId="18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" fillId="13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5"/>
  <sheetViews>
    <sheetView tabSelected="1" view="pageBreakPreview" zoomScaleNormal="75" zoomScaleSheetLayoutView="100" workbookViewId="0">
      <pane ySplit="7" topLeftCell="A100" activePane="bottomLeft" state="frozen"/>
      <selection activeCell="B1" sqref="B1"/>
      <selection pane="bottomLeft" activeCell="U124" sqref="U124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10.42578125" customWidth="1"/>
    <col min="11" max="11" width="9.85546875" customWidth="1"/>
    <col min="12" max="12" width="10.28515625" customWidth="1"/>
    <col min="13" max="13" width="9.85546875" customWidth="1"/>
    <col min="14" max="14" width="9.5703125" customWidth="1"/>
    <col min="15" max="15" width="9.42578125" customWidth="1"/>
    <col min="16" max="16" width="10.28515625" customWidth="1"/>
    <col min="17" max="17" width="10" customWidth="1"/>
    <col min="18" max="18" width="10.42578125" customWidth="1"/>
    <col min="19" max="19" width="9.5703125" customWidth="1"/>
    <col min="20" max="20" width="9.85546875" customWidth="1"/>
    <col min="21" max="21" width="11.85546875" customWidth="1"/>
  </cols>
  <sheetData>
    <row r="1" spans="1:21" ht="14.25" customHeight="1">
      <c r="A1" s="28"/>
    </row>
    <row r="3" spans="1:21" ht="18">
      <c r="A3" s="1"/>
      <c r="B3" s="188" t="s">
        <v>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21" ht="33.75" customHeight="1">
      <c r="B4" s="189" t="s">
        <v>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21" ht="18">
      <c r="B5" s="189" t="s">
        <v>228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1:21" ht="14.25">
      <c r="B6" s="190" t="s">
        <v>229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21" ht="48" customHeight="1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4" t="s">
        <v>9</v>
      </c>
      <c r="I7" s="31" t="s">
        <v>211</v>
      </c>
      <c r="J7" s="31" t="s">
        <v>212</v>
      </c>
      <c r="K7" s="31" t="s">
        <v>213</v>
      </c>
      <c r="L7" s="31" t="s">
        <v>214</v>
      </c>
      <c r="M7" s="31" t="s">
        <v>215</v>
      </c>
      <c r="N7" s="32" t="s">
        <v>216</v>
      </c>
      <c r="O7" s="32" t="s">
        <v>217</v>
      </c>
      <c r="P7" s="32" t="s">
        <v>218</v>
      </c>
      <c r="Q7" s="32" t="s">
        <v>219</v>
      </c>
      <c r="R7" s="32" t="s">
        <v>220</v>
      </c>
      <c r="S7" s="32" t="s">
        <v>221</v>
      </c>
      <c r="T7" s="32" t="s">
        <v>222</v>
      </c>
      <c r="U7" s="31" t="s">
        <v>230</v>
      </c>
    </row>
    <row r="8" spans="1:21">
      <c r="A8" s="35">
        <v>1</v>
      </c>
      <c r="B8" s="8">
        <v>2</v>
      </c>
      <c r="C8" s="35">
        <v>3</v>
      </c>
      <c r="D8" s="8">
        <v>4</v>
      </c>
      <c r="E8" s="8">
        <v>5</v>
      </c>
      <c r="F8" s="35">
        <v>6</v>
      </c>
      <c r="G8" s="35">
        <v>7</v>
      </c>
      <c r="H8" s="36">
        <v>8</v>
      </c>
      <c r="I8" s="37">
        <v>10</v>
      </c>
      <c r="J8" s="37">
        <v>11</v>
      </c>
      <c r="K8" s="37">
        <v>12</v>
      </c>
      <c r="L8" s="37">
        <v>13</v>
      </c>
      <c r="M8" s="38">
        <v>14</v>
      </c>
      <c r="N8" s="37">
        <v>15</v>
      </c>
      <c r="O8" s="37">
        <v>16</v>
      </c>
      <c r="P8" s="37">
        <v>17</v>
      </c>
      <c r="Q8" s="37">
        <v>18</v>
      </c>
      <c r="R8" s="37">
        <v>19</v>
      </c>
      <c r="S8" s="37">
        <v>20</v>
      </c>
      <c r="T8" s="37">
        <v>21</v>
      </c>
      <c r="U8" s="37">
        <v>22</v>
      </c>
    </row>
    <row r="9" spans="1:21" ht="38.25">
      <c r="A9" s="35"/>
      <c r="B9" s="10" t="s">
        <v>10</v>
      </c>
      <c r="C9" s="35"/>
      <c r="D9" s="11"/>
      <c r="E9" s="11"/>
      <c r="F9" s="35"/>
      <c r="G9" s="35"/>
      <c r="H9" s="39"/>
      <c r="I9" s="40"/>
      <c r="J9" s="40"/>
      <c r="K9" s="40"/>
      <c r="L9" s="40"/>
      <c r="M9" s="41"/>
      <c r="N9" s="42"/>
      <c r="O9" s="42"/>
      <c r="P9" s="42"/>
      <c r="Q9" s="42"/>
      <c r="R9" s="42"/>
      <c r="S9" s="42"/>
      <c r="T9" s="42"/>
      <c r="U9" s="42"/>
    </row>
    <row r="10" spans="1:21">
      <c r="A10" s="35"/>
      <c r="B10" s="10" t="s">
        <v>11</v>
      </c>
      <c r="C10" s="35"/>
      <c r="D10" s="11"/>
      <c r="E10" s="11"/>
      <c r="F10" s="35"/>
      <c r="G10" s="35"/>
      <c r="H10" s="39"/>
      <c r="I10" s="40"/>
      <c r="J10" s="40"/>
      <c r="K10" s="40"/>
      <c r="L10" s="40"/>
      <c r="M10" s="41"/>
      <c r="N10" s="42"/>
      <c r="O10" s="42"/>
      <c r="P10" s="42"/>
      <c r="Q10" s="42"/>
      <c r="R10" s="42"/>
      <c r="S10" s="42"/>
      <c r="T10" s="42"/>
      <c r="U10" s="42"/>
    </row>
    <row r="11" spans="1:21" ht="25.5">
      <c r="A11" s="35" t="s">
        <v>12</v>
      </c>
      <c r="B11" s="11" t="s">
        <v>13</v>
      </c>
      <c r="C11" s="35" t="s">
        <v>14</v>
      </c>
      <c r="D11" s="11" t="s">
        <v>15</v>
      </c>
      <c r="E11" s="43">
        <v>62.28</v>
      </c>
      <c r="F11" s="44">
        <f>SUM(E11*156/100)</f>
        <v>97.156800000000004</v>
      </c>
      <c r="G11" s="44">
        <v>175.38</v>
      </c>
      <c r="H11" s="45">
        <f t="shared" ref="H11:H20" si="0">SUM(F11*G11/1000)</f>
        <v>17.039359584000003</v>
      </c>
      <c r="I11" s="46">
        <f>F11/12*G11</f>
        <v>1419.9466320000001</v>
      </c>
      <c r="J11" s="46">
        <f>F11/12*G11</f>
        <v>1419.9466320000001</v>
      </c>
      <c r="K11" s="46">
        <f>F11/12*G11</f>
        <v>1419.9466320000001</v>
      </c>
      <c r="L11" s="46">
        <f>F11/12*G11</f>
        <v>1419.9466320000001</v>
      </c>
      <c r="M11" s="46">
        <f>F11/12*G11</f>
        <v>1419.9466320000001</v>
      </c>
      <c r="N11" s="46">
        <f>F11/12*G11</f>
        <v>1419.9466320000001</v>
      </c>
      <c r="O11" s="46">
        <f>F11/12*G11</f>
        <v>1419.9466320000001</v>
      </c>
      <c r="P11" s="46">
        <f>F11/12*G11</f>
        <v>1419.9466320000001</v>
      </c>
      <c r="Q11" s="46">
        <f>F11/12*G11</f>
        <v>1419.9466320000001</v>
      </c>
      <c r="R11" s="46">
        <f>F11/12*G11</f>
        <v>1419.9466320000001</v>
      </c>
      <c r="S11" s="46">
        <f>F11/12*G11</f>
        <v>1419.9466320000001</v>
      </c>
      <c r="T11" s="46">
        <f>F11/12*G11</f>
        <v>1419.9466320000001</v>
      </c>
      <c r="U11" s="46">
        <f t="shared" ref="U11:U21" si="1">SUM(I11:T11)</f>
        <v>17039.359583999998</v>
      </c>
    </row>
    <row r="12" spans="1:21" ht="25.5">
      <c r="A12" s="35" t="s">
        <v>12</v>
      </c>
      <c r="B12" s="11" t="s">
        <v>16</v>
      </c>
      <c r="C12" s="35" t="s">
        <v>14</v>
      </c>
      <c r="D12" s="11" t="s">
        <v>17</v>
      </c>
      <c r="E12" s="43">
        <v>311.42</v>
      </c>
      <c r="F12" s="44">
        <f>SUM(E12*104/100)</f>
        <v>323.8768</v>
      </c>
      <c r="G12" s="44">
        <v>175.38</v>
      </c>
      <c r="H12" s="45">
        <f t="shared" si="0"/>
        <v>56.801513183999994</v>
      </c>
      <c r="I12" s="46">
        <f>F12/12*G12</f>
        <v>4733.4594319999997</v>
      </c>
      <c r="J12" s="46">
        <f>F12/12*G12</f>
        <v>4733.4594319999997</v>
      </c>
      <c r="K12" s="46">
        <f>F12/12*G12</f>
        <v>4733.4594319999997</v>
      </c>
      <c r="L12" s="46">
        <f>F12/12*G12</f>
        <v>4733.4594319999997</v>
      </c>
      <c r="M12" s="46">
        <f>F12/12*G12</f>
        <v>4733.4594319999997</v>
      </c>
      <c r="N12" s="46">
        <f>F12/12*G12</f>
        <v>4733.4594319999997</v>
      </c>
      <c r="O12" s="46">
        <f>F12/12*G12</f>
        <v>4733.4594319999997</v>
      </c>
      <c r="P12" s="46">
        <f>F12/12*G12</f>
        <v>4733.4594319999997</v>
      </c>
      <c r="Q12" s="46">
        <f>F12/12*G12</f>
        <v>4733.4594319999997</v>
      </c>
      <c r="R12" s="46">
        <f>F12/12*G12</f>
        <v>4733.4594319999997</v>
      </c>
      <c r="S12" s="46">
        <f>F12/12*G12</f>
        <v>4733.4594319999997</v>
      </c>
      <c r="T12" s="46">
        <f>F12/12*G12</f>
        <v>4733.4594319999997</v>
      </c>
      <c r="U12" s="46">
        <f t="shared" si="1"/>
        <v>56801.51318400001</v>
      </c>
    </row>
    <row r="13" spans="1:21" ht="25.5">
      <c r="A13" s="35" t="s">
        <v>18</v>
      </c>
      <c r="B13" s="11" t="s">
        <v>19</v>
      </c>
      <c r="C13" s="35" t="s">
        <v>14</v>
      </c>
      <c r="D13" s="11" t="s">
        <v>20</v>
      </c>
      <c r="E13" s="43">
        <v>373.7</v>
      </c>
      <c r="F13" s="44">
        <f>SUM(E13*24/100)</f>
        <v>89.687999999999988</v>
      </c>
      <c r="G13" s="44">
        <v>504.5</v>
      </c>
      <c r="H13" s="45">
        <f t="shared" si="0"/>
        <v>45.247595999999987</v>
      </c>
      <c r="I13" s="46">
        <f>F13/12*G13</f>
        <v>3770.6329999999998</v>
      </c>
      <c r="J13" s="46">
        <f>F13/12*G13</f>
        <v>3770.6329999999998</v>
      </c>
      <c r="K13" s="46">
        <f>F13/12*G13</f>
        <v>3770.6329999999998</v>
      </c>
      <c r="L13" s="46">
        <f>F13/12*G13</f>
        <v>3770.6329999999998</v>
      </c>
      <c r="M13" s="46">
        <f>F13/12*G13</f>
        <v>3770.6329999999998</v>
      </c>
      <c r="N13" s="46">
        <f>F13/12*G13</f>
        <v>3770.6329999999998</v>
      </c>
      <c r="O13" s="46">
        <f>F13/12*G13</f>
        <v>3770.6329999999998</v>
      </c>
      <c r="P13" s="46">
        <f>F13/12*G13</f>
        <v>3770.6329999999998</v>
      </c>
      <c r="Q13" s="46">
        <f>F13/12*G13</f>
        <v>3770.6329999999998</v>
      </c>
      <c r="R13" s="46">
        <f>F13/12*G13</f>
        <v>3770.6329999999998</v>
      </c>
      <c r="S13" s="46">
        <f>F13/12*G13</f>
        <v>3770.6329999999998</v>
      </c>
      <c r="T13" s="46">
        <f>F13/12*G13</f>
        <v>3770.6329999999998</v>
      </c>
      <c r="U13" s="46">
        <f t="shared" si="1"/>
        <v>45247.596000000012</v>
      </c>
    </row>
    <row r="14" spans="1:21">
      <c r="A14" s="35" t="s">
        <v>21</v>
      </c>
      <c r="B14" s="11" t="s">
        <v>22</v>
      </c>
      <c r="C14" s="35" t="s">
        <v>23</v>
      </c>
      <c r="D14" s="11" t="s">
        <v>173</v>
      </c>
      <c r="E14" s="43">
        <v>38.4</v>
      </c>
      <c r="F14" s="44">
        <f>SUM(E14/10)</f>
        <v>3.84</v>
      </c>
      <c r="G14" s="44">
        <v>170.16</v>
      </c>
      <c r="H14" s="45">
        <f t="shared" si="0"/>
        <v>0.65341439999999995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F14*G14</f>
        <v>653.4144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f t="shared" si="1"/>
        <v>653.4144</v>
      </c>
    </row>
    <row r="15" spans="1:21">
      <c r="A15" s="35" t="s">
        <v>24</v>
      </c>
      <c r="B15" s="11" t="s">
        <v>25</v>
      </c>
      <c r="C15" s="35" t="s">
        <v>14</v>
      </c>
      <c r="D15" s="11" t="s">
        <v>181</v>
      </c>
      <c r="E15" s="43">
        <v>35.04</v>
      </c>
      <c r="F15" s="44">
        <f>SUM(E15*12/100)</f>
        <v>4.2048000000000005</v>
      </c>
      <c r="G15" s="44">
        <v>217.88</v>
      </c>
      <c r="H15" s="45">
        <f t="shared" si="0"/>
        <v>0.91614182399999999</v>
      </c>
      <c r="I15" s="46">
        <f>F15/12*G15</f>
        <v>76.345152000000013</v>
      </c>
      <c r="J15" s="46">
        <f>F15/12*G15</f>
        <v>76.345152000000013</v>
      </c>
      <c r="K15" s="46">
        <f>F15/12*G15</f>
        <v>76.345152000000013</v>
      </c>
      <c r="L15" s="46">
        <f>F15/12*G15</f>
        <v>76.345152000000013</v>
      </c>
      <c r="M15" s="46">
        <f>F15/12*G15</f>
        <v>76.345152000000013</v>
      </c>
      <c r="N15" s="46">
        <f>F15/12*G15</f>
        <v>76.345152000000013</v>
      </c>
      <c r="O15" s="46">
        <f>F15/12*G15</f>
        <v>76.345152000000013</v>
      </c>
      <c r="P15" s="46">
        <f>F15/12*G15</f>
        <v>76.345152000000013</v>
      </c>
      <c r="Q15" s="46">
        <f>F15/12*G15</f>
        <v>76.345152000000013</v>
      </c>
      <c r="R15" s="46">
        <f>F15/12*G15</f>
        <v>76.345152000000013</v>
      </c>
      <c r="S15" s="46">
        <f>F15/12*G15</f>
        <v>76.345152000000013</v>
      </c>
      <c r="T15" s="46">
        <f>F15/12*G15</f>
        <v>76.345152000000013</v>
      </c>
      <c r="U15" s="46">
        <f t="shared" si="1"/>
        <v>916.14182399999993</v>
      </c>
    </row>
    <row r="16" spans="1:21">
      <c r="A16" s="35" t="s">
        <v>26</v>
      </c>
      <c r="B16" s="11" t="s">
        <v>27</v>
      </c>
      <c r="C16" s="35" t="s">
        <v>14</v>
      </c>
      <c r="D16" s="11" t="s">
        <v>182</v>
      </c>
      <c r="E16" s="43">
        <v>9.08</v>
      </c>
      <c r="F16" s="44">
        <f>SUM(E16*12/100)</f>
        <v>1.0896000000000001</v>
      </c>
      <c r="G16" s="44">
        <v>216.12</v>
      </c>
      <c r="H16" s="45">
        <f t="shared" si="0"/>
        <v>0.23548435200000004</v>
      </c>
      <c r="I16" s="46">
        <f>F16/12*G16</f>
        <v>19.623696000000002</v>
      </c>
      <c r="J16" s="46">
        <f>F16/12*G16</f>
        <v>19.623696000000002</v>
      </c>
      <c r="K16" s="46">
        <f>F16/12*G16</f>
        <v>19.623696000000002</v>
      </c>
      <c r="L16" s="46">
        <f>F16/12*G16</f>
        <v>19.623696000000002</v>
      </c>
      <c r="M16" s="46">
        <f>F16/12*G16</f>
        <v>19.623696000000002</v>
      </c>
      <c r="N16" s="46">
        <f>F16/12*G16</f>
        <v>19.623696000000002</v>
      </c>
      <c r="O16" s="46">
        <f>F16/12*G16</f>
        <v>19.623696000000002</v>
      </c>
      <c r="P16" s="46">
        <f>F16/12*G16</f>
        <v>19.623696000000002</v>
      </c>
      <c r="Q16" s="46">
        <f>F16/12*G16</f>
        <v>19.623696000000002</v>
      </c>
      <c r="R16" s="46">
        <f>F16/12*G16</f>
        <v>19.623696000000002</v>
      </c>
      <c r="S16" s="46">
        <f>F16/12*G16</f>
        <v>19.623696000000002</v>
      </c>
      <c r="T16" s="46">
        <f>F16/12*G16</f>
        <v>19.623696000000002</v>
      </c>
      <c r="U16" s="46">
        <f t="shared" si="1"/>
        <v>235.48435199999997</v>
      </c>
    </row>
    <row r="17" spans="1:21">
      <c r="A17" s="35" t="s">
        <v>28</v>
      </c>
      <c r="B17" s="11" t="s">
        <v>29</v>
      </c>
      <c r="C17" s="35" t="s">
        <v>30</v>
      </c>
      <c r="D17" s="11" t="s">
        <v>173</v>
      </c>
      <c r="E17" s="43">
        <v>629</v>
      </c>
      <c r="F17" s="44">
        <f>SUM(E17/100)</f>
        <v>6.29</v>
      </c>
      <c r="G17" s="44">
        <v>269.26</v>
      </c>
      <c r="H17" s="45">
        <f t="shared" si="0"/>
        <v>1.6936453999999999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F17*G17</f>
        <v>1693.6453999999999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f t="shared" si="1"/>
        <v>1693.6453999999999</v>
      </c>
    </row>
    <row r="18" spans="1:21">
      <c r="A18" s="35" t="s">
        <v>31</v>
      </c>
      <c r="B18" s="11" t="s">
        <v>32</v>
      </c>
      <c r="C18" s="35" t="s">
        <v>30</v>
      </c>
      <c r="D18" s="11" t="s">
        <v>173</v>
      </c>
      <c r="E18" s="48">
        <v>58</v>
      </c>
      <c r="F18" s="44">
        <f>SUM(E18/100)</f>
        <v>0.57999999999999996</v>
      </c>
      <c r="G18" s="44">
        <v>44.29</v>
      </c>
      <c r="H18" s="45">
        <f t="shared" si="0"/>
        <v>2.5688199999999998E-2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F18*G18</f>
        <v>25.688199999999998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f t="shared" si="1"/>
        <v>25.688199999999998</v>
      </c>
    </row>
    <row r="19" spans="1:21">
      <c r="A19" s="35" t="s">
        <v>33</v>
      </c>
      <c r="B19" s="11" t="s">
        <v>34</v>
      </c>
      <c r="C19" s="35" t="s">
        <v>30</v>
      </c>
      <c r="D19" s="11" t="s">
        <v>182</v>
      </c>
      <c r="E19" s="43">
        <v>24</v>
      </c>
      <c r="F19" s="44">
        <f>E19*12/100</f>
        <v>2.88</v>
      </c>
      <c r="G19" s="44">
        <v>389.72</v>
      </c>
      <c r="H19" s="45">
        <f t="shared" si="0"/>
        <v>1.1223936000000001</v>
      </c>
      <c r="I19" s="46">
        <f>F19/12*G19</f>
        <v>93.532800000000009</v>
      </c>
      <c r="J19" s="46">
        <f>F19/12*G19</f>
        <v>93.532800000000009</v>
      </c>
      <c r="K19" s="46">
        <f>F19/12*G19</f>
        <v>93.532800000000009</v>
      </c>
      <c r="L19" s="46">
        <f>F19/12*G19</f>
        <v>93.532800000000009</v>
      </c>
      <c r="M19" s="46">
        <f>F19/12*G19</f>
        <v>93.532800000000009</v>
      </c>
      <c r="N19" s="46">
        <f>F19/12*G19</f>
        <v>93.532800000000009</v>
      </c>
      <c r="O19" s="46">
        <f>F19/12*G19</f>
        <v>93.532800000000009</v>
      </c>
      <c r="P19" s="46">
        <f>F19/12*G19</f>
        <v>93.532800000000009</v>
      </c>
      <c r="Q19" s="46">
        <f>F19/12*G19</f>
        <v>93.532800000000009</v>
      </c>
      <c r="R19" s="46">
        <f>F19/12*G19</f>
        <v>93.532800000000009</v>
      </c>
      <c r="S19" s="46">
        <f>F19/12*G19</f>
        <v>93.532800000000009</v>
      </c>
      <c r="T19" s="46">
        <f>F19/12*G19</f>
        <v>93.532800000000009</v>
      </c>
      <c r="U19" s="46">
        <f t="shared" si="1"/>
        <v>1122.3935999999999</v>
      </c>
    </row>
    <row r="20" spans="1:21">
      <c r="A20" s="35" t="s">
        <v>35</v>
      </c>
      <c r="B20" s="11" t="s">
        <v>36</v>
      </c>
      <c r="C20" s="35" t="s">
        <v>30</v>
      </c>
      <c r="D20" s="11" t="s">
        <v>49</v>
      </c>
      <c r="E20" s="43">
        <v>17</v>
      </c>
      <c r="F20" s="44">
        <f>SUM(E20/100)</f>
        <v>0.17</v>
      </c>
      <c r="G20" s="44">
        <v>520.79999999999995</v>
      </c>
      <c r="H20" s="45">
        <f t="shared" si="0"/>
        <v>8.8536000000000004E-2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F20*G20</f>
        <v>88.536000000000001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f t="shared" si="1"/>
        <v>88.536000000000001</v>
      </c>
    </row>
    <row r="21" spans="1:21" ht="25.5">
      <c r="A21" s="35" t="s">
        <v>187</v>
      </c>
      <c r="B21" s="11" t="s">
        <v>188</v>
      </c>
      <c r="C21" s="35" t="s">
        <v>30</v>
      </c>
      <c r="D21" s="11" t="s">
        <v>49</v>
      </c>
      <c r="E21" s="43">
        <v>24</v>
      </c>
      <c r="F21" s="44">
        <v>0.24</v>
      </c>
      <c r="G21" s="44">
        <v>216.12</v>
      </c>
      <c r="H21" s="45">
        <f>G21*F21/1000</f>
        <v>5.18688E-2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F21*G21</f>
        <v>51.8688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f t="shared" si="1"/>
        <v>51.8688</v>
      </c>
    </row>
    <row r="22" spans="1:21" s="19" customFormat="1">
      <c r="A22" s="49"/>
      <c r="B22" s="20" t="s">
        <v>37</v>
      </c>
      <c r="C22" s="50"/>
      <c r="D22" s="20"/>
      <c r="E22" s="51"/>
      <c r="F22" s="52"/>
      <c r="G22" s="52"/>
      <c r="H22" s="53">
        <f>SUM(H11:H21)</f>
        <v>123.87564134399997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>
        <f>SUM(U11:U21)</f>
        <v>123875.641344</v>
      </c>
    </row>
    <row r="23" spans="1:21">
      <c r="A23" s="35"/>
      <c r="B23" s="12" t="s">
        <v>38</v>
      </c>
      <c r="C23" s="35"/>
      <c r="D23" s="11"/>
      <c r="E23" s="43"/>
      <c r="F23" s="44"/>
      <c r="G23" s="44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25.5" customHeight="1">
      <c r="A24" s="35" t="s">
        <v>39</v>
      </c>
      <c r="B24" s="11" t="s">
        <v>40</v>
      </c>
      <c r="C24" s="35" t="s">
        <v>41</v>
      </c>
      <c r="D24" s="11" t="s">
        <v>42</v>
      </c>
      <c r="E24" s="44">
        <v>748</v>
      </c>
      <c r="F24" s="44">
        <f>SUM(E24*52/1000)</f>
        <v>38.896000000000001</v>
      </c>
      <c r="G24" s="44">
        <v>155.88999999999999</v>
      </c>
      <c r="H24" s="45">
        <f t="shared" ref="H24:H33" si="2">SUM(F24*G24/1000)</f>
        <v>6.063497439999999</v>
      </c>
      <c r="I24" s="46">
        <v>0</v>
      </c>
      <c r="J24" s="46">
        <v>0</v>
      </c>
      <c r="K24" s="46">
        <v>0</v>
      </c>
      <c r="L24" s="46">
        <v>0</v>
      </c>
      <c r="M24" s="46">
        <f>F24/6*G24</f>
        <v>1010.5829066666666</v>
      </c>
      <c r="N24" s="46">
        <f>F24/6*G24</f>
        <v>1010.5829066666666</v>
      </c>
      <c r="O24" s="46">
        <f>F24/6*G24</f>
        <v>1010.5829066666666</v>
      </c>
      <c r="P24" s="46">
        <f>F24/6*G24</f>
        <v>1010.5829066666666</v>
      </c>
      <c r="Q24" s="46">
        <f>F24/6*G24</f>
        <v>1010.5829066666666</v>
      </c>
      <c r="R24" s="46">
        <f>F24/6*G24</f>
        <v>1010.5829066666666</v>
      </c>
      <c r="S24" s="46">
        <v>0</v>
      </c>
      <c r="T24" s="46">
        <v>0</v>
      </c>
      <c r="U24" s="46">
        <f t="shared" ref="U24:U33" si="3">SUM(I24:T24)</f>
        <v>6063.4974400000001</v>
      </c>
    </row>
    <row r="25" spans="1:21" ht="38.25" customHeight="1">
      <c r="A25" s="35" t="s">
        <v>43</v>
      </c>
      <c r="B25" s="11" t="s">
        <v>44</v>
      </c>
      <c r="C25" s="35" t="s">
        <v>45</v>
      </c>
      <c r="D25" s="11" t="s">
        <v>46</v>
      </c>
      <c r="E25" s="44">
        <v>374</v>
      </c>
      <c r="F25" s="44">
        <f>SUM(E25*78/1000)</f>
        <v>29.172000000000001</v>
      </c>
      <c r="G25" s="44">
        <v>258.63</v>
      </c>
      <c r="H25" s="45">
        <f t="shared" si="2"/>
        <v>7.5447543599999998</v>
      </c>
      <c r="I25" s="46">
        <v>0</v>
      </c>
      <c r="J25" s="46">
        <v>0</v>
      </c>
      <c r="K25" s="46">
        <v>0</v>
      </c>
      <c r="L25" s="46">
        <v>0</v>
      </c>
      <c r="M25" s="46">
        <f>F25/6*G25</f>
        <v>1257.4590599999999</v>
      </c>
      <c r="N25" s="46">
        <f>F25/6*G25</f>
        <v>1257.4590599999999</v>
      </c>
      <c r="O25" s="46">
        <f>F25/6*G25</f>
        <v>1257.4590599999999</v>
      </c>
      <c r="P25" s="46">
        <f>F25/6*G25</f>
        <v>1257.4590599999999</v>
      </c>
      <c r="Q25" s="46">
        <f>F25/6*G25</f>
        <v>1257.4590599999999</v>
      </c>
      <c r="R25" s="46">
        <v>0</v>
      </c>
      <c r="S25" s="46">
        <v>0</v>
      </c>
      <c r="T25" s="46">
        <v>0</v>
      </c>
      <c r="U25" s="46">
        <f t="shared" si="3"/>
        <v>6287.2952999999998</v>
      </c>
    </row>
    <row r="26" spans="1:21">
      <c r="A26" s="35" t="s">
        <v>47</v>
      </c>
      <c r="B26" s="11" t="s">
        <v>48</v>
      </c>
      <c r="C26" s="35" t="s">
        <v>45</v>
      </c>
      <c r="D26" s="11" t="s">
        <v>49</v>
      </c>
      <c r="E26" s="44">
        <v>748</v>
      </c>
      <c r="F26" s="44">
        <f>SUM(E26/1000)</f>
        <v>0.748</v>
      </c>
      <c r="G26" s="44">
        <v>3020.33</v>
      </c>
      <c r="H26" s="45">
        <f t="shared" si="2"/>
        <v>2.25920684</v>
      </c>
      <c r="I26" s="46">
        <v>0</v>
      </c>
      <c r="J26" s="46">
        <v>0</v>
      </c>
      <c r="K26" s="46">
        <v>0</v>
      </c>
      <c r="L26" s="46">
        <v>0</v>
      </c>
      <c r="M26" s="46">
        <f>F26*G26</f>
        <v>2259.2068399999998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f t="shared" si="3"/>
        <v>2259.2068399999998</v>
      </c>
    </row>
    <row r="27" spans="1:21">
      <c r="A27" s="35" t="s">
        <v>183</v>
      </c>
      <c r="B27" s="11" t="s">
        <v>184</v>
      </c>
      <c r="C27" s="35" t="s">
        <v>99</v>
      </c>
      <c r="D27" s="11" t="s">
        <v>53</v>
      </c>
      <c r="E27" s="44">
        <v>1</v>
      </c>
      <c r="F27" s="44">
        <f>E27*155/100</f>
        <v>1.55</v>
      </c>
      <c r="G27" s="44">
        <v>1302.02</v>
      </c>
      <c r="H27" s="45">
        <f>G27*F27/1000</f>
        <v>2.0181309999999999</v>
      </c>
      <c r="I27" s="46">
        <v>0</v>
      </c>
      <c r="J27" s="46">
        <v>0</v>
      </c>
      <c r="K27" s="46">
        <v>0</v>
      </c>
      <c r="L27" s="46">
        <v>0</v>
      </c>
      <c r="M27" s="46">
        <f>F27/6*G27</f>
        <v>336.35516666666672</v>
      </c>
      <c r="N27" s="46">
        <f>F27/6*G27</f>
        <v>336.35516666666672</v>
      </c>
      <c r="O27" s="46">
        <f>F27/6*G27</f>
        <v>336.35516666666672</v>
      </c>
      <c r="P27" s="46">
        <f>F27/6*G27</f>
        <v>336.35516666666672</v>
      </c>
      <c r="Q27" s="46">
        <f>F27/6*G27</f>
        <v>336.35516666666672</v>
      </c>
      <c r="R27" s="46">
        <f>F27/6*G27</f>
        <v>336.35516666666672</v>
      </c>
      <c r="S27" s="46">
        <v>0</v>
      </c>
      <c r="T27" s="46">
        <v>0</v>
      </c>
      <c r="U27" s="46">
        <f t="shared" si="3"/>
        <v>2018.1310000000003</v>
      </c>
    </row>
    <row r="28" spans="1:21">
      <c r="A28" s="35" t="s">
        <v>50</v>
      </c>
      <c r="B28" s="11" t="s">
        <v>51</v>
      </c>
      <c r="C28" s="35" t="s">
        <v>52</v>
      </c>
      <c r="D28" s="11" t="s">
        <v>53</v>
      </c>
      <c r="E28" s="56">
        <v>0.33333333333333331</v>
      </c>
      <c r="F28" s="44">
        <f>155/3</f>
        <v>51.666666666666664</v>
      </c>
      <c r="G28" s="44">
        <v>56.69</v>
      </c>
      <c r="H28" s="45">
        <f>SUM(G28*155/3/1000)</f>
        <v>2.9289833333333331</v>
      </c>
      <c r="I28" s="46">
        <v>0</v>
      </c>
      <c r="J28" s="46">
        <v>0</v>
      </c>
      <c r="K28" s="46">
        <v>0</v>
      </c>
      <c r="L28" s="46">
        <v>0</v>
      </c>
      <c r="M28" s="46">
        <f>F28/6*G28</f>
        <v>488.16388888888883</v>
      </c>
      <c r="N28" s="46">
        <f>F28/6*G28</f>
        <v>488.16388888888883</v>
      </c>
      <c r="O28" s="46">
        <f>F28/6*G28</f>
        <v>488.16388888888883</v>
      </c>
      <c r="P28" s="46">
        <f>F28/6*G28</f>
        <v>488.16388888888883</v>
      </c>
      <c r="Q28" s="46">
        <f>F28/6*G28</f>
        <v>488.16388888888883</v>
      </c>
      <c r="R28" s="46">
        <f>F28/6*G28</f>
        <v>488.16388888888883</v>
      </c>
      <c r="S28" s="46">
        <v>0</v>
      </c>
      <c r="T28" s="46">
        <v>0</v>
      </c>
      <c r="U28" s="46">
        <f t="shared" si="3"/>
        <v>2928.9833333333331</v>
      </c>
    </row>
    <row r="29" spans="1:21" ht="12.75" customHeight="1">
      <c r="A29" s="35" t="s">
        <v>54</v>
      </c>
      <c r="B29" s="11" t="s">
        <v>55</v>
      </c>
      <c r="C29" s="35" t="s">
        <v>56</v>
      </c>
      <c r="D29" s="11" t="s">
        <v>57</v>
      </c>
      <c r="E29" s="57">
        <v>0.1</v>
      </c>
      <c r="F29" s="44">
        <f>SUM(E29*365)</f>
        <v>36.5</v>
      </c>
      <c r="G29" s="44">
        <v>147.03</v>
      </c>
      <c r="H29" s="45">
        <f t="shared" si="2"/>
        <v>5.3665950000000002</v>
      </c>
      <c r="I29" s="46">
        <f>F29/12*G29</f>
        <v>447.21625</v>
      </c>
      <c r="J29" s="46">
        <f>F29/12*G29</f>
        <v>447.21625</v>
      </c>
      <c r="K29" s="46">
        <f>F29/12*G29</f>
        <v>447.21625</v>
      </c>
      <c r="L29" s="46">
        <f>F29/12*G29</f>
        <v>447.21625</v>
      </c>
      <c r="M29" s="46">
        <f>F29/12*G29</f>
        <v>447.21625</v>
      </c>
      <c r="N29" s="46">
        <f>F29/12*G29</f>
        <v>447.21625</v>
      </c>
      <c r="O29" s="46">
        <f>F29/12*G29</f>
        <v>447.21625</v>
      </c>
      <c r="P29" s="46">
        <f>F29/12*G29</f>
        <v>447.21625</v>
      </c>
      <c r="Q29" s="46">
        <f>F29/12*G29</f>
        <v>447.21625</v>
      </c>
      <c r="R29" s="46">
        <f>F29/12*G29</f>
        <v>447.21625</v>
      </c>
      <c r="S29" s="46">
        <f>F29/12*G29</f>
        <v>447.21625</v>
      </c>
      <c r="T29" s="46">
        <f>F29/12*G29</f>
        <v>447.21625</v>
      </c>
      <c r="U29" s="46">
        <f t="shared" si="3"/>
        <v>5366.5950000000012</v>
      </c>
    </row>
    <row r="30" spans="1:21" ht="12.75" customHeight="1">
      <c r="A30" s="35" t="s">
        <v>60</v>
      </c>
      <c r="B30" s="11" t="s">
        <v>61</v>
      </c>
      <c r="C30" s="35" t="s">
        <v>56</v>
      </c>
      <c r="D30" s="11" t="s">
        <v>59</v>
      </c>
      <c r="E30" s="43"/>
      <c r="F30" s="44">
        <v>2</v>
      </c>
      <c r="G30" s="44">
        <v>191.32</v>
      </c>
      <c r="H30" s="45">
        <f t="shared" si="2"/>
        <v>0.38263999999999998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f t="shared" si="3"/>
        <v>0</v>
      </c>
    </row>
    <row r="31" spans="1:21" ht="13.5" customHeight="1">
      <c r="A31" s="35" t="s">
        <v>62</v>
      </c>
      <c r="B31" s="11" t="s">
        <v>63</v>
      </c>
      <c r="C31" s="35" t="s">
        <v>64</v>
      </c>
      <c r="D31" s="11" t="s">
        <v>59</v>
      </c>
      <c r="E31" s="43"/>
      <c r="F31" s="44">
        <v>1</v>
      </c>
      <c r="G31" s="44">
        <v>1136.33</v>
      </c>
      <c r="H31" s="45">
        <f t="shared" si="2"/>
        <v>1.1363299999999998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f t="shared" si="3"/>
        <v>0</v>
      </c>
    </row>
    <row r="32" spans="1:21" ht="13.5" customHeight="1">
      <c r="A32" s="35" t="s">
        <v>192</v>
      </c>
      <c r="B32" s="11" t="s">
        <v>58</v>
      </c>
      <c r="C32" s="35" t="s">
        <v>71</v>
      </c>
      <c r="D32" s="11"/>
      <c r="E32" s="43">
        <v>932.2</v>
      </c>
      <c r="F32" s="44">
        <v>0.93220000000000003</v>
      </c>
      <c r="G32" s="44">
        <v>1305.02</v>
      </c>
      <c r="H32" s="45">
        <f t="shared" si="2"/>
        <v>1.216539644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f t="shared" si="3"/>
        <v>0</v>
      </c>
    </row>
    <row r="33" spans="1:21">
      <c r="A33" s="35"/>
      <c r="B33" s="58" t="s">
        <v>65</v>
      </c>
      <c r="C33" s="35" t="s">
        <v>66</v>
      </c>
      <c r="D33" s="58" t="s">
        <v>67</v>
      </c>
      <c r="E33" s="43">
        <v>5367.6</v>
      </c>
      <c r="F33" s="44">
        <f>SUM(E33*12)</f>
        <v>64411.200000000004</v>
      </c>
      <c r="G33" s="44">
        <v>3.18</v>
      </c>
      <c r="H33" s="45">
        <f t="shared" si="2"/>
        <v>204.82761600000003</v>
      </c>
      <c r="I33" s="46">
        <f>F33/12*G33</f>
        <v>17068.968000000001</v>
      </c>
      <c r="J33" s="46">
        <f>F33/12*G33</f>
        <v>17068.968000000001</v>
      </c>
      <c r="K33" s="46">
        <f>F33/12*G33</f>
        <v>17068.968000000001</v>
      </c>
      <c r="L33" s="46">
        <f>F33/12*G33</f>
        <v>17068.968000000001</v>
      </c>
      <c r="M33" s="46">
        <f>F33/12*G33</f>
        <v>17068.968000000001</v>
      </c>
      <c r="N33" s="46">
        <f>F33/12*G33</f>
        <v>17068.968000000001</v>
      </c>
      <c r="O33" s="46">
        <f>F33/12*G33</f>
        <v>17068.968000000001</v>
      </c>
      <c r="P33" s="46">
        <f>F33/12*G33</f>
        <v>17068.968000000001</v>
      </c>
      <c r="Q33" s="46">
        <f>F33/12*G33</f>
        <v>17068.968000000001</v>
      </c>
      <c r="R33" s="46">
        <f>F33/12*G33</f>
        <v>17068.968000000001</v>
      </c>
      <c r="S33" s="46">
        <f>F33/12*G33</f>
        <v>17068.968000000001</v>
      </c>
      <c r="T33" s="46">
        <f>F33/12*G33</f>
        <v>17068.968000000001</v>
      </c>
      <c r="U33" s="46">
        <f t="shared" si="3"/>
        <v>204827.61599999995</v>
      </c>
    </row>
    <row r="34" spans="1:21" s="19" customFormat="1">
      <c r="A34" s="49"/>
      <c r="B34" s="20" t="s">
        <v>37</v>
      </c>
      <c r="C34" s="50"/>
      <c r="D34" s="20"/>
      <c r="E34" s="51"/>
      <c r="F34" s="52"/>
      <c r="G34" s="52"/>
      <c r="H34" s="59">
        <f>SUM(H24:H33)</f>
        <v>233.74429361733337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>
        <f>SUM(U24:U33)</f>
        <v>229751.32491333329</v>
      </c>
    </row>
    <row r="35" spans="1:21">
      <c r="A35" s="35"/>
      <c r="B35" s="12" t="s">
        <v>68</v>
      </c>
      <c r="C35" s="35"/>
      <c r="D35" s="11"/>
      <c r="E35" s="43"/>
      <c r="F35" s="44"/>
      <c r="G35" s="44"/>
      <c r="H35" s="45" t="s">
        <v>67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ht="25.5">
      <c r="A36" s="35" t="s">
        <v>62</v>
      </c>
      <c r="B36" s="13" t="s">
        <v>69</v>
      </c>
      <c r="C36" s="35" t="s">
        <v>64</v>
      </c>
      <c r="D36" s="11"/>
      <c r="E36" s="43"/>
      <c r="F36" s="44">
        <v>6</v>
      </c>
      <c r="G36" s="44">
        <v>1527.22</v>
      </c>
      <c r="H36" s="45">
        <f t="shared" ref="H36:H42" si="4">SUM(F36*G36/1000)</f>
        <v>9.1633200000000006</v>
      </c>
      <c r="I36" s="46">
        <f>F36/6*G36</f>
        <v>1527.22</v>
      </c>
      <c r="J36" s="46">
        <f>F36/6*G36</f>
        <v>1527.22</v>
      </c>
      <c r="K36" s="46">
        <f>F36/6*G36</f>
        <v>1527.22</v>
      </c>
      <c r="L36" s="46">
        <f>F36/6*G36</f>
        <v>1527.22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f>F36/6*G36</f>
        <v>1527.22</v>
      </c>
      <c r="T36" s="46">
        <f>F36/6*G36</f>
        <v>1527.22</v>
      </c>
      <c r="U36" s="46">
        <f t="shared" ref="U36:U42" si="5">SUM(I36:T36)</f>
        <v>9163.32</v>
      </c>
    </row>
    <row r="37" spans="1:21" ht="25.5">
      <c r="A37" s="61" t="s">
        <v>70</v>
      </c>
      <c r="B37" s="13" t="s">
        <v>174</v>
      </c>
      <c r="C37" s="61" t="s">
        <v>71</v>
      </c>
      <c r="D37" s="11" t="s">
        <v>204</v>
      </c>
      <c r="E37" s="43">
        <v>374</v>
      </c>
      <c r="F37" s="60">
        <f>E37*26/1000</f>
        <v>9.7240000000000002</v>
      </c>
      <c r="G37" s="44">
        <v>2102.71</v>
      </c>
      <c r="H37" s="45">
        <f>G37*F37/1000</f>
        <v>20.44675204</v>
      </c>
      <c r="I37" s="46">
        <f>F37/6*G37</f>
        <v>3407.792006666667</v>
      </c>
      <c r="J37" s="46">
        <f>F37/6*G37</f>
        <v>3407.792006666667</v>
      </c>
      <c r="K37" s="46">
        <f>F37/6*G37</f>
        <v>3407.792006666667</v>
      </c>
      <c r="L37" s="46">
        <f>F37/6*G37</f>
        <v>3407.792006666667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f>F37/6*G37</f>
        <v>3407.792006666667</v>
      </c>
      <c r="T37" s="46">
        <f>F37/6*G37</f>
        <v>3407.792006666667</v>
      </c>
      <c r="U37" s="46">
        <f t="shared" si="5"/>
        <v>20446.752040000003</v>
      </c>
    </row>
    <row r="38" spans="1:21">
      <c r="A38" s="35" t="s">
        <v>62</v>
      </c>
      <c r="B38" s="11" t="s">
        <v>208</v>
      </c>
      <c r="C38" s="35" t="s">
        <v>124</v>
      </c>
      <c r="D38" s="11" t="s">
        <v>59</v>
      </c>
      <c r="E38" s="43"/>
      <c r="F38" s="60">
        <v>66</v>
      </c>
      <c r="G38" s="44">
        <v>213.2</v>
      </c>
      <c r="H38" s="45">
        <f>G38*F38/1000</f>
        <v>14.071199999999999</v>
      </c>
      <c r="I38" s="46">
        <f>0</f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f t="shared" si="5"/>
        <v>0</v>
      </c>
    </row>
    <row r="39" spans="1:21" ht="24.75" customHeight="1">
      <c r="A39" s="35" t="s">
        <v>72</v>
      </c>
      <c r="B39" s="11" t="s">
        <v>73</v>
      </c>
      <c r="C39" s="35" t="s">
        <v>71</v>
      </c>
      <c r="D39" s="11" t="s">
        <v>74</v>
      </c>
      <c r="E39" s="44">
        <v>160</v>
      </c>
      <c r="F39" s="60">
        <f>SUM(E39*155/1000)</f>
        <v>24.8</v>
      </c>
      <c r="G39" s="44">
        <v>350.75</v>
      </c>
      <c r="H39" s="45">
        <f t="shared" si="4"/>
        <v>8.6986000000000008</v>
      </c>
      <c r="I39" s="46">
        <f>F39/6*G39</f>
        <v>1449.7666666666669</v>
      </c>
      <c r="J39" s="46">
        <f>F39/6*G39</f>
        <v>1449.7666666666669</v>
      </c>
      <c r="K39" s="46">
        <f>F39/6*G39</f>
        <v>1449.7666666666669</v>
      </c>
      <c r="L39" s="46">
        <f>F39/6*G39</f>
        <v>1449.7666666666669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f>F39/6*G39</f>
        <v>1449.7666666666669</v>
      </c>
      <c r="T39" s="46">
        <f>F39/6*G39</f>
        <v>1449.7666666666669</v>
      </c>
      <c r="U39" s="46">
        <f t="shared" si="5"/>
        <v>8698.6</v>
      </c>
    </row>
    <row r="40" spans="1:21" ht="51" customHeight="1">
      <c r="A40" s="35" t="s">
        <v>75</v>
      </c>
      <c r="B40" s="11" t="s">
        <v>76</v>
      </c>
      <c r="C40" s="35" t="s">
        <v>45</v>
      </c>
      <c r="D40" s="11" t="s">
        <v>205</v>
      </c>
      <c r="E40" s="44">
        <v>76</v>
      </c>
      <c r="F40" s="60">
        <f>SUM(E40*50/1000)</f>
        <v>3.8</v>
      </c>
      <c r="G40" s="44">
        <v>5803.28</v>
      </c>
      <c r="H40" s="45">
        <f t="shared" si="4"/>
        <v>22.052463999999997</v>
      </c>
      <c r="I40" s="46">
        <f>F40/6*G40</f>
        <v>3675.4106666666662</v>
      </c>
      <c r="J40" s="46">
        <f>F40/6*G40</f>
        <v>3675.4106666666662</v>
      </c>
      <c r="K40" s="46">
        <f>F40/6*G40</f>
        <v>3675.4106666666662</v>
      </c>
      <c r="L40" s="46">
        <f>F40/6*G40</f>
        <v>3675.4106666666662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f>F40/6*G40</f>
        <v>3675.4106666666662</v>
      </c>
      <c r="T40" s="46">
        <f>F40/6*G40</f>
        <v>3675.4106666666662</v>
      </c>
      <c r="U40" s="46">
        <f t="shared" si="5"/>
        <v>22052.463999999996</v>
      </c>
    </row>
    <row r="41" spans="1:21" ht="27" customHeight="1">
      <c r="A41" s="35" t="s">
        <v>77</v>
      </c>
      <c r="B41" s="11" t="s">
        <v>78</v>
      </c>
      <c r="C41" s="35" t="s">
        <v>45</v>
      </c>
      <c r="D41" s="11" t="s">
        <v>79</v>
      </c>
      <c r="E41" s="44">
        <v>76</v>
      </c>
      <c r="F41" s="60">
        <f>SUM(E41*45/1000)</f>
        <v>3.42</v>
      </c>
      <c r="G41" s="44">
        <v>428.7</v>
      </c>
      <c r="H41" s="45">
        <f t="shared" si="4"/>
        <v>1.466154</v>
      </c>
      <c r="I41" s="46">
        <f>F41/6*G41</f>
        <v>244.35899999999998</v>
      </c>
      <c r="J41" s="46">
        <f>F41/6*G41</f>
        <v>244.35899999999998</v>
      </c>
      <c r="K41" s="46">
        <f>F41/6*G41</f>
        <v>244.35899999999998</v>
      </c>
      <c r="L41" s="46">
        <f>F41/6*G41</f>
        <v>244.35899999999998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f>F41/6*G41</f>
        <v>244.35899999999998</v>
      </c>
      <c r="T41" s="46">
        <f>F41/6*G41</f>
        <v>244.35899999999998</v>
      </c>
      <c r="U41" s="46">
        <f t="shared" si="5"/>
        <v>1466.1539999999998</v>
      </c>
    </row>
    <row r="42" spans="1:21" s="2" customFormat="1">
      <c r="A42" s="61"/>
      <c r="B42" s="13" t="s">
        <v>80</v>
      </c>
      <c r="C42" s="61" t="s">
        <v>56</v>
      </c>
      <c r="D42" s="13"/>
      <c r="E42" s="57"/>
      <c r="F42" s="60">
        <v>0.9</v>
      </c>
      <c r="G42" s="60">
        <v>798</v>
      </c>
      <c r="H42" s="45">
        <f t="shared" si="4"/>
        <v>0.71820000000000006</v>
      </c>
      <c r="I42" s="62">
        <f>F42/6*G42</f>
        <v>119.69999999999999</v>
      </c>
      <c r="J42" s="62">
        <f>F42/6*G42</f>
        <v>119.69999999999999</v>
      </c>
      <c r="K42" s="62">
        <f>F42/6*G42</f>
        <v>119.69999999999999</v>
      </c>
      <c r="L42" s="62">
        <f>F42/6*G42</f>
        <v>119.69999999999999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f>F42/6*G42</f>
        <v>119.69999999999999</v>
      </c>
      <c r="T42" s="62">
        <f>F42/6*G42</f>
        <v>119.69999999999999</v>
      </c>
      <c r="U42" s="46">
        <f t="shared" si="5"/>
        <v>718.2</v>
      </c>
    </row>
    <row r="43" spans="1:21" s="19" customFormat="1">
      <c r="A43" s="49"/>
      <c r="B43" s="20" t="s">
        <v>37</v>
      </c>
      <c r="C43" s="50"/>
      <c r="D43" s="20"/>
      <c r="E43" s="51"/>
      <c r="F43" s="52" t="s">
        <v>67</v>
      </c>
      <c r="G43" s="52"/>
      <c r="H43" s="59">
        <f>SUM(H36:H42)</f>
        <v>76.616690039999995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>
        <f>SUM(U36:U42)</f>
        <v>62545.490039999997</v>
      </c>
    </row>
    <row r="44" spans="1:21">
      <c r="A44" s="35"/>
      <c r="B44" s="14" t="s">
        <v>81</v>
      </c>
      <c r="C44" s="35"/>
      <c r="D44" s="11"/>
      <c r="E44" s="43"/>
      <c r="F44" s="44"/>
      <c r="G44" s="44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spans="1:21">
      <c r="A45" s="35" t="s">
        <v>206</v>
      </c>
      <c r="B45" s="11" t="s">
        <v>207</v>
      </c>
      <c r="C45" s="35" t="s">
        <v>45</v>
      </c>
      <c r="D45" s="11" t="s">
        <v>82</v>
      </c>
      <c r="E45" s="43">
        <v>1099.7</v>
      </c>
      <c r="F45" s="44">
        <f>SUM(E45*2/1000)</f>
        <v>2.1994000000000002</v>
      </c>
      <c r="G45" s="63">
        <v>809.74</v>
      </c>
      <c r="H45" s="45">
        <f t="shared" ref="H45:H55" si="6">SUM(F45*G45/1000)</f>
        <v>1.7809421560000003</v>
      </c>
      <c r="I45" s="46">
        <v>0</v>
      </c>
      <c r="J45" s="46">
        <v>0</v>
      </c>
      <c r="K45" s="46">
        <v>0</v>
      </c>
      <c r="L45" s="46">
        <f>F45/2*G45</f>
        <v>890.47107800000015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f>F45/2*G45</f>
        <v>890.47107800000015</v>
      </c>
      <c r="S45" s="46">
        <v>0</v>
      </c>
      <c r="T45" s="46">
        <v>0</v>
      </c>
      <c r="U45" s="46">
        <f t="shared" ref="U45:U54" si="7">SUM(I45:T45)</f>
        <v>1780.9421560000003</v>
      </c>
    </row>
    <row r="46" spans="1:21">
      <c r="A46" s="35" t="s">
        <v>83</v>
      </c>
      <c r="B46" s="11" t="s">
        <v>84</v>
      </c>
      <c r="C46" s="35" t="s">
        <v>45</v>
      </c>
      <c r="D46" s="11" t="s">
        <v>82</v>
      </c>
      <c r="E46" s="43">
        <v>52</v>
      </c>
      <c r="F46" s="44">
        <f>E46*2/1000</f>
        <v>0.104</v>
      </c>
      <c r="G46" s="63">
        <v>579.48</v>
      </c>
      <c r="H46" s="45">
        <f t="shared" si="6"/>
        <v>6.0265920000000001E-2</v>
      </c>
      <c r="I46" s="46">
        <v>0</v>
      </c>
      <c r="J46" s="46">
        <v>0</v>
      </c>
      <c r="K46" s="46">
        <v>0</v>
      </c>
      <c r="L46" s="46">
        <f>F46/2*G46</f>
        <v>30.132960000000001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f>F46/2*G46</f>
        <v>30.132960000000001</v>
      </c>
      <c r="S46" s="46">
        <v>0</v>
      </c>
      <c r="T46" s="46">
        <v>0</v>
      </c>
      <c r="U46" s="46">
        <f t="shared" si="7"/>
        <v>60.265920000000001</v>
      </c>
    </row>
    <row r="47" spans="1:21" ht="25.5">
      <c r="A47" s="35" t="s">
        <v>85</v>
      </c>
      <c r="B47" s="11" t="s">
        <v>86</v>
      </c>
      <c r="C47" s="35" t="s">
        <v>45</v>
      </c>
      <c r="D47" s="11" t="s">
        <v>82</v>
      </c>
      <c r="E47" s="43">
        <v>917.78</v>
      </c>
      <c r="F47" s="44">
        <f>SUM(E47*2/1000)</f>
        <v>1.8355599999999999</v>
      </c>
      <c r="G47" s="63">
        <v>579.48</v>
      </c>
      <c r="H47" s="45">
        <f t="shared" si="6"/>
        <v>1.0636703087999999</v>
      </c>
      <c r="I47" s="46">
        <v>0</v>
      </c>
      <c r="J47" s="46">
        <v>0</v>
      </c>
      <c r="K47" s="46">
        <v>0</v>
      </c>
      <c r="L47" s="46">
        <f>F47/2*G47</f>
        <v>531.83515439999996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f>F47/2*G47</f>
        <v>531.83515439999996</v>
      </c>
      <c r="S47" s="46">
        <v>0</v>
      </c>
      <c r="T47" s="46">
        <v>0</v>
      </c>
      <c r="U47" s="46">
        <f t="shared" si="7"/>
        <v>1063.6703087999999</v>
      </c>
    </row>
    <row r="48" spans="1:21">
      <c r="A48" s="35" t="s">
        <v>87</v>
      </c>
      <c r="B48" s="11" t="s">
        <v>88</v>
      </c>
      <c r="C48" s="35" t="s">
        <v>45</v>
      </c>
      <c r="D48" s="11" t="s">
        <v>82</v>
      </c>
      <c r="E48" s="43">
        <v>3930</v>
      </c>
      <c r="F48" s="44">
        <f>SUM(E48*2/1000)</f>
        <v>7.86</v>
      </c>
      <c r="G48" s="63">
        <v>606.77</v>
      </c>
      <c r="H48" s="45">
        <f t="shared" si="6"/>
        <v>4.7692122000000001</v>
      </c>
      <c r="I48" s="46">
        <v>0</v>
      </c>
      <c r="J48" s="46">
        <v>0</v>
      </c>
      <c r="K48" s="46">
        <v>0</v>
      </c>
      <c r="L48" s="46">
        <f>F48/2*G48</f>
        <v>2384.6061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f>F48/2*G48</f>
        <v>2384.6061</v>
      </c>
      <c r="S48" s="46">
        <v>0</v>
      </c>
      <c r="T48" s="46">
        <v>0</v>
      </c>
      <c r="U48" s="46">
        <f t="shared" si="7"/>
        <v>4769.2121999999999</v>
      </c>
    </row>
    <row r="49" spans="1:21">
      <c r="A49" s="35" t="s">
        <v>189</v>
      </c>
      <c r="B49" s="11" t="s">
        <v>190</v>
      </c>
      <c r="C49" s="35" t="s">
        <v>30</v>
      </c>
      <c r="D49" s="11" t="s">
        <v>82</v>
      </c>
      <c r="E49" s="43">
        <v>142.38999999999999</v>
      </c>
      <c r="F49" s="44">
        <f>E49*2/100</f>
        <v>2.8477999999999999</v>
      </c>
      <c r="G49" s="63">
        <v>72.81</v>
      </c>
      <c r="H49" s="45">
        <f>F49*G49/1000</f>
        <v>0.207348318</v>
      </c>
      <c r="I49" s="46">
        <v>0</v>
      </c>
      <c r="J49" s="46">
        <v>0</v>
      </c>
      <c r="K49" s="46">
        <v>0</v>
      </c>
      <c r="L49" s="46">
        <f>F49/2*G49</f>
        <v>103.674159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f>F49/2*G49</f>
        <v>103.674159</v>
      </c>
      <c r="S49" s="46">
        <v>0</v>
      </c>
      <c r="T49" s="46">
        <v>0</v>
      </c>
      <c r="U49" s="46">
        <f t="shared" si="7"/>
        <v>207.34831800000001</v>
      </c>
    </row>
    <row r="50" spans="1:21" ht="25.5">
      <c r="A50" s="35" t="s">
        <v>89</v>
      </c>
      <c r="B50" s="11" t="s">
        <v>90</v>
      </c>
      <c r="C50" s="35" t="s">
        <v>45</v>
      </c>
      <c r="D50" s="11" t="s">
        <v>91</v>
      </c>
      <c r="E50" s="43">
        <v>1914</v>
      </c>
      <c r="F50" s="44">
        <f>SUM(E50*5/1000)</f>
        <v>9.57</v>
      </c>
      <c r="G50" s="63">
        <v>1213.55</v>
      </c>
      <c r="H50" s="45">
        <f t="shared" si="6"/>
        <v>11.613673500000001</v>
      </c>
      <c r="I50" s="46">
        <f>F50/5*G50</f>
        <v>2322.7347</v>
      </c>
      <c r="J50" s="46">
        <f>F50/5*G50</f>
        <v>2322.7347</v>
      </c>
      <c r="K50" s="46">
        <v>0</v>
      </c>
      <c r="L50" s="46">
        <v>0</v>
      </c>
      <c r="M50" s="46">
        <f>F50/5*G50</f>
        <v>2322.7347</v>
      </c>
      <c r="N50" s="46">
        <v>0</v>
      </c>
      <c r="O50" s="46">
        <v>0</v>
      </c>
      <c r="P50" s="46">
        <v>0</v>
      </c>
      <c r="Q50" s="46">
        <f>F50/5*G50</f>
        <v>2322.7347</v>
      </c>
      <c r="R50" s="46">
        <v>0</v>
      </c>
      <c r="S50" s="46">
        <v>0</v>
      </c>
      <c r="T50" s="46">
        <f>F50/5*G50</f>
        <v>2322.7347</v>
      </c>
      <c r="U50" s="46">
        <f t="shared" si="7"/>
        <v>11613.673500000001</v>
      </c>
    </row>
    <row r="51" spans="1:21" ht="39.6" customHeight="1">
      <c r="A51" s="35" t="s">
        <v>92</v>
      </c>
      <c r="B51" s="11" t="s">
        <v>93</v>
      </c>
      <c r="C51" s="35" t="s">
        <v>45</v>
      </c>
      <c r="D51" s="11" t="s">
        <v>82</v>
      </c>
      <c r="E51" s="43">
        <v>1914</v>
      </c>
      <c r="F51" s="44">
        <f>SUM(E51*2/1000)</f>
        <v>3.8279999999999998</v>
      </c>
      <c r="G51" s="63">
        <v>1213.55</v>
      </c>
      <c r="H51" s="45">
        <f t="shared" si="6"/>
        <v>4.6454693999999996</v>
      </c>
      <c r="I51" s="46">
        <v>0</v>
      </c>
      <c r="J51" s="46">
        <f>F51/2*G51</f>
        <v>2322.7347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f>F51/2*G51</f>
        <v>2322.7347</v>
      </c>
      <c r="R51" s="46">
        <v>0</v>
      </c>
      <c r="S51" s="46">
        <v>0</v>
      </c>
      <c r="T51" s="46">
        <v>0</v>
      </c>
      <c r="U51" s="46">
        <f t="shared" si="7"/>
        <v>4645.4694</v>
      </c>
    </row>
    <row r="52" spans="1:21" ht="28.9" customHeight="1">
      <c r="A52" s="35" t="s">
        <v>94</v>
      </c>
      <c r="B52" s="11" t="s">
        <v>95</v>
      </c>
      <c r="C52" s="35" t="s">
        <v>96</v>
      </c>
      <c r="D52" s="11" t="s">
        <v>82</v>
      </c>
      <c r="E52" s="43">
        <v>20</v>
      </c>
      <c r="F52" s="44">
        <f>SUM(E52*2/100)</f>
        <v>0.4</v>
      </c>
      <c r="G52" s="63">
        <v>2730.49</v>
      </c>
      <c r="H52" s="45">
        <f>SUM(F52*G52/1000)</f>
        <v>1.0921959999999999</v>
      </c>
      <c r="I52" s="46">
        <v>0</v>
      </c>
      <c r="J52" s="46">
        <f>F52/2*G52</f>
        <v>546.09799999999996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f>F52/2*G52</f>
        <v>546.09799999999996</v>
      </c>
      <c r="R52" s="46">
        <v>0</v>
      </c>
      <c r="S52" s="46">
        <v>0</v>
      </c>
      <c r="T52" s="46">
        <v>0</v>
      </c>
      <c r="U52" s="46">
        <f t="shared" si="7"/>
        <v>1092.1959999999999</v>
      </c>
    </row>
    <row r="53" spans="1:21">
      <c r="A53" s="35" t="s">
        <v>97</v>
      </c>
      <c r="B53" s="11" t="s">
        <v>98</v>
      </c>
      <c r="C53" s="35" t="s">
        <v>99</v>
      </c>
      <c r="D53" s="11" t="s">
        <v>82</v>
      </c>
      <c r="E53" s="43">
        <v>1</v>
      </c>
      <c r="F53" s="44">
        <v>0.02</v>
      </c>
      <c r="G53" s="63">
        <v>5652.13</v>
      </c>
      <c r="H53" s="45">
        <f t="shared" si="6"/>
        <v>0.11304260000000001</v>
      </c>
      <c r="I53" s="46">
        <f>F53/2*G53</f>
        <v>56.521300000000004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f>F53/2*G53</f>
        <v>56.521300000000004</v>
      </c>
      <c r="R53" s="46">
        <v>0</v>
      </c>
      <c r="S53" s="46">
        <v>0</v>
      </c>
      <c r="T53" s="46">
        <v>0</v>
      </c>
      <c r="U53" s="46">
        <f t="shared" si="7"/>
        <v>113.04260000000001</v>
      </c>
    </row>
    <row r="54" spans="1:21" ht="13.5" customHeight="1">
      <c r="A54" s="35" t="s">
        <v>101</v>
      </c>
      <c r="B54" s="11" t="s">
        <v>102</v>
      </c>
      <c r="C54" s="35" t="s">
        <v>100</v>
      </c>
      <c r="D54" s="11" t="s">
        <v>224</v>
      </c>
      <c r="E54" s="43">
        <v>120</v>
      </c>
      <c r="F54" s="44">
        <f>SUM(E54)*3</f>
        <v>360</v>
      </c>
      <c r="G54" s="64">
        <v>65.67</v>
      </c>
      <c r="H54" s="45">
        <f t="shared" si="6"/>
        <v>23.641200000000001</v>
      </c>
      <c r="I54" s="46">
        <v>0</v>
      </c>
      <c r="J54" s="46">
        <v>0</v>
      </c>
      <c r="K54" s="46">
        <v>0</v>
      </c>
      <c r="L54" s="46">
        <v>0</v>
      </c>
      <c r="M54" s="46">
        <f>E54*G54</f>
        <v>7880.4000000000005</v>
      </c>
      <c r="N54" s="46">
        <v>0</v>
      </c>
      <c r="O54" s="46">
        <v>0</v>
      </c>
      <c r="P54" s="46">
        <v>0</v>
      </c>
      <c r="Q54" s="46">
        <f>E54*G54</f>
        <v>7880.4000000000005</v>
      </c>
      <c r="R54" s="46">
        <v>0</v>
      </c>
      <c r="S54" s="46">
        <v>0</v>
      </c>
      <c r="T54" s="46">
        <v>0</v>
      </c>
      <c r="U54" s="46">
        <f t="shared" si="7"/>
        <v>15760.800000000001</v>
      </c>
    </row>
    <row r="55" spans="1:21" s="2" customFormat="1" hidden="1">
      <c r="A55" s="65"/>
      <c r="B55" s="13" t="s">
        <v>103</v>
      </c>
      <c r="C55" s="61"/>
      <c r="D55" s="11" t="s">
        <v>104</v>
      </c>
      <c r="E55" s="57"/>
      <c r="F55" s="60"/>
      <c r="G55" s="60">
        <v>5750</v>
      </c>
      <c r="H55" s="66">
        <f t="shared" si="6"/>
        <v>0</v>
      </c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1:21" s="21" customFormat="1">
      <c r="A56" s="65"/>
      <c r="B56" s="20" t="s">
        <v>37</v>
      </c>
      <c r="C56" s="67"/>
      <c r="D56" s="20"/>
      <c r="E56" s="68"/>
      <c r="F56" s="69"/>
      <c r="G56" s="69"/>
      <c r="H56" s="59">
        <f>SUM(H45:H54)</f>
        <v>48.987020402799999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>
        <f>SUM(U45:U54)</f>
        <v>41106.620402799999</v>
      </c>
    </row>
    <row r="57" spans="1:21">
      <c r="A57" s="35"/>
      <c r="B57" s="12" t="s">
        <v>105</v>
      </c>
      <c r="C57" s="35"/>
      <c r="D57" s="11"/>
      <c r="E57" s="43"/>
      <c r="F57" s="44"/>
      <c r="G57" s="44"/>
      <c r="H57" s="45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ht="25.5" hidden="1">
      <c r="A58" s="8" t="s">
        <v>107</v>
      </c>
      <c r="B58" s="11" t="s">
        <v>106</v>
      </c>
      <c r="C58" s="35" t="s">
        <v>14</v>
      </c>
      <c r="D58" s="11" t="s">
        <v>82</v>
      </c>
      <c r="E58" s="43">
        <v>946</v>
      </c>
      <c r="F58" s="44">
        <f>SUM(E58*2/100)</f>
        <v>18.920000000000002</v>
      </c>
      <c r="G58" s="63">
        <v>0</v>
      </c>
      <c r="H58" s="45">
        <f>SUM(F58*G58/1000)</f>
        <v>0</v>
      </c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1:21" ht="38.25" customHeight="1">
      <c r="A59" s="35" t="s">
        <v>109</v>
      </c>
      <c r="B59" s="11" t="s">
        <v>191</v>
      </c>
      <c r="C59" s="35" t="s">
        <v>14</v>
      </c>
      <c r="D59" s="11" t="s">
        <v>108</v>
      </c>
      <c r="E59" s="43">
        <v>66</v>
      </c>
      <c r="F59" s="44">
        <f>SUM(E59*6/100)</f>
        <v>3.96</v>
      </c>
      <c r="G59" s="63">
        <v>1547.28</v>
      </c>
      <c r="H59" s="45">
        <f>SUM(F59*G59/1000)</f>
        <v>6.1272288000000001</v>
      </c>
      <c r="I59" s="46">
        <f>F59/6*G59</f>
        <v>1021.2048</v>
      </c>
      <c r="J59" s="46">
        <f>F59/6*G59</f>
        <v>1021.2048</v>
      </c>
      <c r="K59" s="46">
        <f>F59/6*G59</f>
        <v>1021.2048</v>
      </c>
      <c r="L59" s="46">
        <f>F59/6*G59</f>
        <v>1021.2048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f>F59/6*G59</f>
        <v>1021.2048</v>
      </c>
      <c r="T59" s="46">
        <f>F59/6*G59</f>
        <v>1021.2048</v>
      </c>
      <c r="U59" s="46">
        <f>SUM(I59:T66)</f>
        <v>6127.228799999999</v>
      </c>
    </row>
    <row r="60" spans="1:21" ht="24.75" hidden="1" customHeight="1">
      <c r="A60" s="35" t="s">
        <v>109</v>
      </c>
      <c r="B60" s="11" t="s">
        <v>110</v>
      </c>
      <c r="C60" s="35" t="s">
        <v>14</v>
      </c>
      <c r="D60" s="11" t="s">
        <v>59</v>
      </c>
      <c r="E60" s="43"/>
      <c r="F60" s="44"/>
      <c r="G60" s="44">
        <v>1090.82</v>
      </c>
      <c r="H60" s="45">
        <f>SUM(F60*G60/1000)</f>
        <v>0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1:21" hidden="1">
      <c r="A61" s="35" t="s">
        <v>112</v>
      </c>
      <c r="B61" s="12" t="s">
        <v>111</v>
      </c>
      <c r="C61" s="35"/>
      <c r="D61" s="11"/>
      <c r="E61" s="43"/>
      <c r="F61" s="44"/>
      <c r="G61" s="44"/>
      <c r="H61" s="45" t="s">
        <v>67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 hidden="1">
      <c r="A62" s="35"/>
      <c r="B62" s="11" t="s">
        <v>113</v>
      </c>
      <c r="C62" s="35" t="s">
        <v>14</v>
      </c>
      <c r="D62" s="11" t="s">
        <v>49</v>
      </c>
      <c r="E62" s="43">
        <v>938</v>
      </c>
      <c r="F62" s="44">
        <f>SUM(E62/100)</f>
        <v>9.3800000000000008</v>
      </c>
      <c r="G62" s="63">
        <v>0</v>
      </c>
      <c r="H62" s="45">
        <f>SUM(F62*G62/1000)</f>
        <v>0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hidden="1">
      <c r="A63" s="35" t="s">
        <v>117</v>
      </c>
      <c r="B63" s="11" t="s">
        <v>114</v>
      </c>
      <c r="C63" s="35" t="s">
        <v>115</v>
      </c>
      <c r="D63" s="11" t="s">
        <v>116</v>
      </c>
      <c r="E63" s="57"/>
      <c r="F63" s="44"/>
      <c r="G63" s="63">
        <v>0</v>
      </c>
      <c r="H63" s="45">
        <v>0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ht="25.5" hidden="1">
      <c r="A64" s="35"/>
      <c r="B64" s="11" t="s">
        <v>118</v>
      </c>
      <c r="C64" s="35" t="s">
        <v>23</v>
      </c>
      <c r="D64" s="11" t="s">
        <v>49</v>
      </c>
      <c r="E64" s="43"/>
      <c r="F64" s="44"/>
      <c r="G64" s="71">
        <v>1863.87</v>
      </c>
      <c r="H64" s="45">
        <f>SUM(F64*G64/1000)</f>
        <v>0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ht="12.75" hidden="1" customHeight="1">
      <c r="A65" s="35" t="s">
        <v>119</v>
      </c>
      <c r="B65" s="11" t="s">
        <v>120</v>
      </c>
      <c r="C65" s="35" t="s">
        <v>121</v>
      </c>
      <c r="D65" s="11" t="s">
        <v>49</v>
      </c>
      <c r="E65" s="43"/>
      <c r="F65" s="44"/>
      <c r="G65" s="71">
        <v>10305.030000000001</v>
      </c>
      <c r="H65" s="45">
        <f t="shared" ref="H65:H88" si="8">SUM(F65*G65/1000)</f>
        <v>0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ht="12.75" hidden="1" customHeight="1">
      <c r="A66" s="35" t="s">
        <v>122</v>
      </c>
      <c r="B66" s="11" t="s">
        <v>123</v>
      </c>
      <c r="C66" s="35" t="s">
        <v>124</v>
      </c>
      <c r="D66" s="11" t="s">
        <v>49</v>
      </c>
      <c r="E66" s="43"/>
      <c r="F66" s="44"/>
      <c r="G66" s="72">
        <v>1854.76</v>
      </c>
      <c r="H66" s="45">
        <f t="shared" si="8"/>
        <v>0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ht="12.75" customHeight="1">
      <c r="A67" s="73"/>
      <c r="B67" s="25" t="s">
        <v>111</v>
      </c>
      <c r="C67" s="73"/>
      <c r="D67" s="24"/>
      <c r="E67" s="74"/>
      <c r="F67" s="75"/>
      <c r="G67" s="63"/>
      <c r="H67" s="7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ht="12.75" customHeight="1">
      <c r="A68" s="73" t="s">
        <v>112</v>
      </c>
      <c r="B68" s="24" t="s">
        <v>186</v>
      </c>
      <c r="C68" s="73" t="s">
        <v>30</v>
      </c>
      <c r="D68" s="24" t="s">
        <v>49</v>
      </c>
      <c r="E68" s="74">
        <v>1387</v>
      </c>
      <c r="F68" s="75">
        <f>E68/100</f>
        <v>13.87</v>
      </c>
      <c r="G68" s="63">
        <v>793.61</v>
      </c>
      <c r="H68" s="76">
        <f>F68*G68/1000</f>
        <v>11.007370699999999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f>SUM(I68:T68)</f>
        <v>0</v>
      </c>
    </row>
    <row r="69" spans="1:21" ht="12.75" customHeight="1">
      <c r="A69" s="73"/>
      <c r="B69" s="24" t="s">
        <v>185</v>
      </c>
      <c r="C69" s="73" t="s">
        <v>115</v>
      </c>
      <c r="D69" s="24" t="s">
        <v>182</v>
      </c>
      <c r="E69" s="74">
        <v>286.8</v>
      </c>
      <c r="F69" s="77">
        <f>E69*12</f>
        <v>3441.6000000000004</v>
      </c>
      <c r="G69" s="78">
        <v>2.6</v>
      </c>
      <c r="H69" s="75">
        <f>F69*G69/1000</f>
        <v>8.9481600000000014</v>
      </c>
      <c r="I69" s="46">
        <f>F69/12*G69</f>
        <v>745.68000000000006</v>
      </c>
      <c r="J69" s="46">
        <f>F69/12*G69</f>
        <v>745.68000000000006</v>
      </c>
      <c r="K69" s="46">
        <f>F69/12*G69</f>
        <v>745.68000000000006</v>
      </c>
      <c r="L69" s="46">
        <f>F69/12*G69</f>
        <v>745.68000000000006</v>
      </c>
      <c r="M69" s="46">
        <f>F69/12*G69</f>
        <v>745.68000000000006</v>
      </c>
      <c r="N69" s="46">
        <f>F69/12*G69</f>
        <v>745.68000000000006</v>
      </c>
      <c r="O69" s="46">
        <f>F69/12*G69</f>
        <v>745.68000000000006</v>
      </c>
      <c r="P69" s="46">
        <f>F69/12*G69</f>
        <v>745.68000000000006</v>
      </c>
      <c r="Q69" s="46">
        <f>F69/12*G69</f>
        <v>745.68000000000006</v>
      </c>
      <c r="R69" s="46">
        <f>F69/12*G69</f>
        <v>745.68000000000006</v>
      </c>
      <c r="S69" s="46">
        <f>F69/12*G69</f>
        <v>745.68000000000006</v>
      </c>
      <c r="T69" s="46">
        <f>F69/12*G69</f>
        <v>745.68000000000006</v>
      </c>
      <c r="U69" s="46">
        <f>SUM(I69:T69)</f>
        <v>8948.1600000000017</v>
      </c>
    </row>
    <row r="70" spans="1:21">
      <c r="A70" s="73"/>
      <c r="B70" s="15" t="s">
        <v>125</v>
      </c>
      <c r="C70" s="73"/>
      <c r="D70" s="24"/>
      <c r="E70" s="74"/>
      <c r="F70" s="77"/>
      <c r="G70" s="77"/>
      <c r="H70" s="75" t="s">
        <v>67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ht="20.25" customHeight="1">
      <c r="A71" s="79" t="s">
        <v>126</v>
      </c>
      <c r="B71" s="16" t="s">
        <v>127</v>
      </c>
      <c r="C71" s="79" t="s">
        <v>100</v>
      </c>
      <c r="D71" s="9" t="s">
        <v>59</v>
      </c>
      <c r="E71" s="80">
        <v>10</v>
      </c>
      <c r="F71" s="44">
        <v>10</v>
      </c>
      <c r="G71" s="63">
        <v>222.4</v>
      </c>
      <c r="H71" s="81">
        <f t="shared" si="8"/>
        <v>2.2240000000000002</v>
      </c>
      <c r="I71" s="46">
        <f>0</f>
        <v>0</v>
      </c>
      <c r="J71" s="46">
        <f>G71*3</f>
        <v>667.2</v>
      </c>
      <c r="K71" s="46">
        <v>0</v>
      </c>
      <c r="L71" s="46">
        <v>0</v>
      </c>
      <c r="M71" s="46">
        <v>0</v>
      </c>
      <c r="N71" s="46">
        <f>G71</f>
        <v>222.4</v>
      </c>
      <c r="O71" s="46">
        <f>G71</f>
        <v>222.4</v>
      </c>
      <c r="P71" s="46">
        <f>G71*3</f>
        <v>667.2</v>
      </c>
      <c r="Q71" s="46">
        <v>0</v>
      </c>
      <c r="R71" s="46">
        <f>G71*2</f>
        <v>444.8</v>
      </c>
      <c r="S71" s="46">
        <f>G71*4</f>
        <v>889.6</v>
      </c>
      <c r="T71" s="46">
        <f>G71*4</f>
        <v>889.6</v>
      </c>
      <c r="U71" s="46">
        <f t="shared" ref="U71:U78" si="9">SUM(I71:T71)</f>
        <v>4003.2</v>
      </c>
    </row>
    <row r="72" spans="1:21" ht="12.75" customHeight="1">
      <c r="A72" s="79" t="s">
        <v>128</v>
      </c>
      <c r="B72" s="16" t="s">
        <v>129</v>
      </c>
      <c r="C72" s="79" t="s">
        <v>100</v>
      </c>
      <c r="D72" s="9" t="s">
        <v>59</v>
      </c>
      <c r="E72" s="80">
        <v>5</v>
      </c>
      <c r="F72" s="44">
        <v>5</v>
      </c>
      <c r="G72" s="63">
        <v>76.25</v>
      </c>
      <c r="H72" s="81">
        <f t="shared" si="8"/>
        <v>0.38124999999999998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f>G72*2</f>
        <v>152.5</v>
      </c>
      <c r="U72" s="46">
        <f t="shared" si="9"/>
        <v>152.5</v>
      </c>
    </row>
    <row r="73" spans="1:21" s="2" customFormat="1">
      <c r="A73" s="82" t="s">
        <v>130</v>
      </c>
      <c r="B73" s="16" t="s">
        <v>131</v>
      </c>
      <c r="C73" s="82" t="s">
        <v>132</v>
      </c>
      <c r="D73" s="9" t="s">
        <v>49</v>
      </c>
      <c r="E73" s="43">
        <v>19138</v>
      </c>
      <c r="F73" s="64">
        <f>SUM(E73/100)</f>
        <v>191.38</v>
      </c>
      <c r="G73" s="63">
        <v>212.15</v>
      </c>
      <c r="H73" s="81">
        <f t="shared" si="8"/>
        <v>40.601267</v>
      </c>
      <c r="I73" s="62">
        <v>0</v>
      </c>
      <c r="J73" s="62">
        <v>0</v>
      </c>
      <c r="K73" s="62">
        <v>0</v>
      </c>
      <c r="L73" s="62">
        <v>0</v>
      </c>
      <c r="M73" s="62">
        <f>F73*G73</f>
        <v>40601.267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46">
        <f t="shared" si="9"/>
        <v>40601.267</v>
      </c>
    </row>
    <row r="74" spans="1:21" ht="25.5">
      <c r="A74" s="79" t="s">
        <v>133</v>
      </c>
      <c r="B74" s="16" t="s">
        <v>134</v>
      </c>
      <c r="C74" s="79" t="s">
        <v>135</v>
      </c>
      <c r="D74" s="9"/>
      <c r="E74" s="43">
        <v>19138</v>
      </c>
      <c r="F74" s="63">
        <f>SUM(E74/1000)</f>
        <v>19.138000000000002</v>
      </c>
      <c r="G74" s="63">
        <v>165.21</v>
      </c>
      <c r="H74" s="81">
        <f t="shared" si="8"/>
        <v>3.1617889800000003</v>
      </c>
      <c r="I74" s="46">
        <v>0</v>
      </c>
      <c r="J74" s="46">
        <v>0</v>
      </c>
      <c r="K74" s="46">
        <v>0</v>
      </c>
      <c r="L74" s="46">
        <v>0</v>
      </c>
      <c r="M74" s="46">
        <f>F74*G74</f>
        <v>3161.7889800000003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f t="shared" si="9"/>
        <v>3161.7889800000003</v>
      </c>
    </row>
    <row r="75" spans="1:21">
      <c r="A75" s="79" t="s">
        <v>136</v>
      </c>
      <c r="B75" s="16" t="s">
        <v>137</v>
      </c>
      <c r="C75" s="79" t="s">
        <v>138</v>
      </c>
      <c r="D75" s="9" t="s">
        <v>49</v>
      </c>
      <c r="E75" s="43">
        <v>2730</v>
      </c>
      <c r="F75" s="63">
        <f>SUM(E75/100)</f>
        <v>27.3</v>
      </c>
      <c r="G75" s="63">
        <v>2074.63</v>
      </c>
      <c r="H75" s="81">
        <f t="shared" si="8"/>
        <v>56.637399000000002</v>
      </c>
      <c r="I75" s="46">
        <v>0</v>
      </c>
      <c r="J75" s="46">
        <v>0</v>
      </c>
      <c r="K75" s="46">
        <v>0</v>
      </c>
      <c r="L75" s="46">
        <v>0</v>
      </c>
      <c r="M75" s="46">
        <f>F75*G75</f>
        <v>56637.399000000005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f t="shared" si="9"/>
        <v>56637.399000000005</v>
      </c>
    </row>
    <row r="76" spans="1:21">
      <c r="A76" s="79"/>
      <c r="B76" s="17" t="s">
        <v>175</v>
      </c>
      <c r="C76" s="79" t="s">
        <v>56</v>
      </c>
      <c r="D76" s="9"/>
      <c r="E76" s="43">
        <v>13</v>
      </c>
      <c r="F76" s="63">
        <f>SUM(E76)</f>
        <v>13</v>
      </c>
      <c r="G76" s="63">
        <v>42.67</v>
      </c>
      <c r="H76" s="81">
        <f t="shared" si="8"/>
        <v>0.55471000000000004</v>
      </c>
      <c r="I76" s="46">
        <v>0</v>
      </c>
      <c r="J76" s="46">
        <v>0</v>
      </c>
      <c r="K76" s="46">
        <v>0</v>
      </c>
      <c r="L76" s="46">
        <v>0</v>
      </c>
      <c r="M76" s="46">
        <f>F76*G76</f>
        <v>554.71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f t="shared" si="9"/>
        <v>554.71</v>
      </c>
    </row>
    <row r="77" spans="1:21" ht="25.5">
      <c r="A77" s="83"/>
      <c r="B77" s="17" t="s">
        <v>176</v>
      </c>
      <c r="C77" s="79" t="s">
        <v>56</v>
      </c>
      <c r="D77" s="9"/>
      <c r="E77" s="43">
        <v>13</v>
      </c>
      <c r="F77" s="63">
        <f>SUM(E77)</f>
        <v>13</v>
      </c>
      <c r="G77" s="63">
        <v>39.81</v>
      </c>
      <c r="H77" s="81">
        <f t="shared" si="8"/>
        <v>0.51752999999999993</v>
      </c>
      <c r="I77" s="46">
        <v>0</v>
      </c>
      <c r="J77" s="46">
        <v>0</v>
      </c>
      <c r="K77" s="46">
        <v>0</v>
      </c>
      <c r="L77" s="46">
        <v>0</v>
      </c>
      <c r="M77" s="46">
        <f>F77*G77</f>
        <v>517.53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f t="shared" si="9"/>
        <v>517.53</v>
      </c>
    </row>
    <row r="78" spans="1:21">
      <c r="A78" s="79" t="s">
        <v>139</v>
      </c>
      <c r="B78" s="9" t="s">
        <v>140</v>
      </c>
      <c r="C78" s="79" t="s">
        <v>141</v>
      </c>
      <c r="D78" s="9" t="s">
        <v>49</v>
      </c>
      <c r="E78" s="80">
        <v>8</v>
      </c>
      <c r="F78" s="44">
        <v>8</v>
      </c>
      <c r="G78" s="63">
        <v>49.88</v>
      </c>
      <c r="H78" s="81">
        <f t="shared" si="8"/>
        <v>0.39904000000000001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f>F78*G78</f>
        <v>399.04</v>
      </c>
      <c r="R78" s="46">
        <v>0</v>
      </c>
      <c r="S78" s="46">
        <v>0</v>
      </c>
      <c r="T78" s="46">
        <v>0</v>
      </c>
      <c r="U78" s="46">
        <f t="shared" si="9"/>
        <v>399.04</v>
      </c>
    </row>
    <row r="79" spans="1:21">
      <c r="A79" s="83"/>
      <c r="B79" s="18" t="s">
        <v>142</v>
      </c>
      <c r="C79" s="79"/>
      <c r="D79" s="9"/>
      <c r="E79" s="80"/>
      <c r="F79" s="63"/>
      <c r="G79" s="63"/>
      <c r="H79" s="81" t="s">
        <v>67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:21">
      <c r="A80" s="79" t="s">
        <v>143</v>
      </c>
      <c r="B80" s="9" t="s">
        <v>144</v>
      </c>
      <c r="C80" s="79" t="s">
        <v>145</v>
      </c>
      <c r="D80" s="9"/>
      <c r="E80" s="80">
        <v>4</v>
      </c>
      <c r="F80" s="63">
        <v>0.4</v>
      </c>
      <c r="G80" s="63">
        <v>501.62</v>
      </c>
      <c r="H80" s="81">
        <f t="shared" si="8"/>
        <v>0.20064800000000002</v>
      </c>
      <c r="I80" s="46">
        <f>G80*0.1</f>
        <v>50.162000000000006</v>
      </c>
      <c r="J80" s="46">
        <v>0</v>
      </c>
      <c r="K80" s="46">
        <f>G80*0.1</f>
        <v>50.162000000000006</v>
      </c>
      <c r="L80" s="46">
        <f>G80*0.1</f>
        <v>50.162000000000006</v>
      </c>
      <c r="M80" s="46">
        <v>0</v>
      </c>
      <c r="N80" s="46">
        <v>0</v>
      </c>
      <c r="O80" s="46">
        <v>0</v>
      </c>
      <c r="P80" s="46">
        <v>0</v>
      </c>
      <c r="Q80" s="46">
        <f>G80*0.1</f>
        <v>50.162000000000006</v>
      </c>
      <c r="R80" s="46">
        <f>G80*0.1</f>
        <v>50.162000000000006</v>
      </c>
      <c r="S80" s="46">
        <f>G80*0.1</f>
        <v>50.162000000000006</v>
      </c>
      <c r="T80" s="46">
        <v>0</v>
      </c>
      <c r="U80" s="46">
        <f>SUM(I80:T83)</f>
        <v>300.97200000000004</v>
      </c>
    </row>
    <row r="81" spans="1:21" hidden="1">
      <c r="A81" s="79" t="s">
        <v>147</v>
      </c>
      <c r="B81" s="9" t="s">
        <v>146</v>
      </c>
      <c r="C81" s="79" t="s">
        <v>100</v>
      </c>
      <c r="D81" s="9"/>
      <c r="E81" s="80"/>
      <c r="F81" s="63"/>
      <c r="G81" s="63" t="s">
        <v>67</v>
      </c>
      <c r="H81" s="81">
        <v>0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1:21" hidden="1">
      <c r="A82" s="79" t="s">
        <v>149</v>
      </c>
      <c r="B82" s="9" t="s">
        <v>148</v>
      </c>
      <c r="C82" s="79" t="s">
        <v>100</v>
      </c>
      <c r="D82" s="9"/>
      <c r="E82" s="80"/>
      <c r="F82" s="63"/>
      <c r="G82" s="63">
        <v>65.72</v>
      </c>
      <c r="H82" s="81">
        <f t="shared" si="8"/>
        <v>0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:21" hidden="1">
      <c r="A83" s="79" t="s">
        <v>151</v>
      </c>
      <c r="B83" s="9" t="s">
        <v>150</v>
      </c>
      <c r="C83" s="79" t="s">
        <v>100</v>
      </c>
      <c r="D83" s="9"/>
      <c r="E83" s="80"/>
      <c r="F83" s="63"/>
      <c r="G83" s="63">
        <v>82.33</v>
      </c>
      <c r="H83" s="81">
        <f t="shared" si="8"/>
        <v>0</v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1:21">
      <c r="A84" s="79" t="s">
        <v>177</v>
      </c>
      <c r="B84" s="9" t="s">
        <v>178</v>
      </c>
      <c r="C84" s="79" t="s">
        <v>52</v>
      </c>
      <c r="D84" s="9"/>
      <c r="E84" s="80">
        <v>1</v>
      </c>
      <c r="F84" s="78">
        <v>1</v>
      </c>
      <c r="G84" s="63">
        <v>852.99</v>
      </c>
      <c r="H84" s="81">
        <f>F84*G84/1000</f>
        <v>0.85299000000000003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f>SUM(I84:T84)</f>
        <v>0</v>
      </c>
    </row>
    <row r="85" spans="1:21" hidden="1">
      <c r="A85" s="79"/>
      <c r="B85" s="9" t="s">
        <v>152</v>
      </c>
      <c r="C85" s="79" t="s">
        <v>153</v>
      </c>
      <c r="D85" s="9"/>
      <c r="E85" s="80"/>
      <c r="F85" s="63"/>
      <c r="G85" s="63">
        <v>31.54</v>
      </c>
      <c r="H85" s="81">
        <f t="shared" si="8"/>
        <v>0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1:21">
      <c r="A86" s="79" t="s">
        <v>151</v>
      </c>
      <c r="B86" s="9" t="s">
        <v>180</v>
      </c>
      <c r="C86" s="79" t="s">
        <v>52</v>
      </c>
      <c r="D86" s="9"/>
      <c r="E86" s="80">
        <v>1</v>
      </c>
      <c r="F86" s="63">
        <v>1</v>
      </c>
      <c r="G86" s="63">
        <v>358.51</v>
      </c>
      <c r="H86" s="81">
        <f>G86*F86/1000</f>
        <v>0.35851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f>SUM(I86:T86)</f>
        <v>0</v>
      </c>
    </row>
    <row r="87" spans="1:21">
      <c r="A87" s="83"/>
      <c r="B87" s="84" t="s">
        <v>154</v>
      </c>
      <c r="C87" s="79"/>
      <c r="D87" s="9"/>
      <c r="E87" s="80"/>
      <c r="F87" s="63"/>
      <c r="G87" s="63" t="s">
        <v>67</v>
      </c>
      <c r="H87" s="81" t="s">
        <v>67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:21" s="2" customFormat="1">
      <c r="A88" s="82" t="s">
        <v>155</v>
      </c>
      <c r="B88" s="85" t="s">
        <v>156</v>
      </c>
      <c r="C88" s="82" t="s">
        <v>138</v>
      </c>
      <c r="D88" s="16"/>
      <c r="E88" s="86"/>
      <c r="F88" s="64">
        <v>0.1</v>
      </c>
      <c r="G88" s="64">
        <v>2759.44</v>
      </c>
      <c r="H88" s="81">
        <f t="shared" si="8"/>
        <v>0.27594400000000002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46">
        <f>SUM(I88:T88)</f>
        <v>0</v>
      </c>
    </row>
    <row r="89" spans="1:21" s="21" customFormat="1">
      <c r="A89" s="87"/>
      <c r="B89" s="20" t="s">
        <v>37</v>
      </c>
      <c r="C89" s="88"/>
      <c r="D89" s="89"/>
      <c r="E89" s="90"/>
      <c r="F89" s="70"/>
      <c r="G89" s="70"/>
      <c r="H89" s="91">
        <f>SUM(H59:H88)</f>
        <v>132.24783648000002</v>
      </c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>
        <f>SUM(U59:U88)</f>
        <v>121403.79578</v>
      </c>
    </row>
    <row r="90" spans="1:21">
      <c r="A90" s="170" t="s">
        <v>231</v>
      </c>
      <c r="B90" s="11" t="s">
        <v>232</v>
      </c>
      <c r="C90" s="93" t="s">
        <v>233</v>
      </c>
      <c r="D90" s="94"/>
      <c r="E90" s="171"/>
      <c r="F90" s="95">
        <f>304/10</f>
        <v>30.4</v>
      </c>
      <c r="G90" s="96">
        <v>9</v>
      </c>
      <c r="H90" s="163">
        <f>G90*F90/1000</f>
        <v>0.27359999999999995</v>
      </c>
      <c r="I90" s="46">
        <v>0</v>
      </c>
      <c r="J90" s="46">
        <v>0</v>
      </c>
      <c r="K90" s="46">
        <v>0</v>
      </c>
      <c r="L90" s="46">
        <v>0</v>
      </c>
      <c r="M90" s="47">
        <v>0</v>
      </c>
      <c r="N90" s="46">
        <f>F90*G90</f>
        <v>273.59999999999997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f>SUM(I90:T90)</f>
        <v>273.59999999999997</v>
      </c>
    </row>
    <row r="91" spans="1:21" ht="12.75" customHeight="1">
      <c r="A91" s="79"/>
      <c r="B91" s="92" t="s">
        <v>157</v>
      </c>
      <c r="C91" s="79" t="s">
        <v>158</v>
      </c>
      <c r="D91" s="97"/>
      <c r="E91" s="63">
        <v>5367.6</v>
      </c>
      <c r="F91" s="63">
        <f>SUM(E91*12)</f>
        <v>64411.200000000004</v>
      </c>
      <c r="G91" s="98">
        <v>2.1</v>
      </c>
      <c r="H91" s="81">
        <f>SUM(F91*G91/1000)</f>
        <v>135.26352000000003</v>
      </c>
      <c r="I91" s="46">
        <f>F91/12*G91</f>
        <v>11271.960000000001</v>
      </c>
      <c r="J91" s="46">
        <f>F91/12*G91</f>
        <v>11271.960000000001</v>
      </c>
      <c r="K91" s="46">
        <f>F91/12*G91</f>
        <v>11271.960000000001</v>
      </c>
      <c r="L91" s="46">
        <f>F91/12*G91</f>
        <v>11271.960000000001</v>
      </c>
      <c r="M91" s="46">
        <f>F91/12*G91</f>
        <v>11271.960000000001</v>
      </c>
      <c r="N91" s="46">
        <f>F91/12*G91</f>
        <v>11271.960000000001</v>
      </c>
      <c r="O91" s="46">
        <f>F91/12*G91</f>
        <v>11271.960000000001</v>
      </c>
      <c r="P91" s="46">
        <f>F91/12*G91</f>
        <v>11271.960000000001</v>
      </c>
      <c r="Q91" s="46">
        <f>F91/12*G91</f>
        <v>11271.960000000001</v>
      </c>
      <c r="R91" s="46">
        <f>F91/12*G91</f>
        <v>11271.960000000001</v>
      </c>
      <c r="S91" s="46">
        <f>F91/12*G91</f>
        <v>11271.960000000001</v>
      </c>
      <c r="T91" s="46">
        <f>F91/12*G91</f>
        <v>11271.960000000001</v>
      </c>
      <c r="U91" s="46">
        <f>SUM(I91:T91)</f>
        <v>135263.52000000005</v>
      </c>
    </row>
    <row r="92" spans="1:21" hidden="1">
      <c r="A92" s="99"/>
      <c r="B92" s="9" t="s">
        <v>159</v>
      </c>
      <c r="C92" s="73" t="s">
        <v>14</v>
      </c>
      <c r="D92" s="9"/>
      <c r="E92" s="80">
        <v>30</v>
      </c>
      <c r="F92" s="63">
        <f>E92/100</f>
        <v>0.3</v>
      </c>
      <c r="G92" s="63">
        <v>0</v>
      </c>
      <c r="H92" s="81">
        <f>F92*G92/1000</f>
        <v>0</v>
      </c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:21" s="19" customFormat="1">
      <c r="A93" s="99"/>
      <c r="B93" s="20" t="s">
        <v>37</v>
      </c>
      <c r="C93" s="100"/>
      <c r="D93" s="101"/>
      <c r="E93" s="102"/>
      <c r="F93" s="54"/>
      <c r="G93" s="103"/>
      <c r="H93" s="55">
        <f>SUM(H90:H92)</f>
        <v>135.53712000000002</v>
      </c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>
        <f>SUM(U90:U92)</f>
        <v>135537.12000000005</v>
      </c>
    </row>
    <row r="94" spans="1:21" ht="33.75" customHeight="1">
      <c r="A94" s="104"/>
      <c r="B94" s="9" t="s">
        <v>160</v>
      </c>
      <c r="C94" s="79"/>
      <c r="D94" s="105"/>
      <c r="E94" s="43">
        <f>E91</f>
        <v>5367.6</v>
      </c>
      <c r="F94" s="63">
        <f>E94*12</f>
        <v>64411.200000000004</v>
      </c>
      <c r="G94" s="63">
        <v>1.63</v>
      </c>
      <c r="H94" s="81">
        <f>F94*G94/1000</f>
        <v>104.99025599999999</v>
      </c>
      <c r="I94" s="46">
        <f>F94/12*G94</f>
        <v>8749.1880000000001</v>
      </c>
      <c r="J94" s="46">
        <f>F94/12*G94</f>
        <v>8749.1880000000001</v>
      </c>
      <c r="K94" s="46">
        <f>F94/12*G94</f>
        <v>8749.1880000000001</v>
      </c>
      <c r="L94" s="46">
        <f>F94/12*G94</f>
        <v>8749.1880000000001</v>
      </c>
      <c r="M94" s="46">
        <f>F94/12*G94</f>
        <v>8749.1880000000001</v>
      </c>
      <c r="N94" s="46">
        <f>F94/12*G94</f>
        <v>8749.1880000000001</v>
      </c>
      <c r="O94" s="46">
        <f>F94/12*G94</f>
        <v>8749.1880000000001</v>
      </c>
      <c r="P94" s="46">
        <f>F94/12*G94</f>
        <v>8749.1880000000001</v>
      </c>
      <c r="Q94" s="46">
        <f>F94/12*G94</f>
        <v>8749.1880000000001</v>
      </c>
      <c r="R94" s="46">
        <f>F94/12*G94</f>
        <v>8749.1880000000001</v>
      </c>
      <c r="S94" s="46">
        <f>F94/12*G94</f>
        <v>8749.1880000000001</v>
      </c>
      <c r="T94" s="46">
        <f>F94/12*G94</f>
        <v>8749.1880000000001</v>
      </c>
      <c r="U94" s="46">
        <f>SUM(I94:T94)</f>
        <v>104990.25599999998</v>
      </c>
    </row>
    <row r="95" spans="1:21" s="19" customFormat="1">
      <c r="A95" s="99"/>
      <c r="B95" s="106" t="s">
        <v>161</v>
      </c>
      <c r="C95" s="107"/>
      <c r="D95" s="106"/>
      <c r="E95" s="54"/>
      <c r="F95" s="54"/>
      <c r="G95" s="54"/>
      <c r="H95" s="91">
        <f>H94</f>
        <v>104.99025599999999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165">
        <f>U94</f>
        <v>104990.25599999998</v>
      </c>
    </row>
    <row r="96" spans="1:21" s="19" customFormat="1">
      <c r="A96" s="99"/>
      <c r="B96" s="106" t="s">
        <v>162</v>
      </c>
      <c r="C96" s="108"/>
      <c r="D96" s="109"/>
      <c r="E96" s="110"/>
      <c r="F96" s="110"/>
      <c r="G96" s="110"/>
      <c r="H96" s="91">
        <f>SUM(H95+H93+H89+H56+H43+H34+H22)</f>
        <v>855.99885788413337</v>
      </c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65">
        <f>SUM(U95+U93+U89+U56+U43+U34+U22)*1.064</f>
        <v>871639.70438286196</v>
      </c>
    </row>
    <row r="97" spans="1:26" s="162" customFormat="1" ht="48.75" customHeight="1">
      <c r="A97" s="160"/>
      <c r="B97" s="84"/>
      <c r="C97" s="79"/>
      <c r="D97" s="105"/>
      <c r="E97" s="63"/>
      <c r="F97" s="63"/>
      <c r="G97" s="63"/>
      <c r="H97" s="161"/>
      <c r="I97" s="63"/>
      <c r="J97" s="63"/>
      <c r="K97" s="63"/>
      <c r="L97" s="63"/>
      <c r="M97" s="63"/>
      <c r="N97" s="63"/>
      <c r="O97" s="63"/>
      <c r="P97" s="63"/>
      <c r="Q97" s="63"/>
      <c r="R97" s="175"/>
      <c r="S97" s="175"/>
      <c r="T97" s="175"/>
      <c r="U97" s="176" t="s">
        <v>239</v>
      </c>
      <c r="W97" s="177"/>
      <c r="X97" s="177"/>
      <c r="Y97" s="177"/>
      <c r="Z97" s="177"/>
    </row>
    <row r="98" spans="1:26">
      <c r="A98" s="169"/>
      <c r="B98" s="105" t="s">
        <v>163</v>
      </c>
      <c r="C98" s="79"/>
      <c r="D98" s="105"/>
      <c r="E98" s="63"/>
      <c r="F98" s="63"/>
      <c r="G98" s="63" t="s">
        <v>164</v>
      </c>
      <c r="H98" s="111">
        <f>E94</f>
        <v>5367.6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W98" s="177"/>
      <c r="X98" s="177"/>
      <c r="Y98" s="177"/>
      <c r="Z98" s="177"/>
    </row>
    <row r="99" spans="1:26" s="19" customFormat="1">
      <c r="A99" s="99"/>
      <c r="B99" s="109" t="s">
        <v>165</v>
      </c>
      <c r="C99" s="108"/>
      <c r="D99" s="109"/>
      <c r="E99" s="110"/>
      <c r="F99" s="110"/>
      <c r="G99" s="110"/>
      <c r="H99" s="112">
        <f>SUM(H96/H98/12*1000)</f>
        <v>13.2895964969467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66"/>
    </row>
    <row r="100" spans="1:26">
      <c r="A100" s="113"/>
      <c r="B100" s="105"/>
      <c r="C100" s="79"/>
      <c r="D100" s="105"/>
      <c r="E100" s="63"/>
      <c r="F100" s="63"/>
      <c r="G100" s="63"/>
      <c r="H100" s="114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167"/>
    </row>
    <row r="101" spans="1:26">
      <c r="A101" s="83"/>
      <c r="B101" s="84" t="s">
        <v>166</v>
      </c>
      <c r="C101" s="79"/>
      <c r="D101" s="105"/>
      <c r="E101" s="63"/>
      <c r="F101" s="63"/>
      <c r="G101" s="63"/>
      <c r="H101" s="63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6" ht="25.5">
      <c r="A102" s="29" t="s">
        <v>210</v>
      </c>
      <c r="B102" s="30" t="s">
        <v>209</v>
      </c>
      <c r="C102" s="29" t="s">
        <v>100</v>
      </c>
      <c r="D102" s="105"/>
      <c r="E102" s="63"/>
      <c r="F102" s="63">
        <v>610</v>
      </c>
      <c r="G102" s="63">
        <v>67.94</v>
      </c>
      <c r="H102" s="81">
        <f t="shared" ref="H102" si="10">G102*F102/1000</f>
        <v>41.443400000000004</v>
      </c>
      <c r="I102" s="46">
        <f>G102*61</f>
        <v>4144.34</v>
      </c>
      <c r="J102" s="46">
        <f>G102*61</f>
        <v>4144.34</v>
      </c>
      <c r="K102" s="46">
        <v>0</v>
      </c>
      <c r="L102" s="46">
        <f>G102*61</f>
        <v>4144.34</v>
      </c>
      <c r="M102" s="46">
        <v>0</v>
      </c>
      <c r="N102" s="46">
        <f>G102*61</f>
        <v>4144.34</v>
      </c>
      <c r="O102" s="46">
        <f>G102*61</f>
        <v>4144.34</v>
      </c>
      <c r="P102" s="46">
        <f>G102*61</f>
        <v>4144.34</v>
      </c>
      <c r="Q102" s="46">
        <f>G102*61</f>
        <v>4144.34</v>
      </c>
      <c r="R102" s="46">
        <f>G102*61</f>
        <v>4144.34</v>
      </c>
      <c r="S102" s="46">
        <f>G102*61</f>
        <v>4144.34</v>
      </c>
      <c r="T102" s="46">
        <f>G102*61</f>
        <v>4144.34</v>
      </c>
      <c r="U102" s="46">
        <f>SUM(I102:T102)</f>
        <v>41443.399999999994</v>
      </c>
    </row>
    <row r="103" spans="1:26" ht="25.5">
      <c r="A103" s="27" t="s">
        <v>227</v>
      </c>
      <c r="B103" s="26" t="s">
        <v>225</v>
      </c>
      <c r="C103" s="27" t="s">
        <v>226</v>
      </c>
      <c r="D103" s="105"/>
      <c r="E103" s="63"/>
      <c r="F103" s="63">
        <v>1</v>
      </c>
      <c r="G103" s="63">
        <v>169.85</v>
      </c>
      <c r="H103" s="81">
        <f>G103*F103/1000</f>
        <v>0.16985</v>
      </c>
      <c r="I103" s="46">
        <f>G103</f>
        <v>169.85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f>SUM(I103:T103)</f>
        <v>169.85</v>
      </c>
    </row>
    <row r="104" spans="1:26" ht="25.5">
      <c r="A104" s="27" t="s">
        <v>235</v>
      </c>
      <c r="B104" s="26" t="s">
        <v>234</v>
      </c>
      <c r="C104" s="27" t="s">
        <v>100</v>
      </c>
      <c r="D104" s="105"/>
      <c r="E104" s="63"/>
      <c r="F104" s="63">
        <v>3</v>
      </c>
      <c r="G104" s="63">
        <v>164.67</v>
      </c>
      <c r="H104" s="163">
        <f>G104*F104/1000</f>
        <v>0.49401</v>
      </c>
      <c r="I104" s="46">
        <v>0</v>
      </c>
      <c r="J104" s="46">
        <v>0</v>
      </c>
      <c r="K104" s="46">
        <f>G104</f>
        <v>164.67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f>G104*2</f>
        <v>329.34</v>
      </c>
      <c r="T104" s="46">
        <v>0</v>
      </c>
      <c r="U104" s="46">
        <f>SUM(I104:T104)</f>
        <v>494.01</v>
      </c>
    </row>
    <row r="105" spans="1:26" ht="25.5">
      <c r="A105" s="172" t="s">
        <v>236</v>
      </c>
      <c r="B105" s="173" t="s">
        <v>237</v>
      </c>
      <c r="C105" s="174" t="s">
        <v>238</v>
      </c>
      <c r="D105" s="105"/>
      <c r="E105" s="63"/>
      <c r="F105" s="63">
        <v>2</v>
      </c>
      <c r="G105" s="63">
        <v>1678.06</v>
      </c>
      <c r="H105" s="163">
        <f>G105*F105/1000</f>
        <v>3.3561199999999998</v>
      </c>
      <c r="I105" s="46">
        <v>0</v>
      </c>
      <c r="J105" s="46">
        <v>0</v>
      </c>
      <c r="K105" s="46">
        <f>G105</f>
        <v>1678.06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f>G105</f>
        <v>1678.06</v>
      </c>
      <c r="U105" s="46">
        <f>SUM(I105:T105)</f>
        <v>3356.12</v>
      </c>
    </row>
    <row r="106" spans="1:26" ht="25.5">
      <c r="A106" s="172" t="s">
        <v>240</v>
      </c>
      <c r="B106" s="173" t="s">
        <v>241</v>
      </c>
      <c r="C106" s="174" t="s">
        <v>242</v>
      </c>
      <c r="D106" s="105"/>
      <c r="E106" s="63"/>
      <c r="F106" s="63">
        <v>1</v>
      </c>
      <c r="G106" s="63">
        <v>4390</v>
      </c>
      <c r="H106" s="163">
        <f>G106*F106/1000</f>
        <v>4.3899999999999997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f>G106</f>
        <v>4390</v>
      </c>
      <c r="S106" s="46">
        <v>0</v>
      </c>
      <c r="T106" s="46">
        <v>0</v>
      </c>
      <c r="U106" s="46">
        <f>SUM(I106:T106)</f>
        <v>4390</v>
      </c>
    </row>
    <row r="107" spans="1:26" ht="25.5">
      <c r="A107" s="172" t="s">
        <v>236</v>
      </c>
      <c r="B107" s="173" t="s">
        <v>249</v>
      </c>
      <c r="C107" s="174" t="s">
        <v>238</v>
      </c>
      <c r="D107" s="105"/>
      <c r="E107" s="63"/>
      <c r="F107" s="63">
        <v>1</v>
      </c>
      <c r="G107" s="63">
        <v>350.1</v>
      </c>
      <c r="H107" s="163">
        <f>G107*F107/1000</f>
        <v>0.35010000000000002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f>G107</f>
        <v>350.1</v>
      </c>
      <c r="U107" s="46">
        <f>SUM(I107:T107)</f>
        <v>350.1</v>
      </c>
    </row>
    <row r="108" spans="1:26" ht="25.5">
      <c r="A108" s="191" t="s">
        <v>251</v>
      </c>
      <c r="B108" s="26" t="s">
        <v>250</v>
      </c>
      <c r="C108" s="27" t="s">
        <v>100</v>
      </c>
      <c r="D108" s="105"/>
      <c r="E108" s="63"/>
      <c r="F108" s="63">
        <v>2</v>
      </c>
      <c r="G108" s="63">
        <v>1992.08</v>
      </c>
      <c r="H108" s="163">
        <f>G108*F108/1000</f>
        <v>3.9841599999999997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f>G108</f>
        <v>1992.08</v>
      </c>
      <c r="Q108" s="46">
        <v>0</v>
      </c>
      <c r="R108" s="46">
        <f>G108</f>
        <v>1992.08</v>
      </c>
      <c r="S108" s="46">
        <v>0</v>
      </c>
      <c r="T108" s="46">
        <v>0</v>
      </c>
      <c r="U108" s="46">
        <f>SUM(I108:T108)</f>
        <v>3984.16</v>
      </c>
    </row>
    <row r="109" spans="1:26" ht="25.5">
      <c r="A109" s="191" t="s">
        <v>253</v>
      </c>
      <c r="B109" s="26" t="s">
        <v>252</v>
      </c>
      <c r="C109" s="27" t="s">
        <v>100</v>
      </c>
      <c r="D109" s="105"/>
      <c r="E109" s="63"/>
      <c r="F109" s="63">
        <v>1</v>
      </c>
      <c r="G109" s="63">
        <v>72.290000000000006</v>
      </c>
      <c r="H109" s="163">
        <f>G109*F109/1000</f>
        <v>7.2290000000000007E-2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f>G109</f>
        <v>72.290000000000006</v>
      </c>
      <c r="S109" s="46">
        <v>0</v>
      </c>
      <c r="T109" s="46">
        <v>0</v>
      </c>
      <c r="U109" s="46">
        <f>SUM(I109:T109)</f>
        <v>72.290000000000006</v>
      </c>
    </row>
    <row r="110" spans="1:26" ht="38.25">
      <c r="A110" s="27" t="s">
        <v>256</v>
      </c>
      <c r="B110" s="26" t="s">
        <v>254</v>
      </c>
      <c r="C110" s="27" t="s">
        <v>255</v>
      </c>
      <c r="D110" s="105"/>
      <c r="E110" s="63"/>
      <c r="F110" s="63">
        <v>2</v>
      </c>
      <c r="G110" s="63">
        <v>46.98</v>
      </c>
      <c r="H110" s="163">
        <f>G110*F110/1000</f>
        <v>9.3959999999999988E-2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f>G110</f>
        <v>46.98</v>
      </c>
      <c r="R110" s="46">
        <f>G110</f>
        <v>46.98</v>
      </c>
      <c r="S110" s="46">
        <v>0</v>
      </c>
      <c r="T110" s="46">
        <v>0</v>
      </c>
      <c r="U110" s="46">
        <f>SUM(I110:T110)</f>
        <v>93.96</v>
      </c>
    </row>
    <row r="111" spans="1:26" ht="25.5">
      <c r="A111" s="27" t="s">
        <v>259</v>
      </c>
      <c r="B111" s="26" t="s">
        <v>257</v>
      </c>
      <c r="C111" s="27" t="s">
        <v>258</v>
      </c>
      <c r="D111" s="105"/>
      <c r="E111" s="63"/>
      <c r="F111" s="63">
        <v>1</v>
      </c>
      <c r="G111" s="63">
        <v>575.31500000000005</v>
      </c>
      <c r="H111" s="163">
        <f>G111*F111/1000</f>
        <v>0.57531500000000002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f>G111</f>
        <v>575.31500000000005</v>
      </c>
      <c r="U111" s="46">
        <f>SUM(I111:T111)</f>
        <v>575.31500000000005</v>
      </c>
    </row>
    <row r="112" spans="1:26" s="19" customFormat="1">
      <c r="A112" s="115"/>
      <c r="B112" s="116" t="s">
        <v>167</v>
      </c>
      <c r="C112" s="115"/>
      <c r="D112" s="115"/>
      <c r="E112" s="110"/>
      <c r="F112" s="110"/>
      <c r="G112" s="110"/>
      <c r="H112" s="55">
        <f>SUM(H102:H111)</f>
        <v>54.92920500000001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54">
        <f>SUM(U102:U111)</f>
        <v>54929.205000000002</v>
      </c>
    </row>
    <row r="113" spans="1:21">
      <c r="A113" s="83"/>
      <c r="B113" s="117"/>
      <c r="C113" s="118"/>
      <c r="D113" s="118"/>
      <c r="E113" s="63"/>
      <c r="F113" s="63"/>
      <c r="G113" s="63"/>
      <c r="H113" s="119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168"/>
    </row>
    <row r="114" spans="1:21" ht="12" customHeight="1">
      <c r="A114" s="120"/>
      <c r="B114" s="18" t="s">
        <v>168</v>
      </c>
      <c r="C114" s="79"/>
      <c r="D114" s="105"/>
      <c r="E114" s="63"/>
      <c r="F114" s="63"/>
      <c r="G114" s="63"/>
      <c r="H114" s="121">
        <f>H112/E115/12*1000</f>
        <v>0.85278965459423217</v>
      </c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168"/>
    </row>
    <row r="115" spans="1:21" s="19" customFormat="1">
      <c r="A115" s="99"/>
      <c r="B115" s="122" t="s">
        <v>169</v>
      </c>
      <c r="C115" s="123"/>
      <c r="D115" s="122"/>
      <c r="E115" s="124">
        <v>5367.6</v>
      </c>
      <c r="F115" s="125">
        <f>SUM(E115*12)</f>
        <v>64411.200000000004</v>
      </c>
      <c r="G115" s="126">
        <f>H99+H114</f>
        <v>14.142386151540933</v>
      </c>
      <c r="H115" s="127">
        <f>SUM(F115*G115/1000)</f>
        <v>910.9280628841334</v>
      </c>
      <c r="I115" s="110">
        <f t="shared" ref="I115:R115" si="11">SUM(I11:I114)</f>
        <v>66585.614101999992</v>
      </c>
      <c r="J115" s="110">
        <f t="shared" si="11"/>
        <v>69845.113501999978</v>
      </c>
      <c r="K115" s="110">
        <f t="shared" si="11"/>
        <v>61734.898101999985</v>
      </c>
      <c r="L115" s="110">
        <f t="shared" si="11"/>
        <v>67977.227553399993</v>
      </c>
      <c r="M115" s="110">
        <f t="shared" si="11"/>
        <v>165424.1505042222</v>
      </c>
      <c r="N115" s="110">
        <f t="shared" si="11"/>
        <v>58642.606784222226</v>
      </c>
      <c r="O115" s="110">
        <f t="shared" si="11"/>
        <v>55855.853984222224</v>
      </c>
      <c r="P115" s="110">
        <f t="shared" si="11"/>
        <v>58292.733984222228</v>
      </c>
      <c r="Q115" s="110">
        <f t="shared" si="11"/>
        <v>69258.124684222217</v>
      </c>
      <c r="R115" s="110">
        <f t="shared" si="11"/>
        <v>65313.026375622227</v>
      </c>
      <c r="S115" s="110">
        <f>SUM(S11:S114)</f>
        <v>65255.44810199998</v>
      </c>
      <c r="T115" s="110">
        <f>SUM(T11:T114)</f>
        <v>69954.655801999994</v>
      </c>
      <c r="U115" s="54">
        <f>U96+U112</f>
        <v>926568.90938286192</v>
      </c>
    </row>
    <row r="116" spans="1:21" hidden="1">
      <c r="A116" s="128"/>
      <c r="B116" s="129"/>
      <c r="C116" s="129"/>
      <c r="D116" s="129"/>
      <c r="E116" s="130"/>
      <c r="F116" s="131"/>
      <c r="G116" s="132"/>
      <c r="H116" s="132"/>
      <c r="I116" s="133"/>
      <c r="J116" s="133"/>
      <c r="K116" s="133"/>
      <c r="L116" s="133"/>
      <c r="M116" s="133"/>
      <c r="N116" s="134"/>
      <c r="O116" s="83"/>
      <c r="P116" s="83"/>
      <c r="Q116" s="83"/>
      <c r="R116" s="83"/>
      <c r="S116" s="83"/>
      <c r="T116" s="83"/>
      <c r="U116" s="83"/>
    </row>
    <row r="117" spans="1:21" hidden="1">
      <c r="A117" s="128"/>
      <c r="B117" s="135"/>
      <c r="C117" s="136"/>
      <c r="D117" s="137"/>
      <c r="E117" s="138"/>
      <c r="F117" s="139"/>
      <c r="G117" s="139"/>
      <c r="H117" s="140"/>
      <c r="I117" s="133"/>
      <c r="J117" s="133"/>
      <c r="K117" s="133"/>
      <c r="L117" s="133"/>
      <c r="M117" s="133"/>
      <c r="N117" s="134"/>
      <c r="O117" s="83"/>
      <c r="P117" s="83"/>
      <c r="Q117" s="83"/>
      <c r="R117" s="83"/>
      <c r="S117" s="83"/>
      <c r="T117" s="83"/>
      <c r="U117" s="83"/>
    </row>
    <row r="118" spans="1:21" hidden="1">
      <c r="A118" s="128"/>
      <c r="B118" s="141" t="s">
        <v>170</v>
      </c>
      <c r="C118" s="141" t="s">
        <v>100</v>
      </c>
      <c r="D118" s="141" t="s">
        <v>171</v>
      </c>
      <c r="E118" s="142">
        <v>64</v>
      </c>
      <c r="F118" s="142">
        <v>64</v>
      </c>
      <c r="G118" s="143">
        <v>11.41</v>
      </c>
      <c r="H118" s="143">
        <f>G118*12*F118/1000</f>
        <v>8.7628800000000009</v>
      </c>
      <c r="I118" s="133"/>
      <c r="J118" s="133"/>
      <c r="K118" s="133"/>
      <c r="L118" s="133"/>
      <c r="M118" s="133"/>
      <c r="N118" s="134"/>
      <c r="O118" s="83"/>
      <c r="P118" s="83"/>
      <c r="Q118" s="83"/>
      <c r="R118" s="83"/>
      <c r="S118" s="83"/>
      <c r="T118" s="83"/>
      <c r="U118" s="83"/>
    </row>
    <row r="119" spans="1:21" hidden="1">
      <c r="A119" s="128"/>
      <c r="B119" s="141" t="s">
        <v>170</v>
      </c>
      <c r="C119" s="141" t="s">
        <v>100</v>
      </c>
      <c r="D119" s="141" t="s">
        <v>172</v>
      </c>
      <c r="E119" s="142">
        <v>64</v>
      </c>
      <c r="F119" s="142">
        <v>64</v>
      </c>
      <c r="G119" s="143">
        <v>18.98</v>
      </c>
      <c r="H119" s="143">
        <f>G119*12*F119/1000</f>
        <v>14.576639999999999</v>
      </c>
      <c r="I119" s="133"/>
      <c r="J119" s="133"/>
      <c r="K119" s="133"/>
      <c r="L119" s="133"/>
      <c r="M119" s="133"/>
      <c r="N119" s="134"/>
      <c r="O119" s="83"/>
      <c r="P119" s="83"/>
      <c r="Q119" s="83"/>
      <c r="R119" s="83"/>
      <c r="S119" s="83"/>
      <c r="T119" s="83"/>
      <c r="U119" s="83"/>
    </row>
    <row r="120" spans="1:21" hidden="1">
      <c r="A120" s="128"/>
      <c r="B120" s="144"/>
      <c r="C120" s="145"/>
      <c r="D120" s="146"/>
      <c r="E120" s="147"/>
      <c r="F120" s="148"/>
      <c r="G120" s="149"/>
      <c r="H120" s="150"/>
      <c r="I120" s="133"/>
      <c r="J120" s="133"/>
      <c r="K120" s="133"/>
      <c r="L120" s="133"/>
      <c r="M120" s="133"/>
      <c r="N120" s="134"/>
      <c r="O120" s="83"/>
      <c r="P120" s="83"/>
      <c r="Q120" s="83"/>
      <c r="R120" s="83"/>
      <c r="S120" s="83"/>
      <c r="T120" s="83"/>
      <c r="U120" s="83"/>
    </row>
    <row r="121" spans="1:21" hidden="1">
      <c r="A121" s="83"/>
      <c r="B121" s="144"/>
      <c r="C121" s="145"/>
      <c r="D121" s="146"/>
      <c r="E121" s="147"/>
      <c r="F121" s="148"/>
      <c r="G121" s="149"/>
      <c r="H121" s="150"/>
      <c r="I121" s="133"/>
      <c r="J121" s="133"/>
      <c r="K121" s="133"/>
      <c r="L121" s="133"/>
      <c r="M121" s="133"/>
      <c r="N121" s="134"/>
      <c r="O121" s="83"/>
      <c r="P121" s="83"/>
      <c r="Q121" s="83"/>
      <c r="R121" s="83"/>
      <c r="S121" s="83"/>
      <c r="T121" s="83"/>
      <c r="U121" s="83"/>
    </row>
    <row r="122" spans="1:21" hidden="1">
      <c r="A122" s="83"/>
      <c r="B122" s="144"/>
      <c r="C122" s="145"/>
      <c r="D122" s="146"/>
      <c r="E122" s="147"/>
      <c r="F122" s="148"/>
      <c r="G122" s="149"/>
      <c r="H122" s="150"/>
      <c r="I122" s="133"/>
      <c r="J122" s="133"/>
      <c r="K122" s="133"/>
      <c r="L122" s="133"/>
      <c r="M122" s="133"/>
      <c r="N122" s="134"/>
      <c r="O122" s="83"/>
      <c r="P122" s="83"/>
      <c r="Q122" s="83"/>
      <c r="R122" s="83"/>
      <c r="S122" s="83"/>
      <c r="T122" s="83"/>
      <c r="U122" s="83"/>
    </row>
    <row r="123" spans="1:21">
      <c r="A123" s="83"/>
      <c r="B123" s="83"/>
      <c r="C123" s="83"/>
      <c r="D123" s="83"/>
      <c r="E123" s="133"/>
      <c r="F123" s="133"/>
      <c r="G123" s="133"/>
      <c r="H123" s="133"/>
      <c r="I123" s="133"/>
      <c r="J123" s="133"/>
      <c r="K123" s="133"/>
      <c r="L123" s="133"/>
      <c r="M123" s="83"/>
      <c r="N123" s="151"/>
      <c r="O123" s="83"/>
      <c r="P123" s="83"/>
      <c r="Q123" s="83"/>
      <c r="R123" s="83"/>
      <c r="S123" s="83"/>
      <c r="T123" s="83"/>
      <c r="U123" s="83"/>
    </row>
    <row r="124" spans="1:21">
      <c r="A124" s="83"/>
      <c r="B124" s="83"/>
      <c r="C124" s="83"/>
      <c r="D124" s="83"/>
      <c r="E124" s="133"/>
      <c r="F124" s="133"/>
      <c r="G124" s="133"/>
      <c r="H124" s="133"/>
      <c r="I124" s="133"/>
      <c r="J124" s="152"/>
      <c r="K124" s="153"/>
      <c r="L124" s="152"/>
      <c r="M124" s="133"/>
      <c r="N124" s="83"/>
      <c r="O124" s="83"/>
      <c r="P124" s="83"/>
      <c r="Q124" s="83"/>
      <c r="R124" s="83"/>
      <c r="S124" s="83"/>
      <c r="T124" s="83"/>
      <c r="U124" s="83"/>
    </row>
    <row r="125" spans="1:21" ht="45">
      <c r="A125" s="83"/>
      <c r="B125" s="154" t="s">
        <v>223</v>
      </c>
      <c r="C125" s="184">
        <v>-6033.61</v>
      </c>
      <c r="D125" s="179"/>
      <c r="E125" s="179"/>
      <c r="F125" s="180"/>
      <c r="G125" s="133"/>
      <c r="H125" s="133"/>
      <c r="I125" s="133"/>
      <c r="J125" s="152"/>
      <c r="K125" s="153"/>
      <c r="L125" s="152"/>
      <c r="M125" s="133"/>
      <c r="N125" s="83"/>
      <c r="O125" s="83"/>
      <c r="P125" s="83"/>
      <c r="Q125" s="83"/>
      <c r="R125" s="83"/>
      <c r="S125" s="83"/>
      <c r="T125" s="83"/>
      <c r="U125" s="83"/>
    </row>
    <row r="126" spans="1:21" ht="30">
      <c r="A126" s="83"/>
      <c r="B126" s="22" t="s">
        <v>243</v>
      </c>
      <c r="C126" s="181">
        <v>857477.76</v>
      </c>
      <c r="D126" s="182"/>
      <c r="E126" s="182"/>
      <c r="F126" s="183"/>
      <c r="G126" s="133"/>
      <c r="H126" s="133"/>
      <c r="I126" s="133"/>
      <c r="J126" s="152"/>
      <c r="K126" s="153"/>
      <c r="L126" s="152"/>
      <c r="M126" s="133"/>
      <c r="N126" s="83"/>
      <c r="O126" s="83"/>
      <c r="P126" s="83"/>
      <c r="Q126" s="83"/>
      <c r="R126" s="83"/>
      <c r="S126" s="83"/>
      <c r="T126" s="83"/>
      <c r="U126" s="83"/>
    </row>
    <row r="127" spans="1:21" ht="30">
      <c r="A127" s="83"/>
      <c r="B127" s="22" t="s">
        <v>244</v>
      </c>
      <c r="C127" s="181">
        <f>SUM(U115-U112)</f>
        <v>871639.70438286196</v>
      </c>
      <c r="D127" s="182"/>
      <c r="E127" s="182"/>
      <c r="F127" s="183"/>
      <c r="G127" s="133"/>
      <c r="H127" s="133"/>
      <c r="I127" s="133"/>
      <c r="J127" s="152"/>
      <c r="K127" s="153"/>
      <c r="L127" s="152"/>
      <c r="M127" s="133"/>
      <c r="N127" s="83"/>
      <c r="O127" s="83"/>
      <c r="P127" s="83"/>
      <c r="Q127" s="83"/>
      <c r="R127" s="83"/>
      <c r="S127" s="83"/>
      <c r="T127" s="83"/>
      <c r="U127" s="83"/>
    </row>
    <row r="128" spans="1:21" ht="30">
      <c r="A128" s="83"/>
      <c r="B128" s="22" t="s">
        <v>245</v>
      </c>
      <c r="C128" s="181">
        <f>SUM(U112)</f>
        <v>54929.205000000002</v>
      </c>
      <c r="D128" s="182"/>
      <c r="E128" s="182"/>
      <c r="F128" s="183"/>
      <c r="G128" s="133"/>
      <c r="H128" s="133"/>
      <c r="I128" s="133"/>
      <c r="J128" s="152"/>
      <c r="K128" s="153"/>
      <c r="L128" s="152"/>
      <c r="M128" s="133"/>
      <c r="N128" s="83"/>
      <c r="O128" s="83"/>
      <c r="P128" s="83"/>
      <c r="Q128" s="83"/>
      <c r="R128" s="83"/>
      <c r="S128" s="83"/>
      <c r="T128" s="83"/>
      <c r="U128" s="83"/>
    </row>
    <row r="129" spans="1:21" ht="18">
      <c r="A129" s="83"/>
      <c r="B129" s="164" t="s">
        <v>246</v>
      </c>
      <c r="C129" s="184">
        <v>826396.89</v>
      </c>
      <c r="D129" s="179"/>
      <c r="E129" s="179"/>
      <c r="F129" s="180"/>
      <c r="H129" s="155" t="s">
        <v>179</v>
      </c>
      <c r="I129" s="156"/>
      <c r="J129" s="156"/>
      <c r="K129" s="157"/>
      <c r="L129" s="158"/>
      <c r="M129" s="155"/>
      <c r="N129" s="155"/>
      <c r="O129" s="83"/>
      <c r="P129" s="83"/>
      <c r="Q129" s="83"/>
      <c r="R129" s="83"/>
      <c r="S129" s="83"/>
      <c r="T129" s="83"/>
      <c r="U129" s="83"/>
    </row>
    <row r="130" spans="1:21" ht="78.75">
      <c r="A130" s="83"/>
      <c r="B130" s="23" t="s">
        <v>247</v>
      </c>
      <c r="C130" s="185">
        <v>159525.07999999999</v>
      </c>
      <c r="D130" s="186"/>
      <c r="E130" s="186"/>
      <c r="F130" s="187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</row>
    <row r="131" spans="1:21" ht="45">
      <c r="A131" s="83"/>
      <c r="B131" s="159" t="s">
        <v>248</v>
      </c>
      <c r="C131" s="178">
        <f>SUM(U115-C126)+C125</f>
        <v>63057.539382861913</v>
      </c>
      <c r="D131" s="179"/>
      <c r="E131" s="179"/>
      <c r="F131" s="180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</row>
    <row r="133" spans="1:21">
      <c r="J133" s="4"/>
      <c r="K133" s="5"/>
      <c r="L133" s="5"/>
      <c r="M133" s="3"/>
    </row>
    <row r="134" spans="1:21">
      <c r="G134" s="6"/>
      <c r="H134" s="6"/>
    </row>
    <row r="135" spans="1:21">
      <c r="G135" s="7"/>
    </row>
  </sheetData>
  <mergeCells count="12">
    <mergeCell ref="B3:L3"/>
    <mergeCell ref="B4:L4"/>
    <mergeCell ref="B5:L5"/>
    <mergeCell ref="B6:L6"/>
    <mergeCell ref="C125:F125"/>
    <mergeCell ref="W97:Z98"/>
    <mergeCell ref="C131:F131"/>
    <mergeCell ref="C126:F126"/>
    <mergeCell ref="C127:F127"/>
    <mergeCell ref="C128:F128"/>
    <mergeCell ref="C129:F129"/>
    <mergeCell ref="C130:F130"/>
  </mergeCells>
  <pageMargins left="0.31496062992125984" right="0.31496062992125984" top="0.55118110236220474" bottom="0.19685039370078741" header="0.15748031496062992" footer="0.15748031496062992"/>
  <pageSetup paperSize="9" scale="5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203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строит.8</vt:lpstr>
      <vt:lpstr>Лист1</vt:lpstr>
      <vt:lpstr>строит.8!Область_печати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2014-06-27T06:49:50Z</cp:lastPrinted>
  <dcterms:created xsi:type="dcterms:W3CDTF">2014-02-05T12:20:20Z</dcterms:created>
  <dcterms:modified xsi:type="dcterms:W3CDTF">2016-03-17T07:37:15Z</dcterms:modified>
</cp:coreProperties>
</file>