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20" yWindow="-150" windowWidth="15480" windowHeight="8100" firstSheet="1" activeTab="12"/>
  </bookViews>
  <sheets>
    <sheet name="01.17" sheetId="17" r:id="rId1"/>
    <sheet name="02.17" sheetId="18" r:id="rId2"/>
    <sheet name="03.17" sheetId="19" r:id="rId3"/>
    <sheet name="04.17" sheetId="20" r:id="rId4"/>
    <sheet name="05.17" sheetId="21" r:id="rId5"/>
    <sheet name="06.17" sheetId="22" r:id="rId6"/>
    <sheet name="07.17" sheetId="23" r:id="rId7"/>
    <sheet name="08.17" sheetId="24" r:id="rId8"/>
    <sheet name="09.17" sheetId="25" r:id="rId9"/>
    <sheet name="10.17" sheetId="26" r:id="rId10"/>
    <sheet name="10а.17" sheetId="31" r:id="rId11"/>
    <sheet name="11.17" sheetId="28" r:id="rId12"/>
    <sheet name="12.17" sheetId="29" r:id="rId13"/>
  </sheets>
  <definedNames>
    <definedName name="_xlnm._FilterDatabase" localSheetId="0" hidden="1">'01.17'!$I$12:$I$67</definedName>
    <definedName name="_xlnm._FilterDatabase" localSheetId="1" hidden="1">'02.17'!$I$12:$I$67</definedName>
    <definedName name="_xlnm._FilterDatabase" localSheetId="2" hidden="1">'03.17'!$I$12:$I$67</definedName>
    <definedName name="_xlnm._FilterDatabase" localSheetId="3" hidden="1">'04.17'!$I$12:$I$67</definedName>
    <definedName name="_xlnm._FilterDatabase" localSheetId="4" hidden="1">'05.17'!$I$12:$I$67</definedName>
    <definedName name="_xlnm._FilterDatabase" localSheetId="5" hidden="1">'06.17'!$I$12:$I$67</definedName>
    <definedName name="_xlnm._FilterDatabase" localSheetId="6" hidden="1">'07.17'!$I$12:$I$67</definedName>
    <definedName name="_xlnm._FilterDatabase" localSheetId="7" hidden="1">'08.17'!$I$12:$I$67</definedName>
    <definedName name="_xlnm._FilterDatabase" localSheetId="8" hidden="1">'09.17'!$I$12:$I$67</definedName>
    <definedName name="_xlnm._FilterDatabase" localSheetId="9" hidden="1">'10.17'!$I$12:$I$67</definedName>
    <definedName name="_xlnm._FilterDatabase" localSheetId="10" hidden="1">'10а.17'!$I$12:$I$67</definedName>
    <definedName name="_xlnm._FilterDatabase" localSheetId="11" hidden="1">'11.17'!$I$12:$I$67</definedName>
    <definedName name="_xlnm._FilterDatabase" localSheetId="12" hidden="1">'12.17'!$I$12:$I$67</definedName>
    <definedName name="_xlnm.Print_Area" localSheetId="0">'01.17'!$A$1:$I$115</definedName>
    <definedName name="_xlnm.Print_Area" localSheetId="1">'02.17'!$A$1:$I$116</definedName>
    <definedName name="_xlnm.Print_Area" localSheetId="2">'03.17'!$A$1:$I$113</definedName>
    <definedName name="_xlnm.Print_Area" localSheetId="3">'04.17'!$A$1:$I$110</definedName>
    <definedName name="_xlnm.Print_Area" localSheetId="4">'05.17'!$A$1:$I$115</definedName>
    <definedName name="_xlnm.Print_Area" localSheetId="5">'06.17'!$A$1:$I$115</definedName>
    <definedName name="_xlnm.Print_Area" localSheetId="6">'07.17'!$A$1:$I$119</definedName>
    <definedName name="_xlnm.Print_Area" localSheetId="7">'08.17'!$A$1:$I$116</definedName>
    <definedName name="_xlnm.Print_Area" localSheetId="8">'09.17'!$A$1:$I$113</definedName>
    <definedName name="_xlnm.Print_Area" localSheetId="9">'10.17'!$A$1:$I$115</definedName>
    <definedName name="_xlnm.Print_Area" localSheetId="10">'10а.17'!$A$1:$I$112</definedName>
    <definedName name="_xlnm.Print_Area" localSheetId="11">'11.17'!$A$1:$I$110</definedName>
    <definedName name="_xlnm.Print_Area" localSheetId="12">'12.17'!$A$1:$I$114</definedName>
  </definedNames>
  <calcPr calcId="124519"/>
</workbook>
</file>

<file path=xl/calcChain.xml><?xml version="1.0" encoding="utf-8"?>
<calcChain xmlns="http://schemas.openxmlformats.org/spreadsheetml/2006/main">
  <c r="I88" i="31"/>
  <c r="H88"/>
  <c r="G87"/>
  <c r="H87" s="1"/>
  <c r="E84"/>
  <c r="F84" s="1"/>
  <c r="H83"/>
  <c r="F83"/>
  <c r="I83" s="1"/>
  <c r="I81"/>
  <c r="H81"/>
  <c r="I79"/>
  <c r="H79"/>
  <c r="I77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I66"/>
  <c r="H66"/>
  <c r="F64"/>
  <c r="H64" s="1"/>
  <c r="H63"/>
  <c r="F61"/>
  <c r="H61" s="1"/>
  <c r="I60"/>
  <c r="H60"/>
  <c r="H59"/>
  <c r="F59"/>
  <c r="I59" s="1"/>
  <c r="F58"/>
  <c r="H58" s="1"/>
  <c r="H80" s="1"/>
  <c r="I55"/>
  <c r="H55"/>
  <c r="F55"/>
  <c r="I54"/>
  <c r="F54"/>
  <c r="H54" s="1"/>
  <c r="H53"/>
  <c r="F52"/>
  <c r="H52" s="1"/>
  <c r="F51"/>
  <c r="H51" s="1"/>
  <c r="H50"/>
  <c r="F50"/>
  <c r="I50" s="1"/>
  <c r="H49"/>
  <c r="F49"/>
  <c r="H48"/>
  <c r="F48"/>
  <c r="H47"/>
  <c r="F47"/>
  <c r="H46"/>
  <c r="F46"/>
  <c r="I44"/>
  <c r="H44"/>
  <c r="F43"/>
  <c r="I43" s="1"/>
  <c r="H42"/>
  <c r="F42"/>
  <c r="I42" s="1"/>
  <c r="F41"/>
  <c r="I41" s="1"/>
  <c r="H40"/>
  <c r="F39"/>
  <c r="I39" s="1"/>
  <c r="H38"/>
  <c r="F38"/>
  <c r="I38" s="1"/>
  <c r="I37"/>
  <c r="H37"/>
  <c r="H35"/>
  <c r="H34"/>
  <c r="H33"/>
  <c r="F33"/>
  <c r="I33" s="1"/>
  <c r="I32"/>
  <c r="H32"/>
  <c r="H31"/>
  <c r="F31"/>
  <c r="I31" s="1"/>
  <c r="F30"/>
  <c r="I30" s="1"/>
  <c r="H29"/>
  <c r="F29"/>
  <c r="I29" s="1"/>
  <c r="F26"/>
  <c r="I26" s="1"/>
  <c r="H25"/>
  <c r="F25"/>
  <c r="I25" s="1"/>
  <c r="H24"/>
  <c r="F24"/>
  <c r="H23"/>
  <c r="F23"/>
  <c r="H22"/>
  <c r="F22"/>
  <c r="H21"/>
  <c r="F21"/>
  <c r="H20"/>
  <c r="F20"/>
  <c r="H19"/>
  <c r="F19"/>
  <c r="F18"/>
  <c r="I18" s="1"/>
  <c r="E18"/>
  <c r="F17"/>
  <c r="I17" s="1"/>
  <c r="H16"/>
  <c r="F16"/>
  <c r="I16" s="1"/>
  <c r="I84" l="1"/>
  <c r="H84"/>
  <c r="H85" s="1"/>
  <c r="H17"/>
  <c r="H18"/>
  <c r="H26"/>
  <c r="H30"/>
  <c r="H39"/>
  <c r="H41"/>
  <c r="H43"/>
  <c r="I58"/>
  <c r="I61"/>
  <c r="I64"/>
  <c r="I85" s="1"/>
  <c r="I87"/>
  <c r="I89" s="1"/>
  <c r="I91" s="1"/>
  <c r="I90" i="29" l="1"/>
  <c r="I91" s="1"/>
  <c r="H90"/>
  <c r="F90"/>
  <c r="I85"/>
  <c r="I85" i="28"/>
  <c r="I91" i="22"/>
  <c r="F91"/>
  <c r="H91" s="1"/>
  <c r="I92"/>
  <c r="F43" i="20"/>
  <c r="H43" s="1"/>
  <c r="I43" i="19"/>
  <c r="F43"/>
  <c r="H43" s="1"/>
  <c r="I85" i="18"/>
  <c r="I85" i="17"/>
  <c r="I43" i="20" l="1"/>
  <c r="I89" i="29" l="1"/>
  <c r="H89"/>
  <c r="I88"/>
  <c r="H88"/>
  <c r="I87"/>
  <c r="H87"/>
  <c r="E84"/>
  <c r="F84" s="1"/>
  <c r="F83"/>
  <c r="H83" s="1"/>
  <c r="I81"/>
  <c r="H81"/>
  <c r="I79"/>
  <c r="H79"/>
  <c r="I77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I66"/>
  <c r="H66"/>
  <c r="H64"/>
  <c r="F64"/>
  <c r="I64" s="1"/>
  <c r="H63"/>
  <c r="F61"/>
  <c r="I61" s="1"/>
  <c r="I60"/>
  <c r="H60"/>
  <c r="F59"/>
  <c r="H59" s="1"/>
  <c r="F58"/>
  <c r="I58" s="1"/>
  <c r="I55"/>
  <c r="F55"/>
  <c r="H55" s="1"/>
  <c r="I54"/>
  <c r="H54"/>
  <c r="F54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I32"/>
  <c r="H32"/>
  <c r="F31"/>
  <c r="I31" s="1"/>
  <c r="F30"/>
  <c r="H30" s="1"/>
  <c r="F29"/>
  <c r="I29" s="1"/>
  <c r="F26"/>
  <c r="H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I87" i="28"/>
  <c r="I66"/>
  <c r="E84"/>
  <c r="F84" s="1"/>
  <c r="F83"/>
  <c r="I83" s="1"/>
  <c r="I81"/>
  <c r="H81"/>
  <c r="I79"/>
  <c r="H79"/>
  <c r="I77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I43" s="1"/>
  <c r="F42"/>
  <c r="I42" s="1"/>
  <c r="F41"/>
  <c r="I41" s="1"/>
  <c r="H40"/>
  <c r="F39"/>
  <c r="I39" s="1"/>
  <c r="F38"/>
  <c r="I38" s="1"/>
  <c r="I37"/>
  <c r="H37"/>
  <c r="H35"/>
  <c r="H34"/>
  <c r="H33"/>
  <c r="F33"/>
  <c r="I33" s="1"/>
  <c r="I32"/>
  <c r="H32"/>
  <c r="F31"/>
  <c r="I31" s="1"/>
  <c r="F30"/>
  <c r="I30" s="1"/>
  <c r="F29"/>
  <c r="I29" s="1"/>
  <c r="F26"/>
  <c r="I26" s="1"/>
  <c r="F25"/>
  <c r="I25" s="1"/>
  <c r="F24"/>
  <c r="H24" s="1"/>
  <c r="F23"/>
  <c r="H23" s="1"/>
  <c r="F22"/>
  <c r="H22" s="1"/>
  <c r="F21"/>
  <c r="H21" s="1"/>
  <c r="F20"/>
  <c r="H20" s="1"/>
  <c r="F19"/>
  <c r="H19" s="1"/>
  <c r="E18"/>
  <c r="F18" s="1"/>
  <c r="I18" s="1"/>
  <c r="F17"/>
  <c r="H17" s="1"/>
  <c r="F16"/>
  <c r="I16" s="1"/>
  <c r="I91" i="26"/>
  <c r="I90"/>
  <c r="G91"/>
  <c r="H91" s="1"/>
  <c r="H90"/>
  <c r="I89"/>
  <c r="H89"/>
  <c r="I88"/>
  <c r="H88"/>
  <c r="H87"/>
  <c r="I85"/>
  <c r="I66"/>
  <c r="H18" i="29" l="1"/>
  <c r="I18"/>
  <c r="H84"/>
  <c r="H85" s="1"/>
  <c r="I84"/>
  <c r="H16"/>
  <c r="I17"/>
  <c r="H25"/>
  <c r="I26"/>
  <c r="H29"/>
  <c r="I30"/>
  <c r="H31"/>
  <c r="H38"/>
  <c r="I39"/>
  <c r="I41"/>
  <c r="H42"/>
  <c r="I43"/>
  <c r="H50"/>
  <c r="H58"/>
  <c r="I59"/>
  <c r="H61"/>
  <c r="I83"/>
  <c r="H50" i="28"/>
  <c r="H25"/>
  <c r="H38"/>
  <c r="H16"/>
  <c r="H31"/>
  <c r="H29"/>
  <c r="H42"/>
  <c r="I84"/>
  <c r="H84"/>
  <c r="H85" s="1"/>
  <c r="I17"/>
  <c r="H18"/>
  <c r="H26"/>
  <c r="H30"/>
  <c r="H39"/>
  <c r="H41"/>
  <c r="H43"/>
  <c r="I58"/>
  <c r="H59"/>
  <c r="H80" s="1"/>
  <c r="I61"/>
  <c r="I64"/>
  <c r="H83"/>
  <c r="I93" i="29" l="1"/>
  <c r="H80"/>
  <c r="I89" i="28"/>
  <c r="I90" i="25" l="1"/>
  <c r="I89"/>
  <c r="I88"/>
  <c r="H89"/>
  <c r="H88"/>
  <c r="I87"/>
  <c r="H87"/>
  <c r="I85"/>
  <c r="I66"/>
  <c r="H92" i="24"/>
  <c r="I91"/>
  <c r="I92"/>
  <c r="I93" s="1"/>
  <c r="H91"/>
  <c r="G90"/>
  <c r="H90" s="1"/>
  <c r="I89"/>
  <c r="H89"/>
  <c r="I88"/>
  <c r="H88"/>
  <c r="H87"/>
  <c r="I96" i="23"/>
  <c r="I95"/>
  <c r="I94"/>
  <c r="I91"/>
  <c r="I92"/>
  <c r="I93"/>
  <c r="I90"/>
  <c r="F95" l="1"/>
  <c r="H95" s="1"/>
  <c r="H94"/>
  <c r="H93"/>
  <c r="H92"/>
  <c r="H91"/>
  <c r="H90"/>
  <c r="I88"/>
  <c r="H89"/>
  <c r="H88"/>
  <c r="I87"/>
  <c r="H87"/>
  <c r="I94" i="22"/>
  <c r="I89"/>
  <c r="I90"/>
  <c r="I88"/>
  <c r="H90"/>
  <c r="H89"/>
  <c r="H88"/>
  <c r="I87"/>
  <c r="H87"/>
  <c r="I85"/>
  <c r="I76"/>
  <c r="I66"/>
  <c r="I92" i="21"/>
  <c r="I87"/>
  <c r="H87"/>
  <c r="I88"/>
  <c r="I89"/>
  <c r="I90"/>
  <c r="H91"/>
  <c r="H90"/>
  <c r="H89"/>
  <c r="H88"/>
  <c r="I85"/>
  <c r="I66"/>
  <c r="I87" i="20"/>
  <c r="I89" i="19"/>
  <c r="I88"/>
  <c r="I87"/>
  <c r="I90"/>
  <c r="H89"/>
  <c r="F89"/>
  <c r="H88"/>
  <c r="H87"/>
  <c r="I92" i="18"/>
  <c r="I91"/>
  <c r="I88"/>
  <c r="I93"/>
  <c r="H92"/>
  <c r="H91"/>
  <c r="H90"/>
  <c r="H89"/>
  <c r="F88"/>
  <c r="H88" s="1"/>
  <c r="H87"/>
  <c r="I77"/>
  <c r="I92" i="17" l="1"/>
  <c r="I91"/>
  <c r="H91"/>
  <c r="I90"/>
  <c r="H90"/>
  <c r="I89"/>
  <c r="H89"/>
  <c r="F88"/>
  <c r="H88" s="1"/>
  <c r="I87"/>
  <c r="H87"/>
  <c r="I88" l="1"/>
  <c r="I21" i="25" l="1"/>
  <c r="I22"/>
  <c r="I23"/>
  <c r="I24"/>
  <c r="I20"/>
  <c r="I19"/>
  <c r="I87" i="26" l="1"/>
  <c r="I77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73" i="25"/>
  <c r="I53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0" i="24"/>
  <c r="I87"/>
  <c r="E84"/>
  <c r="F84" s="1"/>
  <c r="I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5" i="23"/>
  <c r="I89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E84" i="22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1" i="21"/>
  <c r="E84"/>
  <c r="F84" s="1"/>
  <c r="F83"/>
  <c r="I83" s="1"/>
  <c r="I81"/>
  <c r="H81"/>
  <c r="I79"/>
  <c r="H79"/>
  <c r="H77"/>
  <c r="H76"/>
  <c r="I75"/>
  <c r="H75"/>
  <c r="H73"/>
  <c r="F72"/>
  <c r="H72" s="1"/>
  <c r="F71"/>
  <c r="I71" s="1"/>
  <c r="F70"/>
  <c r="I70" s="1"/>
  <c r="F69"/>
  <c r="I69" s="1"/>
  <c r="F68"/>
  <c r="I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77" i="20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77" i="19"/>
  <c r="I76"/>
  <c r="I53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F51"/>
  <c r="F50"/>
  <c r="H50" s="1"/>
  <c r="F49"/>
  <c r="H49" s="1"/>
  <c r="F48"/>
  <c r="H48" s="1"/>
  <c r="F47"/>
  <c r="H47" s="1"/>
  <c r="F46"/>
  <c r="H46" s="1"/>
  <c r="I44"/>
  <c r="H44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H16"/>
  <c r="F16"/>
  <c r="I16" s="1"/>
  <c r="I92" i="26" l="1"/>
  <c r="H52" i="19"/>
  <c r="I52"/>
  <c r="H51"/>
  <c r="I51"/>
  <c r="I84" i="26"/>
  <c r="H84"/>
  <c r="H85" s="1"/>
  <c r="I18"/>
  <c r="H18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I48" i="25"/>
  <c r="I46"/>
  <c r="I49"/>
  <c r="I47"/>
  <c r="I51"/>
  <c r="I52"/>
  <c r="I18"/>
  <c r="H18"/>
  <c r="I84"/>
  <c r="H84"/>
  <c r="H85" s="1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I18" i="24"/>
  <c r="H18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H84"/>
  <c r="H85" s="1"/>
  <c r="I18" i="23"/>
  <c r="H18"/>
  <c r="I84"/>
  <c r="H84"/>
  <c r="H85" s="1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I18" i="22"/>
  <c r="H18"/>
  <c r="I84"/>
  <c r="H84"/>
  <c r="H85" s="1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H68" i="21"/>
  <c r="H69"/>
  <c r="H70"/>
  <c r="H71"/>
  <c r="I19"/>
  <c r="I20"/>
  <c r="I24"/>
  <c r="I49"/>
  <c r="I47"/>
  <c r="I21"/>
  <c r="I22"/>
  <c r="I23"/>
  <c r="I48"/>
  <c r="I46"/>
  <c r="I72"/>
  <c r="I84"/>
  <c r="H84"/>
  <c r="H85" s="1"/>
  <c r="I18"/>
  <c r="H18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I51" i="20"/>
  <c r="I52"/>
  <c r="I18"/>
  <c r="H18"/>
  <c r="I84"/>
  <c r="H84"/>
  <c r="H85" s="1"/>
  <c r="I16"/>
  <c r="H17"/>
  <c r="I25"/>
  <c r="H26"/>
  <c r="I29"/>
  <c r="H30"/>
  <c r="I31"/>
  <c r="I38"/>
  <c r="H39"/>
  <c r="H41"/>
  <c r="I42"/>
  <c r="I50"/>
  <c r="I58"/>
  <c r="H59"/>
  <c r="H80" s="1"/>
  <c r="I61"/>
  <c r="I64"/>
  <c r="H83"/>
  <c r="I18" i="19"/>
  <c r="I85" s="1"/>
  <c r="H18"/>
  <c r="I84"/>
  <c r="H84"/>
  <c r="H85" s="1"/>
  <c r="H17"/>
  <c r="I25"/>
  <c r="H26"/>
  <c r="I29"/>
  <c r="H30"/>
  <c r="I31"/>
  <c r="I38"/>
  <c r="H39"/>
  <c r="H41"/>
  <c r="I42"/>
  <c r="I50"/>
  <c r="I58"/>
  <c r="H59"/>
  <c r="H80" s="1"/>
  <c r="I61"/>
  <c r="I64"/>
  <c r="H83"/>
  <c r="I92" i="25" l="1"/>
  <c r="I85" i="24"/>
  <c r="I95" s="1"/>
  <c r="I85" i="20"/>
  <c r="I89" s="1"/>
  <c r="I94" i="26"/>
  <c r="I98" i="23"/>
  <c r="I94" i="21"/>
  <c r="I92" i="19"/>
  <c r="I26" i="18" l="1"/>
  <c r="I89" l="1"/>
  <c r="I90"/>
  <c r="I87"/>
  <c r="E84"/>
  <c r="F84" s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32" i="17"/>
  <c r="I18" i="18" l="1"/>
  <c r="H18"/>
  <c r="I84"/>
  <c r="H84"/>
  <c r="H85" s="1"/>
  <c r="I16"/>
  <c r="H17"/>
  <c r="I25"/>
  <c r="H26"/>
  <c r="I29"/>
  <c r="H30"/>
  <c r="I31"/>
  <c r="I38"/>
  <c r="H39"/>
  <c r="H41"/>
  <c r="I42"/>
  <c r="H43"/>
  <c r="I50"/>
  <c r="I58"/>
  <c r="H59"/>
  <c r="H80" s="1"/>
  <c r="I61"/>
  <c r="I64"/>
  <c r="H83"/>
  <c r="I95" l="1"/>
  <c r="E84" i="17" l="1"/>
  <c r="F83"/>
  <c r="I83" s="1"/>
  <c r="I81"/>
  <c r="H81"/>
  <c r="I79"/>
  <c r="H79"/>
  <c r="H77"/>
  <c r="H76"/>
  <c r="I75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I43" s="1"/>
  <c r="I94" s="1"/>
  <c r="F42"/>
  <c r="H42" s="1"/>
  <c r="F41"/>
  <c r="I41" s="1"/>
  <c r="H40"/>
  <c r="F39"/>
  <c r="I39" s="1"/>
  <c r="F38"/>
  <c r="H38" s="1"/>
  <c r="I37"/>
  <c r="H37"/>
  <c r="F26"/>
  <c r="H35"/>
  <c r="H34"/>
  <c r="F25"/>
  <c r="I25" s="1"/>
  <c r="H33"/>
  <c r="F33"/>
  <c r="I33" s="1"/>
  <c r="H32"/>
  <c r="F31"/>
  <c r="F30"/>
  <c r="F29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H26" l="1"/>
  <c r="I26"/>
  <c r="H30"/>
  <c r="I30"/>
  <c r="H29"/>
  <c r="I29"/>
  <c r="H31"/>
  <c r="I31"/>
  <c r="H39"/>
  <c r="H16"/>
  <c r="H41"/>
  <c r="H59"/>
  <c r="H80" s="1"/>
  <c r="H83"/>
  <c r="F84"/>
  <c r="H84" s="1"/>
  <c r="H85" s="1"/>
  <c r="H25"/>
  <c r="H43"/>
  <c r="H50"/>
  <c r="I18"/>
  <c r="I38"/>
  <c r="I42"/>
  <c r="I58"/>
  <c r="I61"/>
  <c r="I64"/>
  <c r="I17"/>
  <c r="I84" l="1"/>
</calcChain>
</file>

<file path=xl/sharedStrings.xml><?xml version="1.0" encoding="utf-8"?>
<sst xmlns="http://schemas.openxmlformats.org/spreadsheetml/2006/main" count="3005" uniqueCount="266">
  <si>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</si>
  <si>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</si>
  <si>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</si>
  <si>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</si>
  <si>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</si>
  <si>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</si>
  <si>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</si>
  <si>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</si>
  <si>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</si>
  <si>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</si>
  <si>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</si>
  <si>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</si>
  <si>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</si>
  <si>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</si>
  <si>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</si>
  <si>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</si>
  <si>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</si>
  <si>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</si>
  <si>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</si>
  <si>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</si>
  <si>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</si>
  <si>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</si>
  <si>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</si>
  <si>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</si>
  <si>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</si>
  <si>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</si>
  <si>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</si>
  <si>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</si>
  <si>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</si>
  <si>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</si>
  <si>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</si>
  <si>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</si>
  <si>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</si>
  <si>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</si>
  <si>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</si>
  <si>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</si>
  <si>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</si>
  <si>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</si>
  <si>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</si>
  <si>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</si>
  <si>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</si>
  <si>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</si>
  <si>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</si>
  <si>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</si>
  <si>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</si>
  <si>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</si>
  <si>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</si>
  <si>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</si>
  <si>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</si>
  <si>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</si>
  <si>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</si>
  <si>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</si>
  <si>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</si>
  <si>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</si>
  <si>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</si>
  <si>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</si>
  <si>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</si>
  <si>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</si>
  <si>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</si>
  <si>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</si>
  <si>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</si>
  <si>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</si>
  <si>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</si>
  <si>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</si>
  <si>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</si>
  <si>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</si>
  <si>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</si>
  <si>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</si>
  <si>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</si>
  <si>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</si>
  <si>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</si>
  <si>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</si>
  <si>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</si>
  <si>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</si>
  <si>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</si>
  <si>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</si>
  <si>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</si>
  <si>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</si>
  <si>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</si>
  <si>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</si>
  <si>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</si>
  <si>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</si>
  <si>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</si>
  <si>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</si>
  <si>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</si>
  <si>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</si>
  <si>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</si>
  <si>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</si>
  <si>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</si>
  <si>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 xml:space="preserve">II. Уборка земельного участка </t>
  </si>
  <si>
    <t>ООО «Жилсервис»</t>
  </si>
  <si>
    <t>Влажное подметание лестничных клеток 1 этажа</t>
  </si>
  <si>
    <t>Смена арматуры - вентилей и клапанов обратных муфтовых диаметром до 20 мм</t>
  </si>
  <si>
    <t>генеральный директор Куканов Ю.Л.</t>
  </si>
  <si>
    <t>Сдвигание снега в дни снегопада (проезд)</t>
  </si>
  <si>
    <t>Очистка оголовков дымоходов и вентканалов от наледи и снега</t>
  </si>
  <si>
    <t xml:space="preserve">2 раза в месяц  </t>
  </si>
  <si>
    <t>шт</t>
  </si>
  <si>
    <t>Внеплановая проверка дымоходов</t>
  </si>
  <si>
    <t>Дератизация</t>
  </si>
  <si>
    <t>Влажное подметание лестничных клеток 2-5 этажа</t>
  </si>
  <si>
    <t>Мытье лестничных  площадок и маршей 1-5 этаж.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</si>
  <si>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</si>
  <si>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</si>
  <si>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</si>
  <si>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</si>
  <si>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</si>
  <si>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</si>
  <si>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</si>
  <si>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</si>
  <si>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</si>
  <si>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</si>
  <si>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</si>
  <si>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Уборка контейнерной площадки (16 кв.м.)</t>
  </si>
  <si>
    <t>30 раз за сезон</t>
  </si>
  <si>
    <t>Сдвигание снега в дни снегопада (крыльца, тротуары)</t>
  </si>
  <si>
    <t>155 раз за сезон</t>
  </si>
  <si>
    <t>Вывоз снега с придомовой территории</t>
  </si>
  <si>
    <t>1м3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</si>
  <si>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</si>
  <si>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</si>
  <si>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</si>
  <si>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</si>
  <si>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</si>
  <si>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</si>
  <si>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</si>
  <si>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</si>
  <si>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</si>
  <si>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</si>
  <si>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</si>
  <si>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</si>
  <si>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>Прочистка засоров ГВС, XВC</t>
  </si>
  <si>
    <t>3м</t>
  </si>
  <si>
    <t>генеральный директор 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</si>
  <si>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№6 по ул.Космонавтов пгт.Ярега
</t>
  </si>
  <si>
    <t>Очистка урн от мусора</t>
  </si>
  <si>
    <t>12 раз за сезон</t>
  </si>
  <si>
    <t>24 раза за сезон</t>
  </si>
  <si>
    <t>Проверка дымоходов</t>
  </si>
  <si>
    <t>Осмотр рулонной кровли</t>
  </si>
  <si>
    <t>Очистка края кровли от слежавшегося снега со сбрасыванием сосулек (10% от S кровли) и козырьки</t>
  </si>
  <si>
    <t>Очистка внутреннего водостока</t>
  </si>
  <si>
    <t>водосток</t>
  </si>
  <si>
    <t>Очистка водостоков от наледи</t>
  </si>
  <si>
    <t>Замена ламп ДРЛ</t>
  </si>
  <si>
    <t xml:space="preserve"> </t>
  </si>
  <si>
    <t>1 соединение</t>
  </si>
  <si>
    <t>АКТ №1</t>
  </si>
  <si>
    <t>1000-м2</t>
  </si>
  <si>
    <t>2 раза в неделю 52 раза в сезон</t>
  </si>
  <si>
    <t>3 раза в неделю 78 раз за сезон</t>
  </si>
  <si>
    <t>Устройство хомута диаметром до 50 мм</t>
  </si>
  <si>
    <t>1 шт</t>
  </si>
  <si>
    <t xml:space="preserve">Смена сгонов у трубопроводов диаметром до 20 мм </t>
  </si>
  <si>
    <t>1 сгон</t>
  </si>
  <si>
    <t>Внеплановый осмотр вводных электрических щитков</t>
  </si>
  <si>
    <t>100шт</t>
  </si>
  <si>
    <t>Смена дверных приборов - пружины</t>
  </si>
  <si>
    <t>Ремонт и регулировка доводчика (со стоимостью доводчика)</t>
  </si>
  <si>
    <t>1шт.</t>
  </si>
  <si>
    <t>Ремонт полотенцесушителя (смена прокладок) без снятия с места</t>
  </si>
  <si>
    <t>Смена трубопроводов на полипропиленовые трубы PN25 диаметром 20мм</t>
  </si>
  <si>
    <t>Подметание территории с усовершенствованным покрытием асф.: крыльца, контейнерн пл., проезд, тротуар</t>
  </si>
  <si>
    <t>III. Плановые осмотры</t>
  </si>
  <si>
    <t>1 раз в месяц (5 раз в год)</t>
  </si>
  <si>
    <t>IV. Содержание общего имущества МКД</t>
  </si>
  <si>
    <t>V. Прочие услуги</t>
  </si>
  <si>
    <t>АКТ №2</t>
  </si>
  <si>
    <t>АКТ №3</t>
  </si>
  <si>
    <t>АКТ №4</t>
  </si>
  <si>
    <t>АКТ №5</t>
  </si>
  <si>
    <t>АКТ №6</t>
  </si>
  <si>
    <t>III. Содержание общего имущества МКД</t>
  </si>
  <si>
    <t>IV. Прочие услуги</t>
  </si>
  <si>
    <t>АКТ №7</t>
  </si>
  <si>
    <t>АКТ №8</t>
  </si>
  <si>
    <t>АКТ №9</t>
  </si>
  <si>
    <t>АКТ №10</t>
  </si>
  <si>
    <t>п.м.</t>
  </si>
  <si>
    <t>за период с 01.01.2017 г. по 31.01.2017 г.</t>
  </si>
  <si>
    <t>Итого месячные затраты</t>
  </si>
  <si>
    <t>Уплотнение сгонов с применением льняной пряди или асбестового шнура</t>
  </si>
  <si>
    <t>Очистка фановых труб от наледи</t>
  </si>
  <si>
    <r>
      <t xml:space="preserve">    Собственники   помещений   в многоквартирном доме, расположенном по адресу:  пгт.Ярега, ул.Космонавтов, д.6,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09.12.2013г. стороны,  и ООО «Жилсервис», 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 составили настоящий Акт о нижеследующем:</t>
    </r>
  </si>
  <si>
    <t>за период с 01.02.2017 г. по 28.02.2017 г.</t>
  </si>
  <si>
    <t>Ремонт групповых щитков на лестничной клетке со сменой автоматов</t>
  </si>
  <si>
    <t>Смена оконных приборов - ручки</t>
  </si>
  <si>
    <t>Внеплановая проверка вентиляции</t>
  </si>
  <si>
    <t>5 раз в год</t>
  </si>
  <si>
    <t>за период с 01.03.2017 г. по 31.03.2017 г.</t>
  </si>
  <si>
    <t>Внеплановый осмотр элекгросетей, арматуры и электрооборудования на чердаках и подвалах</t>
  </si>
  <si>
    <t>2. Всего за период с 01.03.2017 по 31.03.2017 выполнено работ (оказано услуг) на общую сумму: 70258,71 руб.</t>
  </si>
  <si>
    <t>(семьдесят тысяч двести пятьдесят восемь рублей 71 копейка)</t>
  </si>
  <si>
    <t>за период с 01.04.2017 г. по 30.04.2017 г.</t>
  </si>
  <si>
    <t>2. Всего за период с 01.04.2017 по 30.04.2017 выполнено работ (оказано услуг) на общую сумму: 65997,21 руб.</t>
  </si>
  <si>
    <t>(шестьдесят пять тысяч девятьсот девяносто семь рублей 21 копейка)</t>
  </si>
  <si>
    <t>за период с 01.05.2017 г. по 31.05.2017 г.</t>
  </si>
  <si>
    <t>Смена полиэтиленовых канализационных труб 110×1000 мм</t>
  </si>
  <si>
    <t>Тройник Ду-110*90°</t>
  </si>
  <si>
    <t>Переход чугун-пластик Ду 110 с манжетой</t>
  </si>
  <si>
    <t xml:space="preserve">Герметизация стыков трубопроводов    </t>
  </si>
  <si>
    <t>1 место</t>
  </si>
  <si>
    <t>за период с 01.06.2017 г. по 30.06.2017 г.</t>
  </si>
  <si>
    <t>за период с 01.07.2017 г. по 31.07.2017 г.</t>
  </si>
  <si>
    <t>Смена полиэтиленовых канализационных труб 110×2000 мм</t>
  </si>
  <si>
    <t>Манжета 100</t>
  </si>
  <si>
    <t>Патрубок компенсацинный ПП Ду 110</t>
  </si>
  <si>
    <t>Мелкий ремонт электропроводки</t>
  </si>
  <si>
    <t>Простая масляная окраска ранее окрашенных входных металлических дверей (I-VI под.)</t>
  </si>
  <si>
    <t>10 м2</t>
  </si>
  <si>
    <t xml:space="preserve">Смена полипропиленовых канализационных труб 50×2000 мм </t>
  </si>
  <si>
    <t>2. Всего за период с 01.05.2017 по 31.05.2017 выполнено работ (оказано услуг) на общую сумму: 179602,36 руб.</t>
  </si>
  <si>
    <t>(сто семьдесят девять тысяч шестьсот два рубля 36 копеек)</t>
  </si>
  <si>
    <t>2. Всего за период с 01.07.2017 по 31.07.2017 выполнено работ (оказано услуг) на общую сумму: 62520,26 руб.</t>
  </si>
  <si>
    <t>(шестьдесят две тысячи пятьсот двадцать рублей 26 копеек)</t>
  </si>
  <si>
    <t>за период с 01.08.2017 г. по 31.08.2017 г.</t>
  </si>
  <si>
    <t>Смена задвижек диаметром до 100 мм</t>
  </si>
  <si>
    <t>2. Всего за период с 01.08.2017 по 31.08.2017 выполнено работ (оказано услуг) на общую сумму: 63988,98 руб.</t>
  </si>
  <si>
    <t>(шестьдесят три тысячи девятьсот восемьдесят восемь рублей 98 копеек)</t>
  </si>
  <si>
    <t>за период с 01.09.2017 г. по 30.09.2017 г.</t>
  </si>
  <si>
    <t xml:space="preserve">Смена арматуры - вентилей и клапанов обратных муфтовых диаметром до 32 мм </t>
  </si>
  <si>
    <t>2. Всего за период с 01.09.2017 по 30.09.2017 выполнено работ (оказано услуг) на общую сумму: 101002,95 руб.</t>
  </si>
  <si>
    <t>(сто одна тысяча два рубля 95 копеек)</t>
  </si>
  <si>
    <t>за период с 01.10.2017 г. по 31.10.2017 г.</t>
  </si>
  <si>
    <t>156 раз в год</t>
  </si>
  <si>
    <t>104 раза в год</t>
  </si>
  <si>
    <t xml:space="preserve">24 раза в год </t>
  </si>
  <si>
    <t>ежедневно</t>
  </si>
  <si>
    <t>52 раза в сезон</t>
  </si>
  <si>
    <t>78 раз за сезон</t>
  </si>
  <si>
    <t xml:space="preserve">Смена тройников у трубопроводов диаметром до 20 мм </t>
  </si>
  <si>
    <t>Герметизация межпанельных швов (кв.11,13)</t>
  </si>
  <si>
    <t>2. Всего за период с 01.10.2017 по 31.10.2017 выполнено работ (оказано услуг) на общую сумму: 71356,60 руб.</t>
  </si>
  <si>
    <t>(семьдесят одна тысяча триста пятьдесят шесть рублей 60 копеек)</t>
  </si>
  <si>
    <t>АКТ №11</t>
  </si>
  <si>
    <t>за период с 01.11.2017 г. по 30.11.2017 г.</t>
  </si>
  <si>
    <t>АКТ №12</t>
  </si>
  <si>
    <t>за период с 01.12.2017 г. по 31.12.2017 г.</t>
  </si>
  <si>
    <t>заглушка</t>
  </si>
  <si>
    <t>Установка заглушек диаметром трубопроводов до 100мм</t>
  </si>
  <si>
    <r>
      <t>1. Исполнителем  предъявлены   к   приемке  следующие  оказанные   на   основании  Договора   на   содержание   и   ремонт  многоквартирного   дома  №</t>
    </r>
    <r>
      <rPr>
        <u/>
        <sz val="12"/>
        <rFont val="Times New Roman"/>
        <family val="1"/>
        <charset val="204"/>
      </rPr>
      <t xml:space="preserve">    </t>
    </r>
    <r>
      <rPr>
        <sz val="12"/>
        <rFont val="Times New Roman"/>
        <family val="1"/>
        <charset val="204"/>
      </rPr>
      <t xml:space="preserve">   от </t>
    </r>
    <r>
      <rPr>
        <u/>
        <sz val="12"/>
        <rFont val="Times New Roman"/>
        <family val="1"/>
        <charset val="204"/>
      </rPr>
      <t xml:space="preserve">                                </t>
    </r>
    <r>
      <rPr>
        <sz val="12"/>
        <rFont val="Times New Roman"/>
        <family val="1"/>
        <charset val="204"/>
      </rPr>
      <t>20  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д.6</t>
    </r>
  </si>
  <si>
    <t>2. Всего за период с 01.01.2017 по 31.01.2017 выполнено работ (оказано услуг) на общую сумму: 124122,28 руб.</t>
  </si>
  <si>
    <t>(сто двадцать четыре тысячи сто двадцать два рубля 28 копеек)</t>
  </si>
  <si>
    <t>2. Всего за период с 01.02.2017 по 28.02.2017 выполнено работ (оказано услуг) на общую сумму: 71151,39 руб.</t>
  </si>
  <si>
    <t>(семьдесят одна тысяча сто пятьдесят один рубль 39 копеек)</t>
  </si>
  <si>
    <t>15 раз за сезон</t>
  </si>
  <si>
    <t>Сверхнормативы по ОДП за 1 полугодие</t>
  </si>
  <si>
    <t>2. Всего за период с 01.06.2017 по 30.06.2017 выполнено работ (оказано услуг) на общую сумму: 64230,00 руб.</t>
  </si>
  <si>
    <t>(шестьдесят четыре тысячи двести тридцать рублей 00 копеек)</t>
  </si>
  <si>
    <t>2. Всего за период с 01.11.2017 по 30.11.2017 выполнено работ (оказано услуг) на общую сумму: 65833,06 руб.</t>
  </si>
  <si>
    <t>(шестьдесят пять тысяч восемьсот тридцать три рубля 06 копеек)</t>
  </si>
  <si>
    <t>Сверхнормативы по ОДП за 2 полугодие</t>
  </si>
  <si>
    <t>2. Всего за период с 01.12.2017 по 31.12.2017 выполнено работ (оказано услуг) на общую сумму: 70481,86 руб.</t>
  </si>
  <si>
    <t>(семьдесят тысяч четыреста восемьдесят один рубль 86 копеек)</t>
  </si>
  <si>
    <t>АКТ №10а</t>
  </si>
  <si>
    <t>за период с 02.10.2017 г. по 06.10.2017 г.</t>
  </si>
  <si>
    <t>Объем</t>
  </si>
  <si>
    <t>3 раза в неделю 156 раз в год</t>
  </si>
  <si>
    <t>2 раза в неделю 104 раза в год</t>
  </si>
  <si>
    <t xml:space="preserve">2 раза в месяц 24 раза в год </t>
  </si>
  <si>
    <t>ежедневно 365 раз</t>
  </si>
  <si>
    <t>Герметизация межпанельных швов (кв.11, 13)</t>
  </si>
  <si>
    <t>Работа автовышки</t>
  </si>
  <si>
    <t>маш/час</t>
  </si>
  <si>
    <t>2. Всего за период с 02.10.2017 по 06.10.2017 выполнено работ (оказано услуг) на общую сумму: 8210,38 руб.</t>
  </si>
  <si>
    <t>(восемь тысяч двести десят рублей 38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</si>
</sst>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2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19" fillId="3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left" vertical="center"/>
    </xf>
    <xf numFmtId="4" fontId="11" fillId="0" borderId="3" xfId="0" applyNumberFormat="1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11" fillId="4" borderId="9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147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179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42766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v>0</v>
      </c>
      <c r="J19" s="22"/>
      <c r="K19" s="8"/>
      <c r="L19" s="8"/>
      <c r="M19" s="8"/>
    </row>
    <row r="20" spans="1:13" ht="15.75" hidden="1" customHeight="1">
      <c r="A20" s="29"/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v>0</v>
      </c>
      <c r="J20" s="22"/>
      <c r="K20" s="8"/>
      <c r="L20" s="8"/>
      <c r="M20" s="8"/>
    </row>
    <row r="21" spans="1:13" ht="15.75" hidden="1" customHeight="1">
      <c r="A21" s="29"/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v>0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v>0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v>0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v>0</v>
      </c>
      <c r="J24" s="22"/>
      <c r="K24" s="8"/>
      <c r="L24" s="8"/>
      <c r="M24" s="8"/>
    </row>
    <row r="25" spans="1:13" ht="15.75" customHeight="1">
      <c r="A25" s="29">
        <v>4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5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hidden="1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31.5" hidden="1" customHeight="1">
      <c r="A29" s="29">
        <v>6</v>
      </c>
      <c r="B29" s="65" t="s">
        <v>111</v>
      </c>
      <c r="C29" s="66" t="s">
        <v>148</v>
      </c>
      <c r="D29" s="65" t="s">
        <v>149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1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hidden="1" customHeight="1">
      <c r="A30" s="29">
        <v>7</v>
      </c>
      <c r="B30" s="65" t="s">
        <v>162</v>
      </c>
      <c r="C30" s="66" t="s">
        <v>112</v>
      </c>
      <c r="D30" s="65" t="s">
        <v>150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1"/>
        <v>2.5216468991999998</v>
      </c>
      <c r="I30" s="12">
        <f t="shared" ref="I30:I33" si="2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1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hidden="1" customHeight="1">
      <c r="A32" s="29">
        <v>8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2"/>
        <v>2157.3829999999998</v>
      </c>
      <c r="J32" s="22"/>
      <c r="K32" s="8"/>
      <c r="L32" s="8"/>
      <c r="M32" s="8"/>
    </row>
    <row r="33" spans="1:14" ht="15.75" hidden="1" customHeight="1">
      <c r="A33" s="29">
        <v>9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2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1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1"/>
        <v>2.2726599999999997</v>
      </c>
      <c r="I35" s="12">
        <v>0</v>
      </c>
      <c r="J35" s="23"/>
    </row>
    <row r="36" spans="1:14" ht="15.75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3">SUM(F37*G37/1000)</f>
        <v>13.060799999999999</v>
      </c>
      <c r="I37" s="12">
        <f>F37/6*G37</f>
        <v>2176.7999999999997</v>
      </c>
      <c r="J37" s="23"/>
    </row>
    <row r="38" spans="1:14" ht="15.75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3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3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hidden="1" customHeight="1">
      <c r="A43" s="29">
        <v>11</v>
      </c>
      <c r="B43" s="65" t="s">
        <v>119</v>
      </c>
      <c r="C43" s="66" t="s">
        <v>112</v>
      </c>
      <c r="D43" s="65" t="s">
        <v>71</v>
      </c>
      <c r="E43" s="68">
        <v>116.93</v>
      </c>
      <c r="F43" s="68">
        <f>SUM(E43*45/1000)</f>
        <v>5.2618500000000008</v>
      </c>
      <c r="G43" s="68">
        <v>458.28</v>
      </c>
      <c r="H43" s="69">
        <f t="shared" si="3"/>
        <v>2.4114006180000001</v>
      </c>
      <c r="I43" s="12">
        <f>F43/6*G43</f>
        <v>401.90010300000006</v>
      </c>
      <c r="J43" s="23"/>
      <c r="L43" s="18"/>
      <c r="M43" s="19"/>
      <c r="N43" s="20"/>
    </row>
    <row r="44" spans="1:14" ht="15.75" customHeight="1">
      <c r="A44" s="29">
        <v>11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3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hidden="1" customHeight="1">
      <c r="A46" s="29"/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4">SUM(F46*G46/1000)</f>
        <v>1.87141248</v>
      </c>
      <c r="I46" s="12">
        <v>0</v>
      </c>
      <c r="J46" s="23"/>
      <c r="L46" s="18"/>
      <c r="M46" s="19"/>
      <c r="N46" s="20"/>
    </row>
    <row r="47" spans="1:14" ht="15.75" hidden="1" customHeight="1">
      <c r="A47" s="29"/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4"/>
        <v>0.16353744000000001</v>
      </c>
      <c r="I47" s="12">
        <v>0</v>
      </c>
      <c r="J47" s="23"/>
      <c r="L47" s="18"/>
      <c r="M47" s="19"/>
      <c r="N47" s="20"/>
    </row>
    <row r="48" spans="1:14" ht="15.75" hidden="1" customHeight="1">
      <c r="A48" s="29"/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4"/>
        <v>5.2632047223999994</v>
      </c>
      <c r="I48" s="12">
        <v>0</v>
      </c>
      <c r="J48" s="23"/>
      <c r="L48" s="18"/>
      <c r="M48" s="19"/>
      <c r="N48" s="20"/>
    </row>
    <row r="49" spans="1:14" ht="15.75" hidden="1" customHeight="1">
      <c r="A49" s="29"/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4"/>
        <v>2.8068728447999995</v>
      </c>
      <c r="I49" s="12">
        <v>0</v>
      </c>
      <c r="J49" s="23"/>
      <c r="L49" s="18"/>
      <c r="M49" s="19"/>
      <c r="N49" s="20"/>
    </row>
    <row r="50" spans="1:14" ht="15.75" customHeight="1">
      <c r="A50" s="29">
        <v>12</v>
      </c>
      <c r="B50" s="65" t="s">
        <v>58</v>
      </c>
      <c r="C50" s="66" t="s">
        <v>112</v>
      </c>
      <c r="D50" s="65" t="s">
        <v>188</v>
      </c>
      <c r="E50" s="67">
        <v>1015.4</v>
      </c>
      <c r="F50" s="68">
        <f>SUM(E50*5/1000)</f>
        <v>5.077</v>
      </c>
      <c r="G50" s="12">
        <v>1297.28</v>
      </c>
      <c r="H50" s="69">
        <f t="shared" si="4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hidden="1" customHeight="1">
      <c r="A51" s="29"/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4"/>
        <v>2.634516224</v>
      </c>
      <c r="I51" s="12">
        <v>0</v>
      </c>
      <c r="J51" s="23"/>
      <c r="L51" s="18"/>
      <c r="M51" s="19"/>
      <c r="N51" s="20"/>
    </row>
    <row r="52" spans="1:14" ht="31.5" hidden="1" customHeight="1">
      <c r="A52" s="29"/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4"/>
        <v>1.7513339999999997</v>
      </c>
      <c r="I52" s="12">
        <v>0</v>
      </c>
      <c r="J52" s="23"/>
      <c r="L52" s="18"/>
      <c r="M52" s="19"/>
      <c r="N52" s="20"/>
    </row>
    <row r="53" spans="1:14" ht="15.75" hidden="1" customHeight="1">
      <c r="A53" s="29"/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4"/>
        <v>0.12084260000000001</v>
      </c>
      <c r="I53" s="12">
        <v>0</v>
      </c>
      <c r="J53" s="23"/>
      <c r="L53" s="18"/>
      <c r="M53" s="19"/>
      <c r="N53" s="20"/>
    </row>
    <row r="54" spans="1:14" ht="15.75" customHeight="1">
      <c r="A54" s="29">
        <v>13</v>
      </c>
      <c r="B54" s="65" t="s">
        <v>138</v>
      </c>
      <c r="C54" s="66" t="s">
        <v>97</v>
      </c>
      <c r="D54" s="65" t="s">
        <v>73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customHeight="1">
      <c r="A55" s="29">
        <v>14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4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165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customHeight="1">
      <c r="A58" s="29">
        <v>15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customHeight="1">
      <c r="A59" s="29">
        <v>16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customHeight="1">
      <c r="A61" s="29">
        <v>17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18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hidden="1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hidden="1" customHeight="1">
      <c r="A66" s="29"/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5">SUM(F66*G66/1000)</f>
        <v>2.3774999999999999</v>
      </c>
      <c r="I66" s="12">
        <v>0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5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5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5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5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5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5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5"/>
        <v>0.2666</v>
      </c>
      <c r="I73" s="12">
        <v>0</v>
      </c>
    </row>
    <row r="74" spans="1:21" ht="15.75" hidden="1" customHeight="1">
      <c r="A74" s="29"/>
      <c r="B74" s="59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21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5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v>0</v>
      </c>
    </row>
    <row r="77" spans="1:21" ht="15.75" hidden="1" customHeight="1">
      <c r="A77" s="29"/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v>0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>
        <v>22</v>
      </c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5"/>
        <v>2.4816780000000005</v>
      </c>
      <c r="I79" s="12">
        <f>G79*F79</f>
        <v>2481.6780000000003</v>
      </c>
    </row>
    <row r="80" spans="1:21" ht="15.75" customHeight="1">
      <c r="A80" s="29"/>
      <c r="B80" s="59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customHeight="1">
      <c r="A81" s="92">
        <v>19</v>
      </c>
      <c r="B81" s="74" t="s">
        <v>128</v>
      </c>
      <c r="C81" s="93"/>
      <c r="D81" s="94"/>
      <c r="E81" s="61"/>
      <c r="F81" s="86">
        <v>1</v>
      </c>
      <c r="G81" s="109">
        <v>30238.2</v>
      </c>
      <c r="H81" s="95">
        <f>G81*F81/1000</f>
        <v>30.238199999999999</v>
      </c>
      <c r="I81" s="86">
        <f>G81</f>
        <v>30238.2</v>
      </c>
    </row>
    <row r="82" spans="1:9" ht="15.75" customHeight="1">
      <c r="A82" s="133" t="s">
        <v>166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20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21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SUM(I16+I17+I18+I25+I26+I37+I38+I39+I41+I42+I44+I50+I54+I55+I58+I59+I61+I64+I81+I83+I84)</f>
        <v>123364.17215428333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 ht="31.5" customHeight="1">
      <c r="A87" s="29">
        <v>22</v>
      </c>
      <c r="B87" s="84" t="s">
        <v>181</v>
      </c>
      <c r="C87" s="85" t="s">
        <v>146</v>
      </c>
      <c r="D87" s="44"/>
      <c r="E87" s="12"/>
      <c r="F87" s="12">
        <v>2</v>
      </c>
      <c r="G87" s="12">
        <v>54.17</v>
      </c>
      <c r="H87" s="12">
        <f t="shared" ref="H87:H91" si="6">G87*F87/1000</f>
        <v>0.10834000000000001</v>
      </c>
      <c r="I87" s="86">
        <f>G87</f>
        <v>54.17</v>
      </c>
    </row>
    <row r="88" spans="1:9" ht="15.75" customHeight="1">
      <c r="A88" s="29">
        <v>23</v>
      </c>
      <c r="B88" s="65" t="s">
        <v>182</v>
      </c>
      <c r="C88" s="66" t="s">
        <v>102</v>
      </c>
      <c r="D88" s="44"/>
      <c r="E88" s="12"/>
      <c r="F88" s="12">
        <f>2/100</f>
        <v>0.02</v>
      </c>
      <c r="G88" s="12">
        <v>2029.3</v>
      </c>
      <c r="H88" s="12">
        <f t="shared" si="6"/>
        <v>4.0585999999999997E-2</v>
      </c>
      <c r="I88" s="86">
        <f>G88*F88</f>
        <v>40.585999999999999</v>
      </c>
    </row>
    <row r="89" spans="1:9" ht="31.5" customHeight="1">
      <c r="A89" s="29">
        <v>24</v>
      </c>
      <c r="B89" s="84" t="s">
        <v>82</v>
      </c>
      <c r="C89" s="85" t="s">
        <v>97</v>
      </c>
      <c r="D89" s="13"/>
      <c r="E89" s="17"/>
      <c r="F89" s="12">
        <v>2</v>
      </c>
      <c r="G89" s="12">
        <v>83.36</v>
      </c>
      <c r="H89" s="12">
        <f t="shared" si="6"/>
        <v>0.16672000000000001</v>
      </c>
      <c r="I89" s="86">
        <f>G89*2</f>
        <v>166.72</v>
      </c>
    </row>
    <row r="90" spans="1:9" ht="15.75" customHeight="1">
      <c r="A90" s="29">
        <v>25</v>
      </c>
      <c r="B90" s="87" t="s">
        <v>157</v>
      </c>
      <c r="C90" s="88" t="s">
        <v>97</v>
      </c>
      <c r="D90" s="44"/>
      <c r="E90" s="12"/>
      <c r="F90" s="12">
        <v>1</v>
      </c>
      <c r="G90" s="12">
        <v>311.55</v>
      </c>
      <c r="H90" s="80">
        <f t="shared" si="6"/>
        <v>0.31154999999999999</v>
      </c>
      <c r="I90" s="86">
        <f>G90*1</f>
        <v>311.55</v>
      </c>
    </row>
    <row r="91" spans="1:9" ht="15.75" customHeight="1">
      <c r="A91" s="29">
        <v>26</v>
      </c>
      <c r="B91" s="65" t="s">
        <v>98</v>
      </c>
      <c r="C91" s="66" t="s">
        <v>97</v>
      </c>
      <c r="D91" s="13"/>
      <c r="E91" s="17"/>
      <c r="F91" s="12">
        <v>1</v>
      </c>
      <c r="G91" s="12">
        <v>185.08</v>
      </c>
      <c r="H91" s="80">
        <f t="shared" si="6"/>
        <v>0.18508000000000002</v>
      </c>
      <c r="I91" s="86">
        <f>G91</f>
        <v>185.08</v>
      </c>
    </row>
    <row r="92" spans="1:9">
      <c r="A92" s="29"/>
      <c r="B92" s="42" t="s">
        <v>52</v>
      </c>
      <c r="C92" s="38"/>
      <c r="D92" s="45"/>
      <c r="E92" s="38">
        <v>1</v>
      </c>
      <c r="F92" s="38"/>
      <c r="G92" s="38"/>
      <c r="H92" s="38"/>
      <c r="I92" s="32">
        <f>SUM(I87:I91)</f>
        <v>758.10600000000011</v>
      </c>
    </row>
    <row r="93" spans="1:9" ht="16.5" customHeight="1">
      <c r="A93" s="29"/>
      <c r="B93" s="44" t="s">
        <v>81</v>
      </c>
      <c r="C93" s="14"/>
      <c r="D93" s="14"/>
      <c r="E93" s="39"/>
      <c r="F93" s="39"/>
      <c r="G93" s="40"/>
      <c r="H93" s="40"/>
      <c r="I93" s="16">
        <v>0</v>
      </c>
    </row>
    <row r="94" spans="1:9" ht="16.5" customHeight="1">
      <c r="A94" s="46"/>
      <c r="B94" s="43" t="s">
        <v>180</v>
      </c>
      <c r="C94" s="33"/>
      <c r="D94" s="33"/>
      <c r="E94" s="33"/>
      <c r="F94" s="33"/>
      <c r="G94" s="33"/>
      <c r="H94" s="33"/>
      <c r="I94" s="41">
        <f>I85+I92</f>
        <v>124122.27815428333</v>
      </c>
    </row>
    <row r="95" spans="1:9" ht="15.75" customHeight="1">
      <c r="A95" s="146" t="s">
        <v>241</v>
      </c>
      <c r="B95" s="146"/>
      <c r="C95" s="146"/>
      <c r="D95" s="146"/>
      <c r="E95" s="146"/>
      <c r="F95" s="146"/>
      <c r="G95" s="146"/>
      <c r="H95" s="146"/>
      <c r="I95" s="146"/>
    </row>
    <row r="96" spans="1:9" ht="15.75" customHeight="1">
      <c r="A96" s="56"/>
      <c r="B96" s="141" t="s">
        <v>242</v>
      </c>
      <c r="C96" s="141"/>
      <c r="D96" s="141"/>
      <c r="E96" s="141"/>
      <c r="F96" s="141"/>
      <c r="G96" s="141"/>
      <c r="H96" s="64"/>
      <c r="I96" s="3"/>
    </row>
    <row r="97" spans="1:9" ht="15.75" customHeight="1">
      <c r="A97" s="54"/>
      <c r="B97" s="137" t="s">
        <v>6</v>
      </c>
      <c r="C97" s="137"/>
      <c r="D97" s="137"/>
      <c r="E97" s="137"/>
      <c r="F97" s="137"/>
      <c r="G97" s="137"/>
      <c r="H97" s="24"/>
      <c r="I97" s="5"/>
    </row>
    <row r="98" spans="1:9" ht="15.75" customHeight="1">
      <c r="A98" s="9"/>
      <c r="B98" s="9"/>
      <c r="C98" s="9"/>
      <c r="D98" s="9"/>
      <c r="E98" s="9"/>
      <c r="F98" s="9"/>
      <c r="G98" s="9"/>
      <c r="H98" s="9"/>
      <c r="I98" s="9"/>
    </row>
    <row r="99" spans="1:9" ht="15.75">
      <c r="A99" s="142" t="s">
        <v>7</v>
      </c>
      <c r="B99" s="142"/>
      <c r="C99" s="142"/>
      <c r="D99" s="142"/>
      <c r="E99" s="142"/>
      <c r="F99" s="142"/>
      <c r="G99" s="142"/>
      <c r="H99" s="142"/>
      <c r="I99" s="142"/>
    </row>
    <row r="100" spans="1:9" ht="15.75">
      <c r="A100" s="142" t="s">
        <v>8</v>
      </c>
      <c r="B100" s="142"/>
      <c r="C100" s="142"/>
      <c r="D100" s="142"/>
      <c r="E100" s="142"/>
      <c r="F100" s="142"/>
      <c r="G100" s="142"/>
      <c r="H100" s="142"/>
      <c r="I100" s="142"/>
    </row>
    <row r="101" spans="1:9" ht="15.75">
      <c r="A101" s="143" t="s">
        <v>63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5.75">
      <c r="A102" s="10"/>
    </row>
    <row r="103" spans="1:9" ht="15.75">
      <c r="A103" s="144" t="s">
        <v>9</v>
      </c>
      <c r="B103" s="144"/>
      <c r="C103" s="144"/>
      <c r="D103" s="144"/>
      <c r="E103" s="144"/>
      <c r="F103" s="144"/>
      <c r="G103" s="144"/>
      <c r="H103" s="144"/>
      <c r="I103" s="144"/>
    </row>
    <row r="104" spans="1:9" ht="15.75">
      <c r="A104" s="4"/>
    </row>
    <row r="105" spans="1:9" ht="15.75">
      <c r="B105" s="55" t="s">
        <v>10</v>
      </c>
      <c r="C105" s="136" t="s">
        <v>93</v>
      </c>
      <c r="D105" s="136"/>
      <c r="E105" s="136"/>
      <c r="F105" s="62"/>
      <c r="I105" s="58"/>
    </row>
    <row r="106" spans="1:9">
      <c r="A106" s="54"/>
      <c r="C106" s="137" t="s">
        <v>11</v>
      </c>
      <c r="D106" s="137"/>
      <c r="E106" s="137"/>
      <c r="F106" s="24"/>
      <c r="I106" s="57" t="s">
        <v>12</v>
      </c>
    </row>
    <row r="107" spans="1:9" ht="15.75">
      <c r="A107" s="25"/>
      <c r="C107" s="11"/>
      <c r="D107" s="11"/>
      <c r="G107" s="11"/>
      <c r="H107" s="11"/>
    </row>
    <row r="108" spans="1:9" ht="15.75">
      <c r="B108" s="55" t="s">
        <v>13</v>
      </c>
      <c r="C108" s="138"/>
      <c r="D108" s="138"/>
      <c r="E108" s="138"/>
      <c r="F108" s="63"/>
      <c r="I108" s="58"/>
    </row>
    <row r="109" spans="1:9">
      <c r="A109" s="54"/>
      <c r="C109" s="139" t="s">
        <v>11</v>
      </c>
      <c r="D109" s="139"/>
      <c r="E109" s="139"/>
      <c r="F109" s="54"/>
      <c r="I109" s="57" t="s">
        <v>12</v>
      </c>
    </row>
    <row r="110" spans="1:9" ht="15.75">
      <c r="A110" s="4" t="s">
        <v>14</v>
      </c>
    </row>
    <row r="111" spans="1:9">
      <c r="A111" s="140" t="s">
        <v>15</v>
      </c>
      <c r="B111" s="140"/>
      <c r="C111" s="140"/>
      <c r="D111" s="140"/>
      <c r="E111" s="140"/>
      <c r="F111" s="140"/>
      <c r="G111" s="140"/>
      <c r="H111" s="140"/>
      <c r="I111" s="140"/>
    </row>
    <row r="112" spans="1:9" ht="45" customHeight="1">
      <c r="A112" s="129" t="s">
        <v>16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30" customHeight="1">
      <c r="A113" s="129" t="s">
        <v>17</v>
      </c>
      <c r="B113" s="129"/>
      <c r="C113" s="129"/>
      <c r="D113" s="129"/>
      <c r="E113" s="129"/>
      <c r="F113" s="129"/>
      <c r="G113" s="129"/>
      <c r="H113" s="129"/>
      <c r="I113" s="129"/>
    </row>
    <row r="114" spans="1:9" ht="30" customHeight="1">
      <c r="A114" s="129" t="s">
        <v>21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15" customHeight="1">
      <c r="A115" s="129" t="s">
        <v>20</v>
      </c>
      <c r="B115" s="129"/>
      <c r="C115" s="129"/>
      <c r="D115" s="129"/>
      <c r="E115" s="129"/>
      <c r="F115" s="129"/>
      <c r="G115" s="129"/>
      <c r="H115" s="129"/>
      <c r="I115" s="129"/>
    </row>
  </sheetData>
  <autoFilter ref="I12:I67"/>
  <mergeCells count="29">
    <mergeCell ref="A14:I14"/>
    <mergeCell ref="A3:I3"/>
    <mergeCell ref="A4:I4"/>
    <mergeCell ref="A5:I5"/>
    <mergeCell ref="A8:I8"/>
    <mergeCell ref="A10:I10"/>
    <mergeCell ref="A101:I101"/>
    <mergeCell ref="A103:I103"/>
    <mergeCell ref="A15:I15"/>
    <mergeCell ref="A27:I27"/>
    <mergeCell ref="R71:U71"/>
    <mergeCell ref="A95:I95"/>
    <mergeCell ref="A86:I86"/>
    <mergeCell ref="A113:I113"/>
    <mergeCell ref="A114:I114"/>
    <mergeCell ref="A115:I115"/>
    <mergeCell ref="A45:I45"/>
    <mergeCell ref="A56:I56"/>
    <mergeCell ref="A82:I82"/>
    <mergeCell ref="C105:E105"/>
    <mergeCell ref="C106:E106"/>
    <mergeCell ref="C108:E108"/>
    <mergeCell ref="C109:E109"/>
    <mergeCell ref="A111:I111"/>
    <mergeCell ref="A112:I112"/>
    <mergeCell ref="B96:G96"/>
    <mergeCell ref="B97:G97"/>
    <mergeCell ref="A99:I99"/>
    <mergeCell ref="A100:I10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U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177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223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43039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v>0</v>
      </c>
      <c r="J19" s="22"/>
      <c r="K19" s="8"/>
      <c r="L19" s="8"/>
      <c r="M19" s="8"/>
    </row>
    <row r="20" spans="1:13" ht="15.75" hidden="1" customHeight="1">
      <c r="A20" s="29"/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v>0</v>
      </c>
      <c r="J20" s="22"/>
      <c r="K20" s="8"/>
      <c r="L20" s="8"/>
      <c r="M20" s="8"/>
    </row>
    <row r="21" spans="1:13" ht="15.75" hidden="1" customHeight="1">
      <c r="A21" s="29"/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v>0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v>0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v>0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v>0</v>
      </c>
      <c r="J24" s="22"/>
      <c r="K24" s="8"/>
      <c r="L24" s="8"/>
      <c r="M24" s="8"/>
    </row>
    <row r="25" spans="1:13" ht="15.75" customHeight="1">
      <c r="A25" s="29">
        <v>4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5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15.75" customHeight="1">
      <c r="A29" s="29">
        <v>6</v>
      </c>
      <c r="B29" s="65" t="s">
        <v>111</v>
      </c>
      <c r="C29" s="66" t="s">
        <v>148</v>
      </c>
      <c r="D29" s="65" t="s">
        <v>228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1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customHeight="1">
      <c r="A30" s="29">
        <v>7</v>
      </c>
      <c r="B30" s="65" t="s">
        <v>162</v>
      </c>
      <c r="C30" s="66" t="s">
        <v>112</v>
      </c>
      <c r="D30" s="65" t="s">
        <v>229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1"/>
        <v>2.5216468991999998</v>
      </c>
      <c r="I30" s="12">
        <f t="shared" ref="I30:I33" si="2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1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customHeight="1">
      <c r="A32" s="29">
        <v>8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2"/>
        <v>2157.3829999999998</v>
      </c>
      <c r="J32" s="22"/>
      <c r="K32" s="8"/>
      <c r="L32" s="8"/>
      <c r="M32" s="8"/>
    </row>
    <row r="33" spans="1:14" ht="15.75" customHeight="1">
      <c r="A33" s="29">
        <v>9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2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1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1"/>
        <v>2.2726599999999997</v>
      </c>
      <c r="I35" s="12">
        <v>0</v>
      </c>
      <c r="J35" s="23"/>
    </row>
    <row r="36" spans="1:14" ht="15.75" hidden="1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hidden="1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3">SUM(F37*G37/1000)</f>
        <v>13.060799999999999</v>
      </c>
      <c r="I37" s="12">
        <f>F37/6*G37</f>
        <v>2176.7999999999997</v>
      </c>
      <c r="J37" s="23"/>
    </row>
    <row r="38" spans="1:14" ht="15.75" hidden="1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hidden="1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hidden="1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3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hidden="1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3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hidden="1" customHeight="1">
      <c r="A43" s="29">
        <v>11</v>
      </c>
      <c r="B43" s="65" t="s">
        <v>119</v>
      </c>
      <c r="C43" s="66" t="s">
        <v>112</v>
      </c>
      <c r="D43" s="65" t="s">
        <v>71</v>
      </c>
      <c r="E43" s="68">
        <v>116.93</v>
      </c>
      <c r="F43" s="68">
        <f>SUM(E43*45/1000)</f>
        <v>5.2618500000000008</v>
      </c>
      <c r="G43" s="68">
        <v>458.28</v>
      </c>
      <c r="H43" s="69">
        <f t="shared" si="3"/>
        <v>2.4114006180000001</v>
      </c>
      <c r="I43" s="12">
        <f>F43/6*G43</f>
        <v>401.90010300000006</v>
      </c>
      <c r="J43" s="23"/>
      <c r="L43" s="18"/>
      <c r="M43" s="19"/>
      <c r="N43" s="20"/>
    </row>
    <row r="44" spans="1:14" ht="15.75" hidden="1" customHeight="1">
      <c r="A44" s="29">
        <v>12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3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hidden="1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hidden="1" customHeight="1">
      <c r="A46" s="29"/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4">SUM(F46*G46/1000)</f>
        <v>1.87141248</v>
      </c>
      <c r="I46" s="12">
        <v>0</v>
      </c>
      <c r="J46" s="23"/>
      <c r="L46" s="18"/>
      <c r="M46" s="19"/>
      <c r="N46" s="20"/>
    </row>
    <row r="47" spans="1:14" ht="15.75" hidden="1" customHeight="1">
      <c r="A47" s="29"/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4"/>
        <v>0.16353744000000001</v>
      </c>
      <c r="I47" s="12">
        <v>0</v>
      </c>
      <c r="J47" s="23"/>
      <c r="L47" s="18"/>
      <c r="M47" s="19"/>
      <c r="N47" s="20"/>
    </row>
    <row r="48" spans="1:14" ht="15.75" hidden="1" customHeight="1">
      <c r="A48" s="29"/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4"/>
        <v>5.2632047223999994</v>
      </c>
      <c r="I48" s="12">
        <v>0</v>
      </c>
      <c r="J48" s="23"/>
      <c r="L48" s="18"/>
      <c r="M48" s="19"/>
      <c r="N48" s="20"/>
    </row>
    <row r="49" spans="1:14" ht="15.75" hidden="1" customHeight="1">
      <c r="A49" s="29"/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4"/>
        <v>2.8068728447999995</v>
      </c>
      <c r="I49" s="12">
        <v>0</v>
      </c>
      <c r="J49" s="23"/>
      <c r="L49" s="18"/>
      <c r="M49" s="19"/>
      <c r="N49" s="20"/>
    </row>
    <row r="50" spans="1:14" ht="31.5" hidden="1" customHeight="1">
      <c r="A50" s="29">
        <v>13</v>
      </c>
      <c r="B50" s="65" t="s">
        <v>58</v>
      </c>
      <c r="C50" s="66" t="s">
        <v>112</v>
      </c>
      <c r="D50" s="65" t="s">
        <v>164</v>
      </c>
      <c r="E50" s="67">
        <v>1015.4</v>
      </c>
      <c r="F50" s="68">
        <f>SUM(E50*5/1000)</f>
        <v>5.077</v>
      </c>
      <c r="G50" s="12">
        <v>1297.28</v>
      </c>
      <c r="H50" s="69">
        <f t="shared" si="4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hidden="1" customHeight="1">
      <c r="A51" s="29"/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4"/>
        <v>2.634516224</v>
      </c>
      <c r="I51" s="12">
        <v>0</v>
      </c>
      <c r="J51" s="23"/>
      <c r="L51" s="18"/>
      <c r="M51" s="19"/>
      <c r="N51" s="20"/>
    </row>
    <row r="52" spans="1:14" ht="31.5" hidden="1" customHeight="1">
      <c r="A52" s="29"/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4"/>
        <v>1.7513339999999997</v>
      </c>
      <c r="I52" s="12">
        <v>0</v>
      </c>
      <c r="J52" s="23"/>
      <c r="L52" s="18"/>
      <c r="M52" s="19"/>
      <c r="N52" s="20"/>
    </row>
    <row r="53" spans="1:14" ht="15.75" hidden="1" customHeight="1">
      <c r="A53" s="29"/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4"/>
        <v>0.12084260000000001</v>
      </c>
      <c r="I53" s="12">
        <v>0</v>
      </c>
      <c r="J53" s="23"/>
      <c r="L53" s="18"/>
      <c r="M53" s="19"/>
      <c r="N53" s="20"/>
    </row>
    <row r="54" spans="1:14" ht="15.75" hidden="1" customHeight="1">
      <c r="A54" s="29">
        <v>14</v>
      </c>
      <c r="B54" s="65" t="s">
        <v>138</v>
      </c>
      <c r="C54" s="66" t="s">
        <v>97</v>
      </c>
      <c r="D54" s="65" t="s">
        <v>73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hidden="1" customHeight="1">
      <c r="A55" s="29">
        <v>15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4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172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hidden="1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hidden="1" customHeight="1">
      <c r="A58" s="29">
        <v>16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hidden="1" customHeight="1">
      <c r="A59" s="29">
        <v>17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hidden="1" customHeight="1">
      <c r="A61" s="29">
        <v>19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10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customHeight="1">
      <c r="A66" s="29">
        <v>11</v>
      </c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5">SUM(F66*G66/1000)</f>
        <v>2.3774999999999999</v>
      </c>
      <c r="I66" s="12">
        <f>G66*13</f>
        <v>3090.75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5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5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5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5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5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5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5"/>
        <v>0.2666</v>
      </c>
      <c r="I73" s="12">
        <v>0</v>
      </c>
    </row>
    <row r="74" spans="1:21" ht="15.75" hidden="1" customHeight="1">
      <c r="A74" s="29"/>
      <c r="B74" s="59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21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5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v>0</v>
      </c>
    </row>
    <row r="77" spans="1:21" ht="15.75" hidden="1" customHeight="1">
      <c r="A77" s="29">
        <v>12</v>
      </c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f>G77</f>
        <v>383.25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>
        <v>22</v>
      </c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5"/>
        <v>2.4816780000000005</v>
      </c>
      <c r="I79" s="12">
        <f>G79*F79</f>
        <v>2481.6780000000003</v>
      </c>
    </row>
    <row r="80" spans="1:21" ht="15.75" hidden="1" customHeight="1">
      <c r="A80" s="29"/>
      <c r="B80" s="59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23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customHeight="1">
      <c r="A82" s="133" t="s">
        <v>173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12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13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SUM(I16+I17+I18+I25+I26+I29+I30+I32+I33+I64+I66+I83+I84)</f>
        <v>59052.024170200006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 ht="31.5" customHeight="1">
      <c r="A87" s="29">
        <v>14</v>
      </c>
      <c r="B87" s="84" t="s">
        <v>181</v>
      </c>
      <c r="C87" s="85" t="s">
        <v>146</v>
      </c>
      <c r="D87" s="48"/>
      <c r="E87" s="34"/>
      <c r="F87" s="34">
        <v>3</v>
      </c>
      <c r="G87" s="34">
        <v>54.17</v>
      </c>
      <c r="H87" s="34">
        <f t="shared" ref="H87" si="6">G87*F87/1000</f>
        <v>0.16250999999999999</v>
      </c>
      <c r="I87" s="86">
        <f>G87</f>
        <v>54.17</v>
      </c>
    </row>
    <row r="88" spans="1:9" ht="15.75" customHeight="1">
      <c r="A88" s="29">
        <v>15</v>
      </c>
      <c r="B88" s="84" t="s">
        <v>200</v>
      </c>
      <c r="C88" s="88" t="s">
        <v>201</v>
      </c>
      <c r="D88" s="48"/>
      <c r="E88" s="34"/>
      <c r="F88" s="34">
        <v>2</v>
      </c>
      <c r="G88" s="34">
        <v>294.45</v>
      </c>
      <c r="H88" s="110">
        <f>G88*F88/1000</f>
        <v>0.58889999999999998</v>
      </c>
      <c r="I88" s="86">
        <f>G88</f>
        <v>294.45</v>
      </c>
    </row>
    <row r="89" spans="1:9" ht="31.5" customHeight="1">
      <c r="A89" s="29">
        <v>16</v>
      </c>
      <c r="B89" s="84" t="s">
        <v>92</v>
      </c>
      <c r="C89" s="85" t="s">
        <v>152</v>
      </c>
      <c r="D89" s="35"/>
      <c r="E89" s="16"/>
      <c r="F89" s="34">
        <v>11</v>
      </c>
      <c r="G89" s="34">
        <v>589.84</v>
      </c>
      <c r="H89" s="110">
        <f>G89*F89/1000</f>
        <v>6.4882400000000011</v>
      </c>
      <c r="I89" s="86">
        <f>G89*(1+2+3)</f>
        <v>3539.04</v>
      </c>
    </row>
    <row r="90" spans="1:9" ht="15.75" customHeight="1">
      <c r="A90" s="29">
        <v>17</v>
      </c>
      <c r="B90" s="84" t="s">
        <v>230</v>
      </c>
      <c r="C90" s="85" t="s">
        <v>97</v>
      </c>
      <c r="D90" s="48"/>
      <c r="E90" s="34"/>
      <c r="F90" s="34">
        <v>1</v>
      </c>
      <c r="G90" s="34">
        <v>206.54</v>
      </c>
      <c r="H90" s="110">
        <f>G90*F90/1000</f>
        <v>0.20654</v>
      </c>
      <c r="I90" s="86">
        <f>G90</f>
        <v>206.54</v>
      </c>
    </row>
    <row r="91" spans="1:9" ht="15.75" customHeight="1">
      <c r="A91" s="29">
        <v>18</v>
      </c>
      <c r="B91" s="84" t="s">
        <v>231</v>
      </c>
      <c r="C91" s="85" t="s">
        <v>178</v>
      </c>
      <c r="D91" s="47"/>
      <c r="E91" s="17"/>
      <c r="F91" s="12">
        <v>24</v>
      </c>
      <c r="G91" s="12">
        <f>103656/303</f>
        <v>342.0990099009901</v>
      </c>
      <c r="H91" s="110">
        <f>G91*F91/1000</f>
        <v>8.2103762376237626</v>
      </c>
      <c r="I91" s="86">
        <f>G91*24</f>
        <v>8210.3762376237628</v>
      </c>
    </row>
    <row r="92" spans="1:9">
      <c r="A92" s="29"/>
      <c r="B92" s="42" t="s">
        <v>52</v>
      </c>
      <c r="C92" s="38"/>
      <c r="D92" s="45"/>
      <c r="E92" s="38">
        <v>1</v>
      </c>
      <c r="F92" s="38"/>
      <c r="G92" s="38"/>
      <c r="H92" s="38"/>
      <c r="I92" s="32">
        <f>SUM(I87:I91)</f>
        <v>12304.576237623762</v>
      </c>
    </row>
    <row r="93" spans="1:9" ht="16.5" customHeight="1">
      <c r="A93" s="29"/>
      <c r="B93" s="44" t="s">
        <v>81</v>
      </c>
      <c r="C93" s="14"/>
      <c r="D93" s="14"/>
      <c r="E93" s="39"/>
      <c r="F93" s="39"/>
      <c r="G93" s="40"/>
      <c r="H93" s="40"/>
      <c r="I93" s="16">
        <v>0</v>
      </c>
    </row>
    <row r="94" spans="1:9" ht="16.5" customHeight="1">
      <c r="A94" s="46"/>
      <c r="B94" s="43" t="s">
        <v>53</v>
      </c>
      <c r="C94" s="33"/>
      <c r="D94" s="33"/>
      <c r="E94" s="33"/>
      <c r="F94" s="33"/>
      <c r="G94" s="33"/>
      <c r="H94" s="33"/>
      <c r="I94" s="41">
        <f>I85+I92</f>
        <v>71356.600407823775</v>
      </c>
    </row>
    <row r="95" spans="1:9" ht="15.75" customHeight="1">
      <c r="A95" s="146" t="s">
        <v>232</v>
      </c>
      <c r="B95" s="146"/>
      <c r="C95" s="146"/>
      <c r="D95" s="146"/>
      <c r="E95" s="146"/>
      <c r="F95" s="146"/>
      <c r="G95" s="146"/>
      <c r="H95" s="146"/>
      <c r="I95" s="146"/>
    </row>
    <row r="96" spans="1:9" ht="15.75" customHeight="1">
      <c r="A96" s="56"/>
      <c r="B96" s="141" t="s">
        <v>233</v>
      </c>
      <c r="C96" s="141"/>
      <c r="D96" s="141"/>
      <c r="E96" s="141"/>
      <c r="F96" s="141"/>
      <c r="G96" s="141"/>
      <c r="H96" s="64"/>
      <c r="I96" s="3"/>
    </row>
    <row r="97" spans="1:9" ht="15.75" customHeight="1">
      <c r="A97" s="54"/>
      <c r="B97" s="137" t="s">
        <v>6</v>
      </c>
      <c r="C97" s="137"/>
      <c r="D97" s="137"/>
      <c r="E97" s="137"/>
      <c r="F97" s="137"/>
      <c r="G97" s="137"/>
      <c r="H97" s="24"/>
      <c r="I97" s="5"/>
    </row>
    <row r="98" spans="1:9" ht="15.75" customHeight="1">
      <c r="A98" s="9"/>
      <c r="B98" s="9"/>
      <c r="C98" s="9"/>
      <c r="D98" s="9"/>
      <c r="E98" s="9"/>
      <c r="F98" s="9"/>
      <c r="G98" s="9"/>
      <c r="H98" s="9"/>
      <c r="I98" s="9"/>
    </row>
    <row r="99" spans="1:9" ht="15.75">
      <c r="A99" s="142" t="s">
        <v>7</v>
      </c>
      <c r="B99" s="142"/>
      <c r="C99" s="142"/>
      <c r="D99" s="142"/>
      <c r="E99" s="142"/>
      <c r="F99" s="142"/>
      <c r="G99" s="142"/>
      <c r="H99" s="142"/>
      <c r="I99" s="142"/>
    </row>
    <row r="100" spans="1:9" ht="15.75">
      <c r="A100" s="142" t="s">
        <v>8</v>
      </c>
      <c r="B100" s="142"/>
      <c r="C100" s="142"/>
      <c r="D100" s="142"/>
      <c r="E100" s="142"/>
      <c r="F100" s="142"/>
      <c r="G100" s="142"/>
      <c r="H100" s="142"/>
      <c r="I100" s="142"/>
    </row>
    <row r="101" spans="1:9" ht="15.75">
      <c r="A101" s="143" t="s">
        <v>63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5.75">
      <c r="A102" s="10"/>
    </row>
    <row r="103" spans="1:9" ht="15.75">
      <c r="A103" s="144" t="s">
        <v>9</v>
      </c>
      <c r="B103" s="144"/>
      <c r="C103" s="144"/>
      <c r="D103" s="144"/>
      <c r="E103" s="144"/>
      <c r="F103" s="144"/>
      <c r="G103" s="144"/>
      <c r="H103" s="144"/>
      <c r="I103" s="144"/>
    </row>
    <row r="104" spans="1:9" ht="15.75">
      <c r="A104" s="4"/>
    </row>
    <row r="105" spans="1:9" ht="15.75">
      <c r="B105" s="55" t="s">
        <v>10</v>
      </c>
      <c r="C105" s="156" t="s">
        <v>133</v>
      </c>
      <c r="D105" s="156"/>
      <c r="E105" s="156"/>
      <c r="F105" s="62"/>
      <c r="I105" s="58"/>
    </row>
    <row r="106" spans="1:9">
      <c r="A106" s="54"/>
      <c r="C106" s="137" t="s">
        <v>11</v>
      </c>
      <c r="D106" s="137"/>
      <c r="E106" s="137"/>
      <c r="F106" s="24"/>
      <c r="I106" s="57" t="s">
        <v>12</v>
      </c>
    </row>
    <row r="107" spans="1:9" ht="15.75">
      <c r="A107" s="25"/>
      <c r="C107" s="11"/>
      <c r="D107" s="11"/>
      <c r="G107" s="11"/>
      <c r="H107" s="11"/>
    </row>
    <row r="108" spans="1:9" ht="15.75">
      <c r="B108" s="55" t="s">
        <v>13</v>
      </c>
      <c r="C108" s="138"/>
      <c r="D108" s="138"/>
      <c r="E108" s="138"/>
      <c r="F108" s="63"/>
      <c r="I108" s="58"/>
    </row>
    <row r="109" spans="1:9">
      <c r="A109" s="54"/>
      <c r="C109" s="139" t="s">
        <v>11</v>
      </c>
      <c r="D109" s="139"/>
      <c r="E109" s="139"/>
      <c r="F109" s="54"/>
      <c r="I109" s="57" t="s">
        <v>12</v>
      </c>
    </row>
    <row r="110" spans="1:9" ht="15.75">
      <c r="A110" s="4" t="s">
        <v>14</v>
      </c>
    </row>
    <row r="111" spans="1:9">
      <c r="A111" s="140" t="s">
        <v>15</v>
      </c>
      <c r="B111" s="140"/>
      <c r="C111" s="140"/>
      <c r="D111" s="140"/>
      <c r="E111" s="140"/>
      <c r="F111" s="140"/>
      <c r="G111" s="140"/>
      <c r="H111" s="140"/>
      <c r="I111" s="140"/>
    </row>
    <row r="112" spans="1:9" ht="47.25" customHeight="1">
      <c r="A112" s="129" t="s">
        <v>16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31.5" customHeight="1">
      <c r="A113" s="129" t="s">
        <v>17</v>
      </c>
      <c r="B113" s="129"/>
      <c r="C113" s="129"/>
      <c r="D113" s="129"/>
      <c r="E113" s="129"/>
      <c r="F113" s="129"/>
      <c r="G113" s="129"/>
      <c r="H113" s="129"/>
      <c r="I113" s="129"/>
    </row>
    <row r="114" spans="1:9" ht="31.5" customHeight="1">
      <c r="A114" s="129" t="s">
        <v>21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15.75">
      <c r="A115" s="129" t="s">
        <v>20</v>
      </c>
      <c r="B115" s="129"/>
      <c r="C115" s="129"/>
      <c r="D115" s="129"/>
      <c r="E115" s="129"/>
      <c r="F115" s="129"/>
      <c r="G115" s="129"/>
      <c r="H115" s="129"/>
      <c r="I115" s="129"/>
    </row>
  </sheetData>
  <autoFilter ref="I12:I67"/>
  <mergeCells count="29">
    <mergeCell ref="R71:U71"/>
    <mergeCell ref="A82:I82"/>
    <mergeCell ref="A3:I3"/>
    <mergeCell ref="A4:I4"/>
    <mergeCell ref="A5:I5"/>
    <mergeCell ref="A8:I8"/>
    <mergeCell ref="A10:I10"/>
    <mergeCell ref="A14:I14"/>
    <mergeCell ref="A101:I101"/>
    <mergeCell ref="A15:I15"/>
    <mergeCell ref="A27:I27"/>
    <mergeCell ref="A45:I45"/>
    <mergeCell ref="A56:I56"/>
    <mergeCell ref="A95:I95"/>
    <mergeCell ref="B96:G96"/>
    <mergeCell ref="B97:G97"/>
    <mergeCell ref="A99:I99"/>
    <mergeCell ref="A100:I100"/>
    <mergeCell ref="A86:I86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U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254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255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119"/>
      <c r="C6" s="119"/>
      <c r="D6" s="119"/>
      <c r="E6" s="119"/>
      <c r="F6" s="119"/>
      <c r="G6" s="119"/>
      <c r="H6" s="119"/>
      <c r="I6" s="30">
        <v>43014</v>
      </c>
      <c r="J6" s="2"/>
      <c r="K6" s="2"/>
      <c r="L6" s="2"/>
      <c r="M6" s="2"/>
    </row>
    <row r="7" spans="1:13" ht="15.75">
      <c r="B7" s="120"/>
      <c r="C7" s="120"/>
      <c r="D7" s="12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256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hidden="1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idden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31.5" hidden="1" customHeight="1">
      <c r="A16" s="29">
        <v>1</v>
      </c>
      <c r="B16" s="65" t="s">
        <v>91</v>
      </c>
      <c r="C16" s="66" t="s">
        <v>102</v>
      </c>
      <c r="D16" s="65" t="s">
        <v>257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31.5" hidden="1" customHeight="1">
      <c r="A17" s="29">
        <v>2</v>
      </c>
      <c r="B17" s="65" t="s">
        <v>100</v>
      </c>
      <c r="C17" s="66" t="s">
        <v>102</v>
      </c>
      <c r="D17" s="65" t="s">
        <v>258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31.5" hidden="1" customHeight="1">
      <c r="A18" s="29">
        <v>3</v>
      </c>
      <c r="B18" s="65" t="s">
        <v>101</v>
      </c>
      <c r="C18" s="66" t="s">
        <v>102</v>
      </c>
      <c r="D18" s="65" t="s">
        <v>259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v>0</v>
      </c>
      <c r="J19" s="22"/>
      <c r="K19" s="8"/>
      <c r="L19" s="8"/>
      <c r="M19" s="8"/>
    </row>
    <row r="20" spans="1:13" ht="15.75" hidden="1" customHeight="1">
      <c r="A20" s="29"/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v>0</v>
      </c>
      <c r="J20" s="22"/>
      <c r="K20" s="8"/>
      <c r="L20" s="8"/>
      <c r="M20" s="8"/>
    </row>
    <row r="21" spans="1:13" ht="15.75" hidden="1" customHeight="1">
      <c r="A21" s="29"/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v>0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v>0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v>0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v>0</v>
      </c>
      <c r="J24" s="22"/>
      <c r="K24" s="8"/>
      <c r="L24" s="8"/>
      <c r="M24" s="8"/>
    </row>
    <row r="25" spans="1:13" ht="15.75" hidden="1" customHeight="1">
      <c r="A25" s="29">
        <v>4</v>
      </c>
      <c r="B25" s="65" t="s">
        <v>66</v>
      </c>
      <c r="C25" s="66" t="s">
        <v>33</v>
      </c>
      <c r="D25" s="65" t="s">
        <v>260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hidden="1" customHeight="1">
      <c r="A26" s="29">
        <v>5</v>
      </c>
      <c r="B26" s="73" t="s">
        <v>23</v>
      </c>
      <c r="C26" s="66" t="s">
        <v>24</v>
      </c>
      <c r="D26" s="73" t="s">
        <v>145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hidden="1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hidden="1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31.5" hidden="1" customHeight="1">
      <c r="A29" s="29">
        <v>6</v>
      </c>
      <c r="B29" s="65" t="s">
        <v>111</v>
      </c>
      <c r="C29" s="66" t="s">
        <v>148</v>
      </c>
      <c r="D29" s="65" t="s">
        <v>149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1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hidden="1" customHeight="1">
      <c r="A30" s="29">
        <v>7</v>
      </c>
      <c r="B30" s="65" t="s">
        <v>162</v>
      </c>
      <c r="C30" s="66" t="s">
        <v>112</v>
      </c>
      <c r="D30" s="65" t="s">
        <v>150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1"/>
        <v>2.5216468991999998</v>
      </c>
      <c r="I30" s="12">
        <f t="shared" ref="I30:I33" si="2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1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hidden="1" customHeight="1">
      <c r="A32" s="29">
        <v>8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2"/>
        <v>2157.3829999999998</v>
      </c>
      <c r="J32" s="22"/>
      <c r="K32" s="8"/>
      <c r="L32" s="8"/>
      <c r="M32" s="8"/>
    </row>
    <row r="33" spans="1:14" ht="15.75" hidden="1" customHeight="1">
      <c r="A33" s="29">
        <v>9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2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1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1"/>
        <v>2.2726599999999997</v>
      </c>
      <c r="I35" s="12">
        <v>0</v>
      </c>
      <c r="J35" s="23"/>
    </row>
    <row r="36" spans="1:14" ht="15.75" hidden="1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hidden="1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3">SUM(F37*G37/1000)</f>
        <v>13.060799999999999</v>
      </c>
      <c r="I37" s="12">
        <f>F37/6*G37</f>
        <v>2176.7999999999997</v>
      </c>
      <c r="J37" s="23"/>
    </row>
    <row r="38" spans="1:14" ht="15.75" hidden="1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hidden="1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hidden="1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3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hidden="1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3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hidden="1" customHeight="1">
      <c r="A43" s="29">
        <v>11</v>
      </c>
      <c r="B43" s="65" t="s">
        <v>119</v>
      </c>
      <c r="C43" s="66" t="s">
        <v>112</v>
      </c>
      <c r="D43" s="65" t="s">
        <v>71</v>
      </c>
      <c r="E43" s="68">
        <v>116.93</v>
      </c>
      <c r="F43" s="68">
        <f>SUM(E43*45/1000)</f>
        <v>5.2618500000000008</v>
      </c>
      <c r="G43" s="68">
        <v>458.28</v>
      </c>
      <c r="H43" s="69">
        <f t="shared" si="3"/>
        <v>2.4114006180000001</v>
      </c>
      <c r="I43" s="12">
        <f>F43/6*G43</f>
        <v>401.90010300000006</v>
      </c>
      <c r="J43" s="23"/>
      <c r="L43" s="18"/>
      <c r="M43" s="19"/>
      <c r="N43" s="20"/>
    </row>
    <row r="44" spans="1:14" ht="15.75" hidden="1" customHeight="1">
      <c r="A44" s="29">
        <v>12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3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hidden="1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hidden="1" customHeight="1">
      <c r="A46" s="29"/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4">SUM(F46*G46/1000)</f>
        <v>1.87141248</v>
      </c>
      <c r="I46" s="12">
        <v>0</v>
      </c>
      <c r="J46" s="23"/>
      <c r="L46" s="18"/>
      <c r="M46" s="19"/>
      <c r="N46" s="20"/>
    </row>
    <row r="47" spans="1:14" ht="15.75" hidden="1" customHeight="1">
      <c r="A47" s="29"/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4"/>
        <v>0.16353744000000001</v>
      </c>
      <c r="I47" s="12">
        <v>0</v>
      </c>
      <c r="J47" s="23"/>
      <c r="L47" s="18"/>
      <c r="M47" s="19"/>
      <c r="N47" s="20"/>
    </row>
    <row r="48" spans="1:14" ht="15.75" hidden="1" customHeight="1">
      <c r="A48" s="29"/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4"/>
        <v>5.2632047223999994</v>
      </c>
      <c r="I48" s="12">
        <v>0</v>
      </c>
      <c r="J48" s="23"/>
      <c r="L48" s="18"/>
      <c r="M48" s="19"/>
      <c r="N48" s="20"/>
    </row>
    <row r="49" spans="1:14" ht="15.75" hidden="1" customHeight="1">
      <c r="A49" s="29"/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4"/>
        <v>2.8068728447999995</v>
      </c>
      <c r="I49" s="12">
        <v>0</v>
      </c>
      <c r="J49" s="23"/>
      <c r="L49" s="18"/>
      <c r="M49" s="19"/>
      <c r="N49" s="20"/>
    </row>
    <row r="50" spans="1:14" ht="31.5" hidden="1" customHeight="1">
      <c r="A50" s="29">
        <v>13</v>
      </c>
      <c r="B50" s="65" t="s">
        <v>58</v>
      </c>
      <c r="C50" s="66" t="s">
        <v>112</v>
      </c>
      <c r="D50" s="65" t="s">
        <v>164</v>
      </c>
      <c r="E50" s="67">
        <v>1015.4</v>
      </c>
      <c r="F50" s="68">
        <f>SUM(E50*5/1000)</f>
        <v>5.077</v>
      </c>
      <c r="G50" s="12">
        <v>1297.28</v>
      </c>
      <c r="H50" s="69">
        <f t="shared" si="4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hidden="1" customHeight="1">
      <c r="A51" s="29"/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4"/>
        <v>2.634516224</v>
      </c>
      <c r="I51" s="12">
        <v>0</v>
      </c>
      <c r="J51" s="23"/>
      <c r="L51" s="18"/>
      <c r="M51" s="19"/>
      <c r="N51" s="20"/>
    </row>
    <row r="52" spans="1:14" ht="31.5" hidden="1" customHeight="1">
      <c r="A52" s="29"/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4"/>
        <v>1.7513339999999997</v>
      </c>
      <c r="I52" s="12">
        <v>0</v>
      </c>
      <c r="J52" s="23"/>
      <c r="L52" s="18"/>
      <c r="M52" s="19"/>
      <c r="N52" s="20"/>
    </row>
    <row r="53" spans="1:14" ht="15.75" hidden="1" customHeight="1">
      <c r="A53" s="29"/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4"/>
        <v>0.12084260000000001</v>
      </c>
      <c r="I53" s="12">
        <v>0</v>
      </c>
      <c r="J53" s="23"/>
      <c r="L53" s="18"/>
      <c r="M53" s="19"/>
      <c r="N53" s="20"/>
    </row>
    <row r="54" spans="1:14" ht="15.75" hidden="1" customHeight="1">
      <c r="A54" s="29">
        <v>14</v>
      </c>
      <c r="B54" s="65" t="s">
        <v>138</v>
      </c>
      <c r="C54" s="66" t="s">
        <v>97</v>
      </c>
      <c r="D54" s="65" t="s">
        <v>73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hidden="1" customHeight="1">
      <c r="A55" s="29">
        <v>15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4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hidden="1" customHeight="1">
      <c r="A56" s="130" t="s">
        <v>172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hidden="1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hidden="1" customHeight="1">
      <c r="A58" s="29">
        <v>16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hidden="1" customHeight="1">
      <c r="A59" s="29">
        <v>17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hidden="1" customHeight="1">
      <c r="A61" s="29">
        <v>19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hidden="1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hidden="1" customHeight="1">
      <c r="A64" s="29">
        <v>10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hidden="1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hidden="1" customHeight="1">
      <c r="A66" s="29">
        <v>11</v>
      </c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5">SUM(F66*G66/1000)</f>
        <v>2.3774999999999999</v>
      </c>
      <c r="I66" s="12">
        <f>G66*6</f>
        <v>1426.5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5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5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5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5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5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5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5"/>
        <v>0.2666</v>
      </c>
      <c r="I73" s="12">
        <v>0</v>
      </c>
    </row>
    <row r="74" spans="1:21" ht="15.75" hidden="1" customHeight="1">
      <c r="A74" s="29"/>
      <c r="B74" s="118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21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5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v>0</v>
      </c>
    </row>
    <row r="77" spans="1:21" ht="15.75" hidden="1" customHeight="1">
      <c r="A77" s="29">
        <v>12</v>
      </c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f>G77</f>
        <v>383.25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>
        <v>22</v>
      </c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5"/>
        <v>2.4816780000000005</v>
      </c>
      <c r="I79" s="12">
        <f>G79*F79</f>
        <v>2481.6780000000003</v>
      </c>
    </row>
    <row r="80" spans="1:21" ht="15.75" hidden="1" customHeight="1">
      <c r="A80" s="29"/>
      <c r="B80" s="118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23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hidden="1" customHeight="1">
      <c r="A82" s="133" t="s">
        <v>173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hidden="1" customHeight="1">
      <c r="A83" s="96">
        <v>13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hidden="1" customHeight="1">
      <c r="A84" s="29">
        <v>14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hidden="1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SUM(I16+I17+I18+I25+I26+I29+I30+I32+I33+I64+I66+I77+I83+I84)</f>
        <v>57771.024170200006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 ht="15.75" customHeight="1">
      <c r="A87" s="29">
        <v>1</v>
      </c>
      <c r="B87" s="84" t="s">
        <v>261</v>
      </c>
      <c r="C87" s="85" t="s">
        <v>178</v>
      </c>
      <c r="D87" s="47">
        <v>24</v>
      </c>
      <c r="E87" s="17"/>
      <c r="F87" s="12">
        <v>16</v>
      </c>
      <c r="G87" s="12">
        <f>103656/303</f>
        <v>342.0990099009901</v>
      </c>
      <c r="H87" s="80">
        <f t="shared" ref="H87:H88" si="6">G87*F87/1000</f>
        <v>5.4735841584158411</v>
      </c>
      <c r="I87" s="12">
        <f>G87*D87</f>
        <v>8210.3762376237628</v>
      </c>
    </row>
    <row r="88" spans="1:9" ht="15.75" hidden="1" customHeight="1">
      <c r="A88" s="29">
        <v>16</v>
      </c>
      <c r="B88" s="84" t="s">
        <v>262</v>
      </c>
      <c r="C88" s="85" t="s">
        <v>263</v>
      </c>
      <c r="D88" s="13"/>
      <c r="E88" s="17"/>
      <c r="F88" s="12">
        <v>1.3333330000000001</v>
      </c>
      <c r="G88" s="12">
        <v>1501</v>
      </c>
      <c r="H88" s="80">
        <f t="shared" si="6"/>
        <v>2.0013328330000002</v>
      </c>
      <c r="I88" s="86">
        <f>G88*0.33333</f>
        <v>500.32833000000005</v>
      </c>
    </row>
    <row r="89" spans="1:9">
      <c r="A89" s="29"/>
      <c r="B89" s="42" t="s">
        <v>52</v>
      </c>
      <c r="C89" s="38"/>
      <c r="D89" s="45"/>
      <c r="E89" s="38">
        <v>1</v>
      </c>
      <c r="F89" s="38"/>
      <c r="G89" s="38"/>
      <c r="H89" s="38"/>
      <c r="I89" s="32">
        <f>SUM(I87)</f>
        <v>8210.3762376237628</v>
      </c>
    </row>
    <row r="90" spans="1:9" ht="16.5" customHeight="1">
      <c r="A90" s="29"/>
      <c r="B90" s="44" t="s">
        <v>81</v>
      </c>
      <c r="C90" s="14"/>
      <c r="D90" s="14"/>
      <c r="E90" s="39"/>
      <c r="F90" s="39"/>
      <c r="G90" s="40"/>
      <c r="H90" s="40"/>
      <c r="I90" s="16">
        <v>0</v>
      </c>
    </row>
    <row r="91" spans="1:9" ht="16.5" customHeight="1">
      <c r="A91" s="46"/>
      <c r="B91" s="43" t="s">
        <v>53</v>
      </c>
      <c r="C91" s="33"/>
      <c r="D91" s="33"/>
      <c r="E91" s="33"/>
      <c r="F91" s="33"/>
      <c r="G91" s="33"/>
      <c r="H91" s="33"/>
      <c r="I91" s="41">
        <f>I89</f>
        <v>8210.3762376237628</v>
      </c>
    </row>
    <row r="92" spans="1:9" ht="15.75" customHeight="1">
      <c r="A92" s="146" t="s">
        <v>264</v>
      </c>
      <c r="B92" s="146"/>
      <c r="C92" s="146"/>
      <c r="D92" s="146"/>
      <c r="E92" s="146"/>
      <c r="F92" s="146"/>
      <c r="G92" s="146"/>
      <c r="H92" s="146"/>
      <c r="I92" s="146"/>
    </row>
    <row r="93" spans="1:9" ht="15.75" customHeight="1">
      <c r="A93" s="102"/>
      <c r="B93" s="141" t="s">
        <v>265</v>
      </c>
      <c r="C93" s="141"/>
      <c r="D93" s="141"/>
      <c r="E93" s="141"/>
      <c r="F93" s="141"/>
      <c r="G93" s="141"/>
      <c r="H93" s="64"/>
      <c r="I93" s="3"/>
    </row>
    <row r="94" spans="1:9" ht="15.75" customHeight="1">
      <c r="A94" s="121"/>
      <c r="B94" s="137" t="s">
        <v>6</v>
      </c>
      <c r="C94" s="137"/>
      <c r="D94" s="137"/>
      <c r="E94" s="137"/>
      <c r="F94" s="137"/>
      <c r="G94" s="137"/>
      <c r="H94" s="24"/>
      <c r="I94" s="5"/>
    </row>
    <row r="95" spans="1:9" ht="15.75" customHeight="1">
      <c r="A95" s="9"/>
      <c r="B95" s="9"/>
      <c r="C95" s="9"/>
      <c r="D95" s="9"/>
      <c r="E95" s="9"/>
      <c r="F95" s="9"/>
      <c r="G95" s="9"/>
      <c r="H95" s="9"/>
      <c r="I95" s="9"/>
    </row>
    <row r="96" spans="1:9" ht="15.75">
      <c r="A96" s="142" t="s">
        <v>7</v>
      </c>
      <c r="B96" s="142"/>
      <c r="C96" s="142"/>
      <c r="D96" s="142"/>
      <c r="E96" s="142"/>
      <c r="F96" s="142"/>
      <c r="G96" s="142"/>
      <c r="H96" s="142"/>
      <c r="I96" s="142"/>
    </row>
    <row r="97" spans="1:9" ht="15.75">
      <c r="A97" s="142" t="s">
        <v>8</v>
      </c>
      <c r="B97" s="142"/>
      <c r="C97" s="142"/>
      <c r="D97" s="142"/>
      <c r="E97" s="142"/>
      <c r="F97" s="142"/>
      <c r="G97" s="142"/>
      <c r="H97" s="142"/>
      <c r="I97" s="142"/>
    </row>
    <row r="98" spans="1:9" ht="15.75">
      <c r="A98" s="143" t="s">
        <v>63</v>
      </c>
      <c r="B98" s="143"/>
      <c r="C98" s="143"/>
      <c r="D98" s="143"/>
      <c r="E98" s="143"/>
      <c r="F98" s="143"/>
      <c r="G98" s="143"/>
      <c r="H98" s="143"/>
      <c r="I98" s="143"/>
    </row>
    <row r="99" spans="1:9" ht="15.75">
      <c r="A99" s="10"/>
    </row>
    <row r="100" spans="1:9" ht="15.75">
      <c r="A100" s="144" t="s">
        <v>9</v>
      </c>
      <c r="B100" s="144"/>
      <c r="C100" s="144"/>
      <c r="D100" s="144"/>
      <c r="E100" s="144"/>
      <c r="F100" s="144"/>
      <c r="G100" s="144"/>
      <c r="H100" s="144"/>
      <c r="I100" s="144"/>
    </row>
    <row r="101" spans="1:9" ht="15.75">
      <c r="A101" s="4"/>
    </row>
    <row r="102" spans="1:9" ht="15.75">
      <c r="B102" s="120" t="s">
        <v>10</v>
      </c>
      <c r="C102" s="157" t="s">
        <v>93</v>
      </c>
      <c r="D102" s="157"/>
      <c r="E102" s="157"/>
      <c r="F102" s="62"/>
      <c r="I102" s="123"/>
    </row>
    <row r="103" spans="1:9">
      <c r="A103" s="121"/>
      <c r="C103" s="137" t="s">
        <v>11</v>
      </c>
      <c r="D103" s="137"/>
      <c r="E103" s="137"/>
      <c r="F103" s="24"/>
      <c r="I103" s="122" t="s">
        <v>12</v>
      </c>
    </row>
    <row r="104" spans="1:9" ht="15.75">
      <c r="A104" s="25"/>
      <c r="C104" s="11"/>
      <c r="D104" s="11"/>
      <c r="G104" s="11"/>
      <c r="H104" s="11"/>
    </row>
    <row r="105" spans="1:9" ht="15.75">
      <c r="B105" s="120" t="s">
        <v>13</v>
      </c>
      <c r="C105" s="138"/>
      <c r="D105" s="138"/>
      <c r="E105" s="138"/>
      <c r="F105" s="63"/>
      <c r="I105" s="123"/>
    </row>
    <row r="106" spans="1:9">
      <c r="A106" s="121"/>
      <c r="C106" s="139" t="s">
        <v>11</v>
      </c>
      <c r="D106" s="139"/>
      <c r="E106" s="139"/>
      <c r="F106" s="121"/>
      <c r="I106" s="122" t="s">
        <v>12</v>
      </c>
    </row>
    <row r="107" spans="1:9" ht="15.75">
      <c r="A107" s="4" t="s">
        <v>14</v>
      </c>
    </row>
    <row r="108" spans="1:9">
      <c r="A108" s="140" t="s">
        <v>15</v>
      </c>
      <c r="B108" s="140"/>
      <c r="C108" s="140"/>
      <c r="D108" s="140"/>
      <c r="E108" s="140"/>
      <c r="F108" s="140"/>
      <c r="G108" s="140"/>
      <c r="H108" s="140"/>
      <c r="I108" s="140"/>
    </row>
    <row r="109" spans="1:9" ht="47.25" customHeight="1">
      <c r="A109" s="129" t="s">
        <v>16</v>
      </c>
      <c r="B109" s="129"/>
      <c r="C109" s="129"/>
      <c r="D109" s="129"/>
      <c r="E109" s="129"/>
      <c r="F109" s="129"/>
      <c r="G109" s="129"/>
      <c r="H109" s="129"/>
      <c r="I109" s="129"/>
    </row>
    <row r="110" spans="1:9" ht="31.5" customHeight="1">
      <c r="A110" s="129" t="s">
        <v>17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31.5" customHeight="1">
      <c r="A111" s="129" t="s">
        <v>21</v>
      </c>
      <c r="B111" s="129"/>
      <c r="C111" s="129"/>
      <c r="D111" s="129"/>
      <c r="E111" s="129"/>
      <c r="F111" s="129"/>
      <c r="G111" s="129"/>
      <c r="H111" s="129"/>
      <c r="I111" s="129"/>
    </row>
    <row r="112" spans="1:9" ht="15.75">
      <c r="A112" s="129" t="s">
        <v>20</v>
      </c>
      <c r="B112" s="129"/>
      <c r="C112" s="129"/>
      <c r="D112" s="129"/>
      <c r="E112" s="129"/>
      <c r="F112" s="129"/>
      <c r="G112" s="129"/>
      <c r="H112" s="129"/>
      <c r="I112" s="129"/>
    </row>
  </sheetData>
  <autoFilter ref="I12:I67"/>
  <mergeCells count="29">
    <mergeCell ref="A108:I108"/>
    <mergeCell ref="A109:I109"/>
    <mergeCell ref="A110:I110"/>
    <mergeCell ref="A111:I111"/>
    <mergeCell ref="A112:I112"/>
    <mergeCell ref="A98:I98"/>
    <mergeCell ref="A100:I100"/>
    <mergeCell ref="C102:E102"/>
    <mergeCell ref="C103:E103"/>
    <mergeCell ref="C105:E105"/>
    <mergeCell ref="C106:E106"/>
    <mergeCell ref="A86:I86"/>
    <mergeCell ref="A92:I92"/>
    <mergeCell ref="B93:G93"/>
    <mergeCell ref="B94:G94"/>
    <mergeCell ref="A96:I96"/>
    <mergeCell ref="A97:I97"/>
    <mergeCell ref="A15:I15"/>
    <mergeCell ref="A27:I27"/>
    <mergeCell ref="A45:I45"/>
    <mergeCell ref="A56:I56"/>
    <mergeCell ref="R71:U71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U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234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235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104"/>
      <c r="C6" s="104"/>
      <c r="D6" s="104"/>
      <c r="E6" s="104"/>
      <c r="F6" s="104"/>
      <c r="G6" s="104"/>
      <c r="H6" s="104"/>
      <c r="I6" s="30">
        <v>43069</v>
      </c>
      <c r="J6" s="2"/>
      <c r="K6" s="2"/>
      <c r="L6" s="2"/>
      <c r="M6" s="2"/>
    </row>
    <row r="7" spans="1:13" ht="15.75">
      <c r="B7" s="105"/>
      <c r="C7" s="105"/>
      <c r="D7" s="10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v>0</v>
      </c>
      <c r="J19" s="22"/>
      <c r="K19" s="8"/>
      <c r="L19" s="8"/>
      <c r="M19" s="8"/>
    </row>
    <row r="20" spans="1:13" ht="15.75" hidden="1" customHeight="1">
      <c r="A20" s="29"/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v>0</v>
      </c>
      <c r="J20" s="22"/>
      <c r="K20" s="8"/>
      <c r="L20" s="8"/>
      <c r="M20" s="8"/>
    </row>
    <row r="21" spans="1:13" ht="15.75" hidden="1" customHeight="1">
      <c r="A21" s="29"/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v>0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v>0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v>0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v>0</v>
      </c>
      <c r="J24" s="22"/>
      <c r="K24" s="8"/>
      <c r="L24" s="8"/>
      <c r="M24" s="8"/>
    </row>
    <row r="25" spans="1:13" ht="15.75" customHeight="1">
      <c r="A25" s="29">
        <v>4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5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hidden="1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15.75" hidden="1" customHeight="1">
      <c r="A29" s="29">
        <v>6</v>
      </c>
      <c r="B29" s="65" t="s">
        <v>111</v>
      </c>
      <c r="C29" s="66" t="s">
        <v>148</v>
      </c>
      <c r="D29" s="65" t="s">
        <v>228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1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hidden="1" customHeight="1">
      <c r="A30" s="29">
        <v>7</v>
      </c>
      <c r="B30" s="65" t="s">
        <v>162</v>
      </c>
      <c r="C30" s="66" t="s">
        <v>112</v>
      </c>
      <c r="D30" s="65" t="s">
        <v>229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1"/>
        <v>2.5216468991999998</v>
      </c>
      <c r="I30" s="12">
        <f t="shared" ref="I30:I33" si="2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1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hidden="1" customHeight="1">
      <c r="A32" s="29">
        <v>8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2"/>
        <v>2157.3829999999998</v>
      </c>
      <c r="J32" s="22"/>
      <c r="K32" s="8"/>
      <c r="L32" s="8"/>
      <c r="M32" s="8"/>
    </row>
    <row r="33" spans="1:14" ht="15.75" hidden="1" customHeight="1">
      <c r="A33" s="29">
        <v>9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2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1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1"/>
        <v>2.2726599999999997</v>
      </c>
      <c r="I35" s="12">
        <v>0</v>
      </c>
      <c r="J35" s="23"/>
    </row>
    <row r="36" spans="1:14" ht="15.75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3">SUM(F37*G37/1000)</f>
        <v>13.060799999999999</v>
      </c>
      <c r="I37" s="12">
        <f>F37/6*G37</f>
        <v>2176.7999999999997</v>
      </c>
      <c r="J37" s="23"/>
    </row>
    <row r="38" spans="1:14" ht="15.75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3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3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hidden="1" customHeight="1">
      <c r="A43" s="29">
        <v>11</v>
      </c>
      <c r="B43" s="65" t="s">
        <v>119</v>
      </c>
      <c r="C43" s="66" t="s">
        <v>112</v>
      </c>
      <c r="D43" s="65" t="s">
        <v>71</v>
      </c>
      <c r="E43" s="68">
        <v>116.93</v>
      </c>
      <c r="F43" s="68">
        <f>SUM(E43*45/1000)</f>
        <v>5.2618500000000008</v>
      </c>
      <c r="G43" s="68">
        <v>458.28</v>
      </c>
      <c r="H43" s="69">
        <f t="shared" si="3"/>
        <v>2.4114006180000001</v>
      </c>
      <c r="I43" s="12">
        <f>F43/6*G43</f>
        <v>401.90010300000006</v>
      </c>
      <c r="J43" s="23"/>
      <c r="L43" s="18"/>
      <c r="M43" s="19"/>
      <c r="N43" s="20"/>
    </row>
    <row r="44" spans="1:14" ht="15.75" customHeight="1">
      <c r="A44" s="29">
        <v>11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3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hidden="1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hidden="1" customHeight="1">
      <c r="A46" s="29"/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4">SUM(F46*G46/1000)</f>
        <v>1.87141248</v>
      </c>
      <c r="I46" s="12">
        <v>0</v>
      </c>
      <c r="J46" s="23"/>
      <c r="L46" s="18"/>
      <c r="M46" s="19"/>
      <c r="N46" s="20"/>
    </row>
    <row r="47" spans="1:14" ht="15.75" hidden="1" customHeight="1">
      <c r="A47" s="29"/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4"/>
        <v>0.16353744000000001</v>
      </c>
      <c r="I47" s="12">
        <v>0</v>
      </c>
      <c r="J47" s="23"/>
      <c r="L47" s="18"/>
      <c r="M47" s="19"/>
      <c r="N47" s="20"/>
    </row>
    <row r="48" spans="1:14" ht="15.75" hidden="1" customHeight="1">
      <c r="A48" s="29"/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4"/>
        <v>5.2632047223999994</v>
      </c>
      <c r="I48" s="12">
        <v>0</v>
      </c>
      <c r="J48" s="23"/>
      <c r="L48" s="18"/>
      <c r="M48" s="19"/>
      <c r="N48" s="20"/>
    </row>
    <row r="49" spans="1:14" ht="15.75" hidden="1" customHeight="1">
      <c r="A49" s="29"/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4"/>
        <v>2.8068728447999995</v>
      </c>
      <c r="I49" s="12">
        <v>0</v>
      </c>
      <c r="J49" s="23"/>
      <c r="L49" s="18"/>
      <c r="M49" s="19"/>
      <c r="N49" s="20"/>
    </row>
    <row r="50" spans="1:14" ht="31.5" hidden="1" customHeight="1">
      <c r="A50" s="29">
        <v>13</v>
      </c>
      <c r="B50" s="65" t="s">
        <v>58</v>
      </c>
      <c r="C50" s="66" t="s">
        <v>112</v>
      </c>
      <c r="D50" s="65" t="s">
        <v>164</v>
      </c>
      <c r="E50" s="67">
        <v>1015.4</v>
      </c>
      <c r="F50" s="68">
        <f>SUM(E50*5/1000)</f>
        <v>5.077</v>
      </c>
      <c r="G50" s="12">
        <v>1297.28</v>
      </c>
      <c r="H50" s="69">
        <f t="shared" si="4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hidden="1" customHeight="1">
      <c r="A51" s="29"/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4"/>
        <v>2.634516224</v>
      </c>
      <c r="I51" s="12">
        <v>0</v>
      </c>
      <c r="J51" s="23"/>
      <c r="L51" s="18"/>
      <c r="M51" s="19"/>
      <c r="N51" s="20"/>
    </row>
    <row r="52" spans="1:14" ht="31.5" hidden="1" customHeight="1">
      <c r="A52" s="29"/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4"/>
        <v>1.7513339999999997</v>
      </c>
      <c r="I52" s="12">
        <v>0</v>
      </c>
      <c r="J52" s="23"/>
      <c r="L52" s="18"/>
      <c r="M52" s="19"/>
      <c r="N52" s="20"/>
    </row>
    <row r="53" spans="1:14" ht="15.75" hidden="1" customHeight="1">
      <c r="A53" s="29"/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4"/>
        <v>0.12084260000000001</v>
      </c>
      <c r="I53" s="12">
        <v>0</v>
      </c>
      <c r="J53" s="23"/>
      <c r="L53" s="18"/>
      <c r="M53" s="19"/>
      <c r="N53" s="20"/>
    </row>
    <row r="54" spans="1:14" ht="15.75" hidden="1" customHeight="1">
      <c r="A54" s="29">
        <v>14</v>
      </c>
      <c r="B54" s="65" t="s">
        <v>138</v>
      </c>
      <c r="C54" s="66" t="s">
        <v>97</v>
      </c>
      <c r="D54" s="65" t="s">
        <v>73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hidden="1" customHeight="1">
      <c r="A55" s="29">
        <v>15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4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172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customHeight="1">
      <c r="A58" s="29">
        <v>12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customHeight="1">
      <c r="A59" s="29">
        <v>13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customHeight="1">
      <c r="A61" s="29">
        <v>14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15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customHeight="1">
      <c r="A66" s="29">
        <v>16</v>
      </c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5">SUM(F66*G66/1000)</f>
        <v>2.3774999999999999</v>
      </c>
      <c r="I66" s="12">
        <f>G66</f>
        <v>237.75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5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5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5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5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5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5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5"/>
        <v>0.2666</v>
      </c>
      <c r="I73" s="12">
        <v>0</v>
      </c>
    </row>
    <row r="74" spans="1:21" ht="15.75" hidden="1" customHeight="1">
      <c r="A74" s="29"/>
      <c r="B74" s="103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21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5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v>0</v>
      </c>
    </row>
    <row r="77" spans="1:21" ht="15.75" hidden="1" customHeight="1">
      <c r="A77" s="29">
        <v>12</v>
      </c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f>G77</f>
        <v>383.25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>
        <v>22</v>
      </c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5"/>
        <v>2.4816780000000005</v>
      </c>
      <c r="I79" s="12">
        <f>G79*F79</f>
        <v>2481.6780000000003</v>
      </c>
    </row>
    <row r="80" spans="1:21" ht="15.75" hidden="1" customHeight="1">
      <c r="A80" s="29"/>
      <c r="B80" s="103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23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customHeight="1">
      <c r="A82" s="133" t="s">
        <v>173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17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18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SUM(I16+I17+I18+I25+I26+I37+I38+I39+I41+I42+I44+I58+I59+I61+I64+I66+I83+I84)</f>
        <v>65833.064042283324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>
      <c r="A87" s="29"/>
      <c r="B87" s="42" t="s">
        <v>52</v>
      </c>
      <c r="C87" s="38"/>
      <c r="D87" s="45"/>
      <c r="E87" s="38">
        <v>1</v>
      </c>
      <c r="F87" s="38"/>
      <c r="G87" s="38"/>
      <c r="H87" s="38"/>
      <c r="I87" s="32">
        <f>SUM(A86)</f>
        <v>0</v>
      </c>
    </row>
    <row r="88" spans="1:9" ht="16.5" customHeight="1">
      <c r="A88" s="29"/>
      <c r="B88" s="44" t="s">
        <v>81</v>
      </c>
      <c r="C88" s="14"/>
      <c r="D88" s="14"/>
      <c r="E88" s="39"/>
      <c r="F88" s="39"/>
      <c r="G88" s="40"/>
      <c r="H88" s="40"/>
      <c r="I88" s="16">
        <v>0</v>
      </c>
    </row>
    <row r="89" spans="1:9" ht="16.5" customHeight="1">
      <c r="A89" s="46"/>
      <c r="B89" s="43" t="s">
        <v>53</v>
      </c>
      <c r="C89" s="33"/>
      <c r="D89" s="33"/>
      <c r="E89" s="33"/>
      <c r="F89" s="33"/>
      <c r="G89" s="33"/>
      <c r="H89" s="33"/>
      <c r="I89" s="41">
        <f>I85+I87</f>
        <v>65833.064042283324</v>
      </c>
    </row>
    <row r="90" spans="1:9" ht="15.75" customHeight="1">
      <c r="A90" s="146" t="s">
        <v>249</v>
      </c>
      <c r="B90" s="146"/>
      <c r="C90" s="146"/>
      <c r="D90" s="146"/>
      <c r="E90" s="146"/>
      <c r="F90" s="146"/>
      <c r="G90" s="146"/>
      <c r="H90" s="146"/>
      <c r="I90" s="146"/>
    </row>
    <row r="91" spans="1:9" ht="15.75" customHeight="1">
      <c r="A91" s="102"/>
      <c r="B91" s="141" t="s">
        <v>250</v>
      </c>
      <c r="C91" s="141"/>
      <c r="D91" s="141"/>
      <c r="E91" s="141"/>
      <c r="F91" s="141"/>
      <c r="G91" s="141"/>
      <c r="H91" s="64"/>
      <c r="I91" s="3"/>
    </row>
    <row r="92" spans="1:9" ht="15.75" customHeight="1">
      <c r="A92" s="106"/>
      <c r="B92" s="137" t="s">
        <v>6</v>
      </c>
      <c r="C92" s="137"/>
      <c r="D92" s="137"/>
      <c r="E92" s="137"/>
      <c r="F92" s="137"/>
      <c r="G92" s="137"/>
      <c r="H92" s="24"/>
      <c r="I92" s="5"/>
    </row>
    <row r="93" spans="1:9" ht="15.75" customHeight="1">
      <c r="A93" s="9"/>
      <c r="B93" s="9"/>
      <c r="C93" s="9"/>
      <c r="D93" s="9"/>
      <c r="E93" s="9"/>
      <c r="F93" s="9"/>
      <c r="G93" s="9"/>
      <c r="H93" s="9"/>
      <c r="I93" s="9"/>
    </row>
    <row r="94" spans="1:9" ht="15.75">
      <c r="A94" s="142" t="s">
        <v>7</v>
      </c>
      <c r="B94" s="142"/>
      <c r="C94" s="142"/>
      <c r="D94" s="142"/>
      <c r="E94" s="142"/>
      <c r="F94" s="142"/>
      <c r="G94" s="142"/>
      <c r="H94" s="142"/>
      <c r="I94" s="142"/>
    </row>
    <row r="95" spans="1:9" ht="15.75">
      <c r="A95" s="142" t="s">
        <v>8</v>
      </c>
      <c r="B95" s="142"/>
      <c r="C95" s="142"/>
      <c r="D95" s="142"/>
      <c r="E95" s="142"/>
      <c r="F95" s="142"/>
      <c r="G95" s="142"/>
      <c r="H95" s="142"/>
      <c r="I95" s="142"/>
    </row>
    <row r="96" spans="1:9" ht="15.75">
      <c r="A96" s="143" t="s">
        <v>63</v>
      </c>
      <c r="B96" s="143"/>
      <c r="C96" s="143"/>
      <c r="D96" s="143"/>
      <c r="E96" s="143"/>
      <c r="F96" s="143"/>
      <c r="G96" s="143"/>
      <c r="H96" s="143"/>
      <c r="I96" s="143"/>
    </row>
    <row r="97" spans="1:9" ht="15.75">
      <c r="A97" s="10"/>
    </row>
    <row r="98" spans="1:9" ht="15.75">
      <c r="A98" s="144" t="s">
        <v>9</v>
      </c>
      <c r="B98" s="144"/>
      <c r="C98" s="144"/>
      <c r="D98" s="144"/>
      <c r="E98" s="144"/>
      <c r="F98" s="144"/>
      <c r="G98" s="144"/>
      <c r="H98" s="144"/>
      <c r="I98" s="144"/>
    </row>
    <row r="99" spans="1:9" ht="15.75">
      <c r="A99" s="4"/>
    </row>
    <row r="100" spans="1:9" ht="15.75">
      <c r="B100" s="105" t="s">
        <v>10</v>
      </c>
      <c r="C100" s="136" t="s">
        <v>93</v>
      </c>
      <c r="D100" s="136"/>
      <c r="E100" s="136"/>
      <c r="F100" s="62"/>
      <c r="I100" s="108"/>
    </row>
    <row r="101" spans="1:9">
      <c r="A101" s="106"/>
      <c r="C101" s="137" t="s">
        <v>11</v>
      </c>
      <c r="D101" s="137"/>
      <c r="E101" s="137"/>
      <c r="F101" s="24"/>
      <c r="I101" s="107" t="s">
        <v>12</v>
      </c>
    </row>
    <row r="102" spans="1:9" ht="15.75">
      <c r="A102" s="25"/>
      <c r="C102" s="11"/>
      <c r="D102" s="11"/>
      <c r="G102" s="11"/>
      <c r="H102" s="11"/>
    </row>
    <row r="103" spans="1:9" ht="15.75">
      <c r="B103" s="105" t="s">
        <v>13</v>
      </c>
      <c r="C103" s="138"/>
      <c r="D103" s="138"/>
      <c r="E103" s="138"/>
      <c r="F103" s="63"/>
      <c r="I103" s="108"/>
    </row>
    <row r="104" spans="1:9">
      <c r="A104" s="106"/>
      <c r="C104" s="139" t="s">
        <v>11</v>
      </c>
      <c r="D104" s="139"/>
      <c r="E104" s="139"/>
      <c r="F104" s="106"/>
      <c r="I104" s="107" t="s">
        <v>12</v>
      </c>
    </row>
    <row r="105" spans="1:9" ht="15.75">
      <c r="A105" s="4" t="s">
        <v>14</v>
      </c>
    </row>
    <row r="106" spans="1:9">
      <c r="A106" s="140" t="s">
        <v>15</v>
      </c>
      <c r="B106" s="140"/>
      <c r="C106" s="140"/>
      <c r="D106" s="140"/>
      <c r="E106" s="140"/>
      <c r="F106" s="140"/>
      <c r="G106" s="140"/>
      <c r="H106" s="140"/>
      <c r="I106" s="140"/>
    </row>
    <row r="107" spans="1:9" ht="45" customHeight="1">
      <c r="A107" s="129" t="s">
        <v>16</v>
      </c>
      <c r="B107" s="129"/>
      <c r="C107" s="129"/>
      <c r="D107" s="129"/>
      <c r="E107" s="129"/>
      <c r="F107" s="129"/>
      <c r="G107" s="129"/>
      <c r="H107" s="129"/>
      <c r="I107" s="129"/>
    </row>
    <row r="108" spans="1:9" ht="30" customHeight="1">
      <c r="A108" s="129" t="s">
        <v>17</v>
      </c>
      <c r="B108" s="129"/>
      <c r="C108" s="129"/>
      <c r="D108" s="129"/>
      <c r="E108" s="129"/>
      <c r="F108" s="129"/>
      <c r="G108" s="129"/>
      <c r="H108" s="129"/>
      <c r="I108" s="129"/>
    </row>
    <row r="109" spans="1:9" ht="30" customHeight="1">
      <c r="A109" s="129" t="s">
        <v>21</v>
      </c>
      <c r="B109" s="129"/>
      <c r="C109" s="129"/>
      <c r="D109" s="129"/>
      <c r="E109" s="129"/>
      <c r="F109" s="129"/>
      <c r="G109" s="129"/>
      <c r="H109" s="129"/>
      <c r="I109" s="129"/>
    </row>
    <row r="110" spans="1:9" ht="15" customHeight="1">
      <c r="A110" s="129" t="s">
        <v>20</v>
      </c>
      <c r="B110" s="129"/>
      <c r="C110" s="129"/>
      <c r="D110" s="129"/>
      <c r="E110" s="129"/>
      <c r="F110" s="129"/>
      <c r="G110" s="129"/>
      <c r="H110" s="129"/>
      <c r="I110" s="129"/>
    </row>
  </sheetData>
  <autoFilter ref="I12:I67"/>
  <mergeCells count="29">
    <mergeCell ref="A106:I106"/>
    <mergeCell ref="A107:I107"/>
    <mergeCell ref="A108:I108"/>
    <mergeCell ref="A109:I109"/>
    <mergeCell ref="A110:I110"/>
    <mergeCell ref="R71:U71"/>
    <mergeCell ref="C104:E104"/>
    <mergeCell ref="A86:I86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U114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236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237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104"/>
      <c r="C6" s="104"/>
      <c r="D6" s="104"/>
      <c r="E6" s="104"/>
      <c r="F6" s="104"/>
      <c r="G6" s="104"/>
      <c r="H6" s="104"/>
      <c r="I6" s="30">
        <v>43100</v>
      </c>
      <c r="J6" s="2"/>
      <c r="K6" s="2"/>
      <c r="L6" s="2"/>
      <c r="M6" s="2"/>
    </row>
    <row r="7" spans="1:13" ht="15.75">
      <c r="B7" s="105"/>
      <c r="C7" s="105"/>
      <c r="D7" s="10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v>0</v>
      </c>
      <c r="J19" s="22"/>
      <c r="K19" s="8"/>
      <c r="L19" s="8"/>
      <c r="M19" s="8"/>
    </row>
    <row r="20" spans="1:13" ht="15.75" hidden="1" customHeight="1">
      <c r="A20" s="29"/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v>0</v>
      </c>
      <c r="J20" s="22"/>
      <c r="K20" s="8"/>
      <c r="L20" s="8"/>
      <c r="M20" s="8"/>
    </row>
    <row r="21" spans="1:13" ht="15.75" hidden="1" customHeight="1">
      <c r="A21" s="29"/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v>0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v>0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v>0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v>0</v>
      </c>
      <c r="J24" s="22"/>
      <c r="K24" s="8"/>
      <c r="L24" s="8"/>
      <c r="M24" s="8"/>
    </row>
    <row r="25" spans="1:13" ht="15.75" customHeight="1">
      <c r="A25" s="29">
        <v>4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5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hidden="1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15.75" hidden="1" customHeight="1">
      <c r="A29" s="29">
        <v>6</v>
      </c>
      <c r="B29" s="65" t="s">
        <v>111</v>
      </c>
      <c r="C29" s="66" t="s">
        <v>148</v>
      </c>
      <c r="D29" s="65" t="s">
        <v>228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1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hidden="1" customHeight="1">
      <c r="A30" s="29">
        <v>7</v>
      </c>
      <c r="B30" s="65" t="s">
        <v>162</v>
      </c>
      <c r="C30" s="66" t="s">
        <v>112</v>
      </c>
      <c r="D30" s="65" t="s">
        <v>229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1"/>
        <v>2.5216468991999998</v>
      </c>
      <c r="I30" s="12">
        <f t="shared" ref="I30:I33" si="2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1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hidden="1" customHeight="1">
      <c r="A32" s="29">
        <v>8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2"/>
        <v>2157.3829999999998</v>
      </c>
      <c r="J32" s="22"/>
      <c r="K32" s="8"/>
      <c r="L32" s="8"/>
      <c r="M32" s="8"/>
    </row>
    <row r="33" spans="1:14" ht="15.75" hidden="1" customHeight="1">
      <c r="A33" s="29">
        <v>9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2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1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1"/>
        <v>2.2726599999999997</v>
      </c>
      <c r="I35" s="12">
        <v>0</v>
      </c>
      <c r="J35" s="23"/>
    </row>
    <row r="36" spans="1:14" ht="15.75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3">SUM(F37*G37/1000)</f>
        <v>13.060799999999999</v>
      </c>
      <c r="I37" s="12">
        <f>F37/6*G37</f>
        <v>2176.7999999999997</v>
      </c>
      <c r="J37" s="23"/>
    </row>
    <row r="38" spans="1:14" ht="15.75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3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3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hidden="1" customHeight="1">
      <c r="A43" s="29">
        <v>11</v>
      </c>
      <c r="B43" s="65" t="s">
        <v>119</v>
      </c>
      <c r="C43" s="66" t="s">
        <v>112</v>
      </c>
      <c r="D43" s="65" t="s">
        <v>71</v>
      </c>
      <c r="E43" s="68">
        <v>116.93</v>
      </c>
      <c r="F43" s="68">
        <f>SUM(E43*45/1000)</f>
        <v>5.2618500000000008</v>
      </c>
      <c r="G43" s="68">
        <v>458.28</v>
      </c>
      <c r="H43" s="69">
        <f t="shared" si="3"/>
        <v>2.4114006180000001</v>
      </c>
      <c r="I43" s="12">
        <f>F43/6*G43</f>
        <v>401.90010300000006</v>
      </c>
      <c r="J43" s="23"/>
      <c r="L43" s="18"/>
      <c r="M43" s="19"/>
      <c r="N43" s="20"/>
    </row>
    <row r="44" spans="1:14" ht="15.75" customHeight="1">
      <c r="A44" s="29">
        <v>11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3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hidden="1" customHeight="1">
      <c r="A46" s="29"/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4">SUM(F46*G46/1000)</f>
        <v>1.87141248</v>
      </c>
      <c r="I46" s="12">
        <v>0</v>
      </c>
      <c r="J46" s="23"/>
      <c r="L46" s="18"/>
      <c r="M46" s="19"/>
      <c r="N46" s="20"/>
    </row>
    <row r="47" spans="1:14" ht="15.75" hidden="1" customHeight="1">
      <c r="A47" s="29"/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4"/>
        <v>0.16353744000000001</v>
      </c>
      <c r="I47" s="12">
        <v>0</v>
      </c>
      <c r="J47" s="23"/>
      <c r="L47" s="18"/>
      <c r="M47" s="19"/>
      <c r="N47" s="20"/>
    </row>
    <row r="48" spans="1:14" ht="15.75" hidden="1" customHeight="1">
      <c r="A48" s="29"/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4"/>
        <v>5.2632047223999994</v>
      </c>
      <c r="I48" s="12">
        <v>0</v>
      </c>
      <c r="J48" s="23"/>
      <c r="L48" s="18"/>
      <c r="M48" s="19"/>
      <c r="N48" s="20"/>
    </row>
    <row r="49" spans="1:14" ht="15.75" hidden="1" customHeight="1">
      <c r="A49" s="29"/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4"/>
        <v>2.8068728447999995</v>
      </c>
      <c r="I49" s="12">
        <v>0</v>
      </c>
      <c r="J49" s="23"/>
      <c r="L49" s="18"/>
      <c r="M49" s="19"/>
      <c r="N49" s="20"/>
    </row>
    <row r="50" spans="1:14" ht="15.75" customHeight="1">
      <c r="A50" s="29">
        <v>12</v>
      </c>
      <c r="B50" s="65" t="s">
        <v>58</v>
      </c>
      <c r="C50" s="66" t="s">
        <v>112</v>
      </c>
      <c r="D50" s="65" t="s">
        <v>188</v>
      </c>
      <c r="E50" s="67">
        <v>1015.4</v>
      </c>
      <c r="F50" s="68">
        <f>SUM(E50*5/1000)</f>
        <v>5.077</v>
      </c>
      <c r="G50" s="12">
        <v>1297.28</v>
      </c>
      <c r="H50" s="69">
        <f t="shared" si="4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hidden="1" customHeight="1">
      <c r="A51" s="29"/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4"/>
        <v>2.634516224</v>
      </c>
      <c r="I51" s="12">
        <v>0</v>
      </c>
      <c r="J51" s="23"/>
      <c r="L51" s="18"/>
      <c r="M51" s="19"/>
      <c r="N51" s="20"/>
    </row>
    <row r="52" spans="1:14" ht="31.5" hidden="1" customHeight="1">
      <c r="A52" s="29"/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4"/>
        <v>1.7513339999999997</v>
      </c>
      <c r="I52" s="12">
        <v>0</v>
      </c>
      <c r="J52" s="23"/>
      <c r="L52" s="18"/>
      <c r="M52" s="19"/>
      <c r="N52" s="20"/>
    </row>
    <row r="53" spans="1:14" ht="15.75" hidden="1" customHeight="1">
      <c r="A53" s="29"/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4"/>
        <v>0.12084260000000001</v>
      </c>
      <c r="I53" s="12">
        <v>0</v>
      </c>
      <c r="J53" s="23"/>
      <c r="L53" s="18"/>
      <c r="M53" s="19"/>
      <c r="N53" s="20"/>
    </row>
    <row r="54" spans="1:14" ht="15.75" hidden="1" customHeight="1">
      <c r="A54" s="29">
        <v>14</v>
      </c>
      <c r="B54" s="65" t="s">
        <v>138</v>
      </c>
      <c r="C54" s="66" t="s">
        <v>97</v>
      </c>
      <c r="D54" s="65" t="s">
        <v>73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hidden="1" customHeight="1">
      <c r="A55" s="29">
        <v>15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4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165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customHeight="1">
      <c r="A58" s="29">
        <v>13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customHeight="1">
      <c r="A59" s="29">
        <v>14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customHeight="1">
      <c r="A61" s="29">
        <v>15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16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hidden="1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hidden="1" customHeight="1">
      <c r="A66" s="29">
        <v>17</v>
      </c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5">SUM(F66*G66/1000)</f>
        <v>2.3774999999999999</v>
      </c>
      <c r="I66" s="12">
        <f>G66</f>
        <v>237.75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5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5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5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5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5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5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5"/>
        <v>0.2666</v>
      </c>
      <c r="I73" s="12">
        <v>0</v>
      </c>
    </row>
    <row r="74" spans="1:21" ht="15.75" hidden="1" customHeight="1">
      <c r="A74" s="29"/>
      <c r="B74" s="103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21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5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v>0</v>
      </c>
    </row>
    <row r="77" spans="1:21" ht="15.75" hidden="1" customHeight="1">
      <c r="A77" s="29">
        <v>12</v>
      </c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f>G77</f>
        <v>383.25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>
        <v>22</v>
      </c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5"/>
        <v>2.4816780000000005</v>
      </c>
      <c r="I79" s="12">
        <f>G79*F79</f>
        <v>2481.6780000000003</v>
      </c>
    </row>
    <row r="80" spans="1:21" ht="15.75" hidden="1" customHeight="1">
      <c r="A80" s="29"/>
      <c r="B80" s="103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23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customHeight="1">
      <c r="A82" s="133" t="s">
        <v>166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17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18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SUM(I16+I17+I18+I25+I26+I37+I38+I39+I41+I42+I44+I50+I58+I59+I61+I64+I83+I84)</f>
        <v>66912.572154283334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 ht="15.75" customHeight="1">
      <c r="A87" s="38">
        <v>19</v>
      </c>
      <c r="B87" s="84" t="s">
        <v>85</v>
      </c>
      <c r="C87" s="85" t="s">
        <v>97</v>
      </c>
      <c r="D87" s="35"/>
      <c r="E87" s="16"/>
      <c r="F87" s="34">
        <v>4</v>
      </c>
      <c r="G87" s="34">
        <v>189.88</v>
      </c>
      <c r="H87" s="110">
        <f t="shared" ref="H87" si="6">G87*F87/1000</f>
        <v>0.75951999999999997</v>
      </c>
      <c r="I87" s="117">
        <f>G87</f>
        <v>189.88</v>
      </c>
    </row>
    <row r="88" spans="1:9" ht="15.75" customHeight="1">
      <c r="A88" s="38">
        <v>20</v>
      </c>
      <c r="B88" s="84" t="s">
        <v>151</v>
      </c>
      <c r="C88" s="85" t="s">
        <v>88</v>
      </c>
      <c r="D88" s="48"/>
      <c r="E88" s="34"/>
      <c r="F88" s="34">
        <v>2</v>
      </c>
      <c r="G88" s="34">
        <v>195.85</v>
      </c>
      <c r="H88" s="110">
        <f>G88*F88/1000</f>
        <v>0.39169999999999999</v>
      </c>
      <c r="I88" s="117">
        <f>G88</f>
        <v>195.85</v>
      </c>
    </row>
    <row r="89" spans="1:9" ht="15.75" customHeight="1">
      <c r="A89" s="38">
        <v>21</v>
      </c>
      <c r="B89" s="51" t="s">
        <v>239</v>
      </c>
      <c r="C89" s="52" t="s">
        <v>238</v>
      </c>
      <c r="D89" s="48"/>
      <c r="E89" s="34"/>
      <c r="F89" s="34">
        <v>1</v>
      </c>
      <c r="G89" s="34">
        <v>663.38</v>
      </c>
      <c r="H89" s="34">
        <f t="shared" ref="H89:H90" si="7">G89*F89/1000</f>
        <v>0.66337999999999997</v>
      </c>
      <c r="I89" s="117">
        <f>G89</f>
        <v>663.38</v>
      </c>
    </row>
    <row r="90" spans="1:9" ht="15.75" customHeight="1">
      <c r="A90" s="38">
        <v>22</v>
      </c>
      <c r="B90" s="84" t="s">
        <v>251</v>
      </c>
      <c r="C90" s="85" t="s">
        <v>33</v>
      </c>
      <c r="D90" s="35"/>
      <c r="E90" s="16"/>
      <c r="F90" s="34">
        <f>(60.32+33.82+14.22+5.54)-(9.504*6)</f>
        <v>56.876000000000005</v>
      </c>
      <c r="G90" s="34">
        <v>44.31</v>
      </c>
      <c r="H90" s="34">
        <f t="shared" si="7"/>
        <v>2.5201755600000002</v>
      </c>
      <c r="I90" s="12">
        <f>G90*F90</f>
        <v>2520.1755600000001</v>
      </c>
    </row>
    <row r="91" spans="1:9">
      <c r="A91" s="29"/>
      <c r="B91" s="42" t="s">
        <v>52</v>
      </c>
      <c r="C91" s="38"/>
      <c r="D91" s="45"/>
      <c r="E91" s="38">
        <v>1</v>
      </c>
      <c r="F91" s="38"/>
      <c r="G91" s="38"/>
      <c r="H91" s="38"/>
      <c r="I91" s="32">
        <f>SUM(I87:I90)</f>
        <v>3569.2855600000003</v>
      </c>
    </row>
    <row r="92" spans="1:9" ht="16.5" customHeight="1">
      <c r="A92" s="29"/>
      <c r="B92" s="44" t="s">
        <v>81</v>
      </c>
      <c r="C92" s="14"/>
      <c r="D92" s="14"/>
      <c r="E92" s="39"/>
      <c r="F92" s="39"/>
      <c r="G92" s="40"/>
      <c r="H92" s="40"/>
      <c r="I92" s="16">
        <v>0</v>
      </c>
    </row>
    <row r="93" spans="1:9" ht="16.5" customHeight="1">
      <c r="A93" s="46"/>
      <c r="B93" s="43" t="s">
        <v>53</v>
      </c>
      <c r="C93" s="33"/>
      <c r="D93" s="33"/>
      <c r="E93" s="33"/>
      <c r="F93" s="33"/>
      <c r="G93" s="33"/>
      <c r="H93" s="33"/>
      <c r="I93" s="41">
        <f>I85+I91</f>
        <v>70481.857714283338</v>
      </c>
    </row>
    <row r="94" spans="1:9" ht="15.75" customHeight="1">
      <c r="A94" s="146" t="s">
        <v>252</v>
      </c>
      <c r="B94" s="146"/>
      <c r="C94" s="146"/>
      <c r="D94" s="146"/>
      <c r="E94" s="146"/>
      <c r="F94" s="146"/>
      <c r="G94" s="146"/>
      <c r="H94" s="146"/>
      <c r="I94" s="146"/>
    </row>
    <row r="95" spans="1:9" ht="15.75" customHeight="1">
      <c r="A95" s="102"/>
      <c r="B95" s="141" t="s">
        <v>253</v>
      </c>
      <c r="C95" s="141"/>
      <c r="D95" s="141"/>
      <c r="E95" s="141"/>
      <c r="F95" s="141"/>
      <c r="G95" s="141"/>
      <c r="H95" s="64"/>
      <c r="I95" s="3"/>
    </row>
    <row r="96" spans="1:9" ht="15.75" customHeight="1">
      <c r="A96" s="106"/>
      <c r="B96" s="137" t="s">
        <v>6</v>
      </c>
      <c r="C96" s="137"/>
      <c r="D96" s="137"/>
      <c r="E96" s="137"/>
      <c r="F96" s="137"/>
      <c r="G96" s="137"/>
      <c r="H96" s="24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>
      <c r="A98" s="142" t="s">
        <v>7</v>
      </c>
      <c r="B98" s="142"/>
      <c r="C98" s="142"/>
      <c r="D98" s="142"/>
      <c r="E98" s="142"/>
      <c r="F98" s="142"/>
      <c r="G98" s="142"/>
      <c r="H98" s="142"/>
      <c r="I98" s="142"/>
    </row>
    <row r="99" spans="1:9" ht="15.75">
      <c r="A99" s="142" t="s">
        <v>8</v>
      </c>
      <c r="B99" s="142"/>
      <c r="C99" s="142"/>
      <c r="D99" s="142"/>
      <c r="E99" s="142"/>
      <c r="F99" s="142"/>
      <c r="G99" s="142"/>
      <c r="H99" s="142"/>
      <c r="I99" s="142"/>
    </row>
    <row r="100" spans="1:9" ht="15.75">
      <c r="A100" s="143" t="s">
        <v>63</v>
      </c>
      <c r="B100" s="143"/>
      <c r="C100" s="143"/>
      <c r="D100" s="143"/>
      <c r="E100" s="143"/>
      <c r="F100" s="143"/>
      <c r="G100" s="143"/>
      <c r="H100" s="143"/>
      <c r="I100" s="143"/>
    </row>
    <row r="101" spans="1:9" ht="15.75">
      <c r="A101" s="10"/>
    </row>
    <row r="102" spans="1:9" ht="15.75">
      <c r="A102" s="144" t="s">
        <v>9</v>
      </c>
      <c r="B102" s="144"/>
      <c r="C102" s="144"/>
      <c r="D102" s="144"/>
      <c r="E102" s="144"/>
      <c r="F102" s="144"/>
      <c r="G102" s="144"/>
      <c r="H102" s="144"/>
      <c r="I102" s="144"/>
    </row>
    <row r="103" spans="1:9" ht="15.75">
      <c r="A103" s="4"/>
    </row>
    <row r="104" spans="1:9" ht="15.75">
      <c r="B104" s="105" t="s">
        <v>10</v>
      </c>
      <c r="C104" s="136" t="s">
        <v>93</v>
      </c>
      <c r="D104" s="136"/>
      <c r="E104" s="136"/>
      <c r="F104" s="62"/>
      <c r="I104" s="108"/>
    </row>
    <row r="105" spans="1:9">
      <c r="A105" s="106"/>
      <c r="C105" s="137" t="s">
        <v>11</v>
      </c>
      <c r="D105" s="137"/>
      <c r="E105" s="137"/>
      <c r="F105" s="24"/>
      <c r="I105" s="107" t="s">
        <v>12</v>
      </c>
    </row>
    <row r="106" spans="1:9" ht="15.75">
      <c r="A106" s="25"/>
      <c r="C106" s="11"/>
      <c r="D106" s="11"/>
      <c r="G106" s="11"/>
      <c r="H106" s="11"/>
    </row>
    <row r="107" spans="1:9" ht="15.75">
      <c r="B107" s="105" t="s">
        <v>13</v>
      </c>
      <c r="C107" s="138"/>
      <c r="D107" s="138"/>
      <c r="E107" s="138"/>
      <c r="F107" s="63"/>
      <c r="I107" s="108"/>
    </row>
    <row r="108" spans="1:9">
      <c r="A108" s="106"/>
      <c r="C108" s="139" t="s">
        <v>11</v>
      </c>
      <c r="D108" s="139"/>
      <c r="E108" s="139"/>
      <c r="F108" s="106"/>
      <c r="I108" s="107" t="s">
        <v>12</v>
      </c>
    </row>
    <row r="109" spans="1:9" ht="15.75">
      <c r="A109" s="4" t="s">
        <v>14</v>
      </c>
    </row>
    <row r="110" spans="1:9">
      <c r="A110" s="140" t="s">
        <v>15</v>
      </c>
      <c r="B110" s="140"/>
      <c r="C110" s="140"/>
      <c r="D110" s="140"/>
      <c r="E110" s="140"/>
      <c r="F110" s="140"/>
      <c r="G110" s="140"/>
      <c r="H110" s="140"/>
      <c r="I110" s="140"/>
    </row>
    <row r="111" spans="1:9" ht="45" customHeight="1">
      <c r="A111" s="129" t="s">
        <v>16</v>
      </c>
      <c r="B111" s="129"/>
      <c r="C111" s="129"/>
      <c r="D111" s="129"/>
      <c r="E111" s="129"/>
      <c r="F111" s="129"/>
      <c r="G111" s="129"/>
      <c r="H111" s="129"/>
      <c r="I111" s="129"/>
    </row>
    <row r="112" spans="1:9" ht="30" customHeight="1">
      <c r="A112" s="129" t="s">
        <v>17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30" customHeight="1">
      <c r="A113" s="129" t="s">
        <v>21</v>
      </c>
      <c r="B113" s="129"/>
      <c r="C113" s="129"/>
      <c r="D113" s="129"/>
      <c r="E113" s="129"/>
      <c r="F113" s="129"/>
      <c r="G113" s="129"/>
      <c r="H113" s="129"/>
      <c r="I113" s="129"/>
    </row>
    <row r="114" spans="1:9" ht="15" customHeight="1">
      <c r="A114" s="129" t="s">
        <v>20</v>
      </c>
      <c r="B114" s="129"/>
      <c r="C114" s="129"/>
      <c r="D114" s="129"/>
      <c r="E114" s="129"/>
      <c r="F114" s="129"/>
      <c r="G114" s="129"/>
      <c r="H114" s="129"/>
      <c r="I114" s="129"/>
    </row>
  </sheetData>
  <autoFilter ref="I12:I67"/>
  <mergeCells count="29">
    <mergeCell ref="A110:I110"/>
    <mergeCell ref="A111:I111"/>
    <mergeCell ref="A112:I112"/>
    <mergeCell ref="A113:I113"/>
    <mergeCell ref="A114:I114"/>
    <mergeCell ref="R71:U71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U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167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184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42794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v>0</v>
      </c>
      <c r="J19" s="22"/>
      <c r="K19" s="8"/>
      <c r="L19" s="8"/>
      <c r="M19" s="8"/>
    </row>
    <row r="20" spans="1:13" ht="15.75" hidden="1" customHeight="1">
      <c r="A20" s="29"/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v>0</v>
      </c>
      <c r="J20" s="22"/>
      <c r="K20" s="8"/>
      <c r="L20" s="8"/>
      <c r="M20" s="8"/>
    </row>
    <row r="21" spans="1:13" ht="15.75" hidden="1" customHeight="1">
      <c r="A21" s="29"/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v>0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v>0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v>0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v>0</v>
      </c>
      <c r="J24" s="22"/>
      <c r="K24" s="8"/>
      <c r="L24" s="8"/>
      <c r="M24" s="8"/>
    </row>
    <row r="25" spans="1:13" ht="15.75" customHeight="1">
      <c r="A25" s="29">
        <v>4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5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hidden="1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31.5" hidden="1" customHeight="1">
      <c r="A29" s="29">
        <v>6</v>
      </c>
      <c r="B29" s="65" t="s">
        <v>111</v>
      </c>
      <c r="C29" s="66" t="s">
        <v>148</v>
      </c>
      <c r="D29" s="65" t="s">
        <v>149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1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hidden="1" customHeight="1">
      <c r="A30" s="29">
        <v>7</v>
      </c>
      <c r="B30" s="65" t="s">
        <v>162</v>
      </c>
      <c r="C30" s="66" t="s">
        <v>112</v>
      </c>
      <c r="D30" s="65" t="s">
        <v>150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1"/>
        <v>2.5216468991999998</v>
      </c>
      <c r="I30" s="12">
        <f t="shared" ref="I30:I33" si="2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1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hidden="1" customHeight="1">
      <c r="A32" s="29">
        <v>8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2"/>
        <v>2157.3829999999998</v>
      </c>
      <c r="J32" s="22"/>
      <c r="K32" s="8"/>
      <c r="L32" s="8"/>
      <c r="M32" s="8"/>
    </row>
    <row r="33" spans="1:14" ht="15.75" hidden="1" customHeight="1">
      <c r="A33" s="29">
        <v>9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2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1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1"/>
        <v>2.2726599999999997</v>
      </c>
      <c r="I35" s="12">
        <v>0</v>
      </c>
      <c r="J35" s="23"/>
    </row>
    <row r="36" spans="1:14" ht="15.75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3">SUM(F37*G37/1000)</f>
        <v>13.060799999999999</v>
      </c>
      <c r="I37" s="12">
        <f>F37/6*G37</f>
        <v>2176.7999999999997</v>
      </c>
      <c r="J37" s="23"/>
    </row>
    <row r="38" spans="1:14" ht="15.75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3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3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hidden="1" customHeight="1">
      <c r="A43" s="29">
        <v>11</v>
      </c>
      <c r="B43" s="65" t="s">
        <v>119</v>
      </c>
      <c r="C43" s="66" t="s">
        <v>112</v>
      </c>
      <c r="D43" s="65" t="s">
        <v>71</v>
      </c>
      <c r="E43" s="68">
        <v>116.93</v>
      </c>
      <c r="F43" s="68">
        <f>SUM(E43*45/1000)</f>
        <v>5.2618500000000008</v>
      </c>
      <c r="G43" s="68">
        <v>458.28</v>
      </c>
      <c r="H43" s="69">
        <f t="shared" si="3"/>
        <v>2.4114006180000001</v>
      </c>
      <c r="I43" s="12">
        <f>F43/6*G43</f>
        <v>401.90010300000006</v>
      </c>
      <c r="J43" s="23"/>
      <c r="L43" s="18"/>
      <c r="M43" s="19"/>
      <c r="N43" s="20"/>
    </row>
    <row r="44" spans="1:14" ht="15.75" customHeight="1">
      <c r="A44" s="29">
        <v>11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3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hidden="1" customHeight="1">
      <c r="A46" s="29"/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4">SUM(F46*G46/1000)</f>
        <v>1.87141248</v>
      </c>
      <c r="I46" s="12">
        <v>0</v>
      </c>
      <c r="J46" s="23"/>
      <c r="L46" s="18"/>
      <c r="M46" s="19"/>
      <c r="N46" s="20"/>
    </row>
    <row r="47" spans="1:14" ht="15.75" hidden="1" customHeight="1">
      <c r="A47" s="29"/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4"/>
        <v>0.16353744000000001</v>
      </c>
      <c r="I47" s="12">
        <v>0</v>
      </c>
      <c r="J47" s="23"/>
      <c r="L47" s="18"/>
      <c r="M47" s="19"/>
      <c r="N47" s="20"/>
    </row>
    <row r="48" spans="1:14" ht="15.75" hidden="1" customHeight="1">
      <c r="A48" s="29"/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4"/>
        <v>5.2632047223999994</v>
      </c>
      <c r="I48" s="12">
        <v>0</v>
      </c>
      <c r="J48" s="23"/>
      <c r="L48" s="18"/>
      <c r="M48" s="19"/>
      <c r="N48" s="20"/>
    </row>
    <row r="49" spans="1:14" ht="15.75" hidden="1" customHeight="1">
      <c r="A49" s="29"/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4"/>
        <v>2.8068728447999995</v>
      </c>
      <c r="I49" s="12">
        <v>0</v>
      </c>
      <c r="J49" s="23"/>
      <c r="L49" s="18"/>
      <c r="M49" s="19"/>
      <c r="N49" s="20"/>
    </row>
    <row r="50" spans="1:14" ht="15.75" customHeight="1">
      <c r="A50" s="29">
        <v>12</v>
      </c>
      <c r="B50" s="65" t="s">
        <v>58</v>
      </c>
      <c r="C50" s="66" t="s">
        <v>112</v>
      </c>
      <c r="D50" s="65" t="s">
        <v>188</v>
      </c>
      <c r="E50" s="67">
        <v>1015.4</v>
      </c>
      <c r="F50" s="68">
        <f>SUM(E50*5/1000)</f>
        <v>5.077</v>
      </c>
      <c r="G50" s="12">
        <v>1297.28</v>
      </c>
      <c r="H50" s="69">
        <f t="shared" si="4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hidden="1" customHeight="1">
      <c r="A51" s="29"/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4"/>
        <v>2.634516224</v>
      </c>
      <c r="I51" s="12">
        <v>0</v>
      </c>
      <c r="J51" s="23"/>
      <c r="L51" s="18"/>
      <c r="M51" s="19"/>
      <c r="N51" s="20"/>
    </row>
    <row r="52" spans="1:14" ht="31.5" hidden="1" customHeight="1">
      <c r="A52" s="29"/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4"/>
        <v>1.7513339999999997</v>
      </c>
      <c r="I52" s="12">
        <v>0</v>
      </c>
      <c r="J52" s="23"/>
      <c r="L52" s="18"/>
      <c r="M52" s="19"/>
      <c r="N52" s="20"/>
    </row>
    <row r="53" spans="1:14" ht="15.75" hidden="1" customHeight="1">
      <c r="A53" s="29"/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4"/>
        <v>0.12084260000000001</v>
      </c>
      <c r="I53" s="12">
        <v>0</v>
      </c>
      <c r="J53" s="23"/>
      <c r="L53" s="18"/>
      <c r="M53" s="19"/>
      <c r="N53" s="20"/>
    </row>
    <row r="54" spans="1:14" ht="15.75" hidden="1" customHeight="1">
      <c r="A54" s="29">
        <v>14</v>
      </c>
      <c r="B54" s="65" t="s">
        <v>138</v>
      </c>
      <c r="C54" s="66" t="s">
        <v>97</v>
      </c>
      <c r="D54" s="65" t="s">
        <v>40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hidden="1" customHeight="1">
      <c r="A55" s="29">
        <v>15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4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165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customHeight="1">
      <c r="A58" s="29">
        <v>13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customHeight="1">
      <c r="A59" s="29">
        <v>14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customHeight="1">
      <c r="A61" s="29">
        <v>15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16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hidden="1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hidden="1" customHeight="1">
      <c r="A66" s="29"/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5">SUM(F66*G66/1000)</f>
        <v>2.3774999999999999</v>
      </c>
      <c r="I66" s="12">
        <v>0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5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5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5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5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5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5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5"/>
        <v>0.2666</v>
      </c>
      <c r="I73" s="12">
        <v>0</v>
      </c>
    </row>
    <row r="74" spans="1:21" ht="15.75" customHeight="1">
      <c r="A74" s="29"/>
      <c r="B74" s="59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/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5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v>0</v>
      </c>
    </row>
    <row r="77" spans="1:21" ht="15.75" customHeight="1">
      <c r="A77" s="29">
        <v>17</v>
      </c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f>G77</f>
        <v>383.25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/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5"/>
        <v>2.4816780000000005</v>
      </c>
      <c r="I79" s="12">
        <f>G79*F79</f>
        <v>2481.6780000000003</v>
      </c>
    </row>
    <row r="80" spans="1:21" ht="15.75" hidden="1" customHeight="1">
      <c r="A80" s="29"/>
      <c r="B80" s="59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21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customHeight="1">
      <c r="A82" s="133" t="s">
        <v>166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18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19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SUM(I16+I17+I18+I25+I26+I37+I38+I39+I41+I42+I44+I50+I58+I59+I61+I64+I77+I83+I84)</f>
        <v>67295.822154283334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 ht="31.5" customHeight="1">
      <c r="A87" s="29">
        <v>20</v>
      </c>
      <c r="B87" s="51" t="s">
        <v>185</v>
      </c>
      <c r="C87" s="52" t="s">
        <v>97</v>
      </c>
      <c r="D87" s="35"/>
      <c r="E87" s="16"/>
      <c r="F87" s="34">
        <v>1</v>
      </c>
      <c r="G87" s="34">
        <v>3107.36</v>
      </c>
      <c r="H87" s="110">
        <f t="shared" ref="H87:H92" si="6">G87*F87/1000</f>
        <v>3.1073600000000003</v>
      </c>
      <c r="I87" s="86">
        <f>G87</f>
        <v>3107.36</v>
      </c>
    </row>
    <row r="88" spans="1:9" ht="15.75" customHeight="1">
      <c r="A88" s="29">
        <v>21</v>
      </c>
      <c r="B88" s="84" t="s">
        <v>155</v>
      </c>
      <c r="C88" s="85" t="s">
        <v>156</v>
      </c>
      <c r="D88" s="48"/>
      <c r="E88" s="34"/>
      <c r="F88" s="34">
        <f>1/100</f>
        <v>0.01</v>
      </c>
      <c r="G88" s="34">
        <v>7412.92</v>
      </c>
      <c r="H88" s="110">
        <f t="shared" si="6"/>
        <v>7.4129199999999992E-2</v>
      </c>
      <c r="I88" s="86">
        <f>G88*0.01</f>
        <v>74.129199999999997</v>
      </c>
    </row>
    <row r="89" spans="1:9" ht="15.75" customHeight="1">
      <c r="A89" s="29">
        <v>22</v>
      </c>
      <c r="B89" s="84" t="s">
        <v>85</v>
      </c>
      <c r="C89" s="85" t="s">
        <v>97</v>
      </c>
      <c r="D89" s="35"/>
      <c r="E89" s="16"/>
      <c r="F89" s="34">
        <v>3</v>
      </c>
      <c r="G89" s="34">
        <v>189.88</v>
      </c>
      <c r="H89" s="110">
        <f t="shared" si="6"/>
        <v>0.56964000000000004</v>
      </c>
      <c r="I89" s="86">
        <f t="shared" ref="I89:I90" si="7">G89</f>
        <v>189.88</v>
      </c>
    </row>
    <row r="90" spans="1:9" ht="15.75" customHeight="1">
      <c r="A90" s="29">
        <v>23</v>
      </c>
      <c r="B90" s="51" t="s">
        <v>98</v>
      </c>
      <c r="C90" s="52" t="s">
        <v>152</v>
      </c>
      <c r="D90" s="35"/>
      <c r="E90" s="16"/>
      <c r="F90" s="34">
        <v>1</v>
      </c>
      <c r="G90" s="34">
        <v>185.08</v>
      </c>
      <c r="H90" s="110">
        <f t="shared" si="6"/>
        <v>0.18508000000000002</v>
      </c>
      <c r="I90" s="86">
        <f t="shared" si="7"/>
        <v>185.08</v>
      </c>
    </row>
    <row r="91" spans="1:9" ht="15.75" customHeight="1">
      <c r="A91" s="29">
        <v>24</v>
      </c>
      <c r="B91" s="111" t="s">
        <v>186</v>
      </c>
      <c r="C91" s="112" t="s">
        <v>97</v>
      </c>
      <c r="D91" s="35"/>
      <c r="E91" s="16"/>
      <c r="F91" s="34">
        <v>1</v>
      </c>
      <c r="G91" s="34">
        <v>126.82</v>
      </c>
      <c r="H91" s="110">
        <f t="shared" si="6"/>
        <v>0.12681999999999999</v>
      </c>
      <c r="I91" s="86">
        <f>G91</f>
        <v>126.82</v>
      </c>
    </row>
    <row r="92" spans="1:9" ht="15.75" customHeight="1">
      <c r="A92" s="29">
        <v>25</v>
      </c>
      <c r="B92" s="51" t="s">
        <v>187</v>
      </c>
      <c r="C92" s="52" t="s">
        <v>152</v>
      </c>
      <c r="D92" s="35"/>
      <c r="E92" s="16"/>
      <c r="F92" s="34">
        <v>3</v>
      </c>
      <c r="G92" s="34">
        <v>86.15</v>
      </c>
      <c r="H92" s="110">
        <f t="shared" si="6"/>
        <v>0.25845000000000007</v>
      </c>
      <c r="I92" s="86">
        <f>G92*2</f>
        <v>172.3</v>
      </c>
    </row>
    <row r="93" spans="1:9">
      <c r="A93" s="29"/>
      <c r="B93" s="42" t="s">
        <v>52</v>
      </c>
      <c r="C93" s="38"/>
      <c r="D93" s="45"/>
      <c r="E93" s="38">
        <v>1</v>
      </c>
      <c r="F93" s="38"/>
      <c r="G93" s="38"/>
      <c r="H93" s="38"/>
      <c r="I93" s="32">
        <f>SUM(I87:I92)</f>
        <v>3855.5692000000004</v>
      </c>
    </row>
    <row r="94" spans="1:9" ht="16.5" customHeight="1">
      <c r="A94" s="29"/>
      <c r="B94" s="44" t="s">
        <v>81</v>
      </c>
      <c r="C94" s="14"/>
      <c r="D94" s="14"/>
      <c r="E94" s="39"/>
      <c r="F94" s="39"/>
      <c r="G94" s="40"/>
      <c r="H94" s="40"/>
      <c r="I94" s="16">
        <v>0</v>
      </c>
    </row>
    <row r="95" spans="1:9" ht="16.5" customHeight="1">
      <c r="A95" s="46"/>
      <c r="B95" s="43" t="s">
        <v>180</v>
      </c>
      <c r="C95" s="33"/>
      <c r="D95" s="33"/>
      <c r="E95" s="33"/>
      <c r="F95" s="33"/>
      <c r="G95" s="33"/>
      <c r="H95" s="33"/>
      <c r="I95" s="41">
        <f>I85+I93</f>
        <v>71151.391354283332</v>
      </c>
    </row>
    <row r="96" spans="1:9" ht="15.75" customHeight="1">
      <c r="A96" s="146" t="s">
        <v>243</v>
      </c>
      <c r="B96" s="146"/>
      <c r="C96" s="146"/>
      <c r="D96" s="146"/>
      <c r="E96" s="146"/>
      <c r="F96" s="146"/>
      <c r="G96" s="146"/>
      <c r="H96" s="146"/>
      <c r="I96" s="146"/>
    </row>
    <row r="97" spans="1:9" ht="15.75" customHeight="1">
      <c r="A97" s="56"/>
      <c r="B97" s="141" t="s">
        <v>244</v>
      </c>
      <c r="C97" s="141"/>
      <c r="D97" s="141"/>
      <c r="E97" s="141"/>
      <c r="F97" s="141"/>
      <c r="G97" s="141"/>
      <c r="H97" s="64"/>
      <c r="I97" s="3"/>
    </row>
    <row r="98" spans="1:9" ht="15.75" customHeight="1">
      <c r="A98" s="54"/>
      <c r="B98" s="137" t="s">
        <v>6</v>
      </c>
      <c r="C98" s="137"/>
      <c r="D98" s="137"/>
      <c r="E98" s="137"/>
      <c r="F98" s="137"/>
      <c r="G98" s="137"/>
      <c r="H98" s="24"/>
      <c r="I98" s="5"/>
    </row>
    <row r="99" spans="1:9" ht="15.75" customHeight="1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142" t="s">
        <v>7</v>
      </c>
      <c r="B100" s="142"/>
      <c r="C100" s="142"/>
      <c r="D100" s="142"/>
      <c r="E100" s="142"/>
      <c r="F100" s="142"/>
      <c r="G100" s="142"/>
      <c r="H100" s="142"/>
      <c r="I100" s="142"/>
    </row>
    <row r="101" spans="1:9" ht="15.75">
      <c r="A101" s="142" t="s">
        <v>8</v>
      </c>
      <c r="B101" s="142"/>
      <c r="C101" s="142"/>
      <c r="D101" s="142"/>
      <c r="E101" s="142"/>
      <c r="F101" s="142"/>
      <c r="G101" s="142"/>
      <c r="H101" s="142"/>
      <c r="I101" s="142"/>
    </row>
    <row r="102" spans="1:9" ht="15.75">
      <c r="A102" s="143" t="s">
        <v>63</v>
      </c>
      <c r="B102" s="143"/>
      <c r="C102" s="143"/>
      <c r="D102" s="143"/>
      <c r="E102" s="143"/>
      <c r="F102" s="143"/>
      <c r="G102" s="143"/>
      <c r="H102" s="143"/>
      <c r="I102" s="143"/>
    </row>
    <row r="103" spans="1:9" ht="15.75">
      <c r="A103" s="10"/>
    </row>
    <row r="104" spans="1:9" ht="15.75">
      <c r="A104" s="144" t="s">
        <v>9</v>
      </c>
      <c r="B104" s="144"/>
      <c r="C104" s="144"/>
      <c r="D104" s="144"/>
      <c r="E104" s="144"/>
      <c r="F104" s="144"/>
      <c r="G104" s="144"/>
      <c r="H104" s="144"/>
      <c r="I104" s="144"/>
    </row>
    <row r="105" spans="1:9" ht="15.75">
      <c r="A105" s="4"/>
    </row>
    <row r="106" spans="1:9" ht="15.75">
      <c r="B106" s="55" t="s">
        <v>10</v>
      </c>
      <c r="C106" s="136" t="s">
        <v>93</v>
      </c>
      <c r="D106" s="136"/>
      <c r="E106" s="136"/>
      <c r="F106" s="62"/>
      <c r="I106" s="58"/>
    </row>
    <row r="107" spans="1:9">
      <c r="A107" s="54"/>
      <c r="C107" s="137" t="s">
        <v>11</v>
      </c>
      <c r="D107" s="137"/>
      <c r="E107" s="137"/>
      <c r="F107" s="24"/>
      <c r="I107" s="57" t="s">
        <v>12</v>
      </c>
    </row>
    <row r="108" spans="1:9" ht="15.75">
      <c r="A108" s="25"/>
      <c r="C108" s="11"/>
      <c r="D108" s="11"/>
      <c r="G108" s="11"/>
      <c r="H108" s="11"/>
    </row>
    <row r="109" spans="1:9" ht="15.75">
      <c r="B109" s="55" t="s">
        <v>13</v>
      </c>
      <c r="C109" s="138"/>
      <c r="D109" s="138"/>
      <c r="E109" s="138"/>
      <c r="F109" s="63"/>
      <c r="I109" s="58"/>
    </row>
    <row r="110" spans="1:9">
      <c r="A110" s="54"/>
      <c r="C110" s="139" t="s">
        <v>11</v>
      </c>
      <c r="D110" s="139"/>
      <c r="E110" s="139"/>
      <c r="F110" s="54"/>
      <c r="I110" s="57" t="s">
        <v>12</v>
      </c>
    </row>
    <row r="111" spans="1:9" ht="15.75">
      <c r="A111" s="4" t="s">
        <v>14</v>
      </c>
    </row>
    <row r="112" spans="1:9">
      <c r="A112" s="140" t="s">
        <v>15</v>
      </c>
      <c r="B112" s="140"/>
      <c r="C112" s="140"/>
      <c r="D112" s="140"/>
      <c r="E112" s="140"/>
      <c r="F112" s="140"/>
      <c r="G112" s="140"/>
      <c r="H112" s="140"/>
      <c r="I112" s="140"/>
    </row>
    <row r="113" spans="1:9" ht="45" customHeight="1">
      <c r="A113" s="129" t="s">
        <v>16</v>
      </c>
      <c r="B113" s="129"/>
      <c r="C113" s="129"/>
      <c r="D113" s="129"/>
      <c r="E113" s="129"/>
      <c r="F113" s="129"/>
      <c r="G113" s="129"/>
      <c r="H113" s="129"/>
      <c r="I113" s="129"/>
    </row>
    <row r="114" spans="1:9" ht="30" customHeight="1">
      <c r="A114" s="129" t="s">
        <v>17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30" customHeight="1">
      <c r="A115" s="129" t="s">
        <v>21</v>
      </c>
      <c r="B115" s="129"/>
      <c r="C115" s="129"/>
      <c r="D115" s="129"/>
      <c r="E115" s="129"/>
      <c r="F115" s="129"/>
      <c r="G115" s="129"/>
      <c r="H115" s="129"/>
      <c r="I115" s="129"/>
    </row>
    <row r="116" spans="1:9" ht="15" customHeight="1">
      <c r="A116" s="129" t="s">
        <v>20</v>
      </c>
      <c r="B116" s="129"/>
      <c r="C116" s="129"/>
      <c r="D116" s="129"/>
      <c r="E116" s="129"/>
      <c r="F116" s="129"/>
      <c r="G116" s="129"/>
      <c r="H116" s="129"/>
      <c r="I116" s="129"/>
    </row>
  </sheetData>
  <autoFilter ref="I12:I67"/>
  <mergeCells count="29">
    <mergeCell ref="R71:U71"/>
    <mergeCell ref="A82:I82"/>
    <mergeCell ref="A3:I3"/>
    <mergeCell ref="A4:I4"/>
    <mergeCell ref="A5:I5"/>
    <mergeCell ref="A8:I8"/>
    <mergeCell ref="A10:I10"/>
    <mergeCell ref="A14:I14"/>
    <mergeCell ref="A102:I102"/>
    <mergeCell ref="A15:I15"/>
    <mergeCell ref="A27:I27"/>
    <mergeCell ref="A45:I45"/>
    <mergeCell ref="A56:I56"/>
    <mergeCell ref="A96:I96"/>
    <mergeCell ref="B97:G97"/>
    <mergeCell ref="B98:G98"/>
    <mergeCell ref="A100:I100"/>
    <mergeCell ref="A101:I101"/>
    <mergeCell ref="A86:I86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U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168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189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42825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v>0</v>
      </c>
      <c r="J19" s="22"/>
      <c r="K19" s="8"/>
      <c r="L19" s="8"/>
      <c r="M19" s="8"/>
    </row>
    <row r="20" spans="1:13" ht="15.75" hidden="1" customHeight="1">
      <c r="A20" s="29"/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v>0</v>
      </c>
      <c r="J20" s="22"/>
      <c r="K20" s="8"/>
      <c r="L20" s="8"/>
      <c r="M20" s="8"/>
    </row>
    <row r="21" spans="1:13" ht="15.75" hidden="1" customHeight="1">
      <c r="A21" s="29"/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v>0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v>0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v>0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v>0</v>
      </c>
      <c r="J24" s="22"/>
      <c r="K24" s="8"/>
      <c r="L24" s="8"/>
      <c r="M24" s="8"/>
    </row>
    <row r="25" spans="1:13" ht="15.75" customHeight="1">
      <c r="A25" s="29">
        <v>4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5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hidden="1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31.5" hidden="1" customHeight="1">
      <c r="A29" s="29">
        <v>6</v>
      </c>
      <c r="B29" s="65" t="s">
        <v>111</v>
      </c>
      <c r="C29" s="66" t="s">
        <v>148</v>
      </c>
      <c r="D29" s="65" t="s">
        <v>149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1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hidden="1" customHeight="1">
      <c r="A30" s="29">
        <v>7</v>
      </c>
      <c r="B30" s="65" t="s">
        <v>162</v>
      </c>
      <c r="C30" s="66" t="s">
        <v>112</v>
      </c>
      <c r="D30" s="65" t="s">
        <v>150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1"/>
        <v>2.5216468991999998</v>
      </c>
      <c r="I30" s="12">
        <f t="shared" ref="I30:I33" si="2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1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hidden="1" customHeight="1">
      <c r="A32" s="29">
        <v>8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2"/>
        <v>2157.3829999999998</v>
      </c>
      <c r="J32" s="22"/>
      <c r="K32" s="8"/>
      <c r="L32" s="8"/>
      <c r="M32" s="8"/>
    </row>
    <row r="33" spans="1:14" ht="15.75" hidden="1" customHeight="1">
      <c r="A33" s="29">
        <v>9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2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1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1"/>
        <v>2.2726599999999997</v>
      </c>
      <c r="I35" s="12">
        <v>0</v>
      </c>
      <c r="J35" s="23"/>
    </row>
    <row r="36" spans="1:14" ht="15.75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3">SUM(F37*G37/1000)</f>
        <v>13.060799999999999</v>
      </c>
      <c r="I37" s="12">
        <f>F37/6*G37</f>
        <v>2176.7999999999997</v>
      </c>
      <c r="J37" s="23"/>
    </row>
    <row r="38" spans="1:14" ht="15.75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3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3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customHeight="1">
      <c r="A43" s="29">
        <v>11</v>
      </c>
      <c r="B43" s="124" t="s">
        <v>119</v>
      </c>
      <c r="C43" s="125" t="s">
        <v>112</v>
      </c>
      <c r="D43" s="124" t="s">
        <v>245</v>
      </c>
      <c r="E43" s="126">
        <v>116.93</v>
      </c>
      <c r="F43" s="127">
        <f>SUM(E43*15/1000)</f>
        <v>1.7539500000000001</v>
      </c>
      <c r="G43" s="126">
        <v>458.28</v>
      </c>
      <c r="H43" s="128">
        <f t="shared" ref="H43" si="4">SUM(F43*G43/1000)</f>
        <v>0.80380020600000002</v>
      </c>
      <c r="I43" s="12">
        <f>F43/2*G43</f>
        <v>401.900103</v>
      </c>
      <c r="J43" s="23"/>
      <c r="L43" s="18"/>
      <c r="M43" s="19"/>
      <c r="N43" s="20"/>
    </row>
    <row r="44" spans="1:14" ht="15.75" customHeight="1">
      <c r="A44" s="29">
        <v>12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3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hidden="1" customHeight="1">
      <c r="A46" s="29"/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5">SUM(F46*G46/1000)</f>
        <v>1.87141248</v>
      </c>
      <c r="I46" s="12">
        <v>0</v>
      </c>
      <c r="J46" s="23"/>
      <c r="L46" s="18"/>
      <c r="M46" s="19"/>
      <c r="N46" s="20"/>
    </row>
    <row r="47" spans="1:14" ht="15.75" hidden="1" customHeight="1">
      <c r="A47" s="29"/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5"/>
        <v>0.16353744000000001</v>
      </c>
      <c r="I47" s="12">
        <v>0</v>
      </c>
      <c r="J47" s="23"/>
      <c r="L47" s="18"/>
      <c r="M47" s="19"/>
      <c r="N47" s="20"/>
    </row>
    <row r="48" spans="1:14" ht="15.75" hidden="1" customHeight="1">
      <c r="A48" s="29"/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5"/>
        <v>5.2632047223999994</v>
      </c>
      <c r="I48" s="12">
        <v>0</v>
      </c>
      <c r="J48" s="23"/>
      <c r="L48" s="18"/>
      <c r="M48" s="19"/>
      <c r="N48" s="20"/>
    </row>
    <row r="49" spans="1:14" ht="15.75" hidden="1" customHeight="1">
      <c r="A49" s="29"/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5"/>
        <v>2.8068728447999995</v>
      </c>
      <c r="I49" s="12">
        <v>0</v>
      </c>
      <c r="J49" s="23"/>
      <c r="L49" s="18"/>
      <c r="M49" s="19"/>
      <c r="N49" s="20"/>
    </row>
    <row r="50" spans="1:14" ht="31.5" hidden="1" customHeight="1">
      <c r="A50" s="29">
        <v>13</v>
      </c>
      <c r="B50" s="65" t="s">
        <v>58</v>
      </c>
      <c r="C50" s="66" t="s">
        <v>112</v>
      </c>
      <c r="D50" s="65" t="s">
        <v>164</v>
      </c>
      <c r="E50" s="67">
        <v>1015.4</v>
      </c>
      <c r="F50" s="68">
        <f>SUM(E50*5/1000)</f>
        <v>5.077</v>
      </c>
      <c r="G50" s="12">
        <v>1297.28</v>
      </c>
      <c r="H50" s="69">
        <f t="shared" si="5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customHeight="1">
      <c r="A51" s="29">
        <v>13</v>
      </c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5"/>
        <v>2.634516224</v>
      </c>
      <c r="I51" s="12">
        <f t="shared" ref="I51:I52" si="6">F51/2*G51</f>
        <v>1317.258112</v>
      </c>
      <c r="J51" s="23"/>
      <c r="L51" s="18"/>
      <c r="M51" s="19"/>
      <c r="N51" s="20"/>
    </row>
    <row r="52" spans="1:14" ht="31.5" customHeight="1">
      <c r="A52" s="29">
        <v>14</v>
      </c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5"/>
        <v>1.7513339999999997</v>
      </c>
      <c r="I52" s="12">
        <f t="shared" si="6"/>
        <v>875.66699999999992</v>
      </c>
      <c r="J52" s="23"/>
      <c r="L52" s="18"/>
      <c r="M52" s="19"/>
      <c r="N52" s="20"/>
    </row>
    <row r="53" spans="1:14" ht="15.75" customHeight="1">
      <c r="A53" s="29">
        <v>15</v>
      </c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5"/>
        <v>0.12084260000000001</v>
      </c>
      <c r="I53" s="12">
        <f>F53/2*G53</f>
        <v>60.421300000000002</v>
      </c>
      <c r="J53" s="23"/>
      <c r="L53" s="18"/>
      <c r="M53" s="19"/>
      <c r="N53" s="20"/>
    </row>
    <row r="54" spans="1:14" ht="15.75" hidden="1" customHeight="1">
      <c r="A54" s="29">
        <v>14</v>
      </c>
      <c r="B54" s="65" t="s">
        <v>138</v>
      </c>
      <c r="C54" s="66" t="s">
        <v>97</v>
      </c>
      <c r="D54" s="65" t="s">
        <v>40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hidden="1" customHeight="1">
      <c r="A55" s="29">
        <v>15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5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165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customHeight="1">
      <c r="A58" s="29">
        <v>16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customHeight="1">
      <c r="A59" s="29">
        <v>17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customHeight="1">
      <c r="A61" s="29">
        <v>18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19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hidden="1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hidden="1" customHeight="1">
      <c r="A66" s="29"/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7">SUM(F66*G66/1000)</f>
        <v>2.3774999999999999</v>
      </c>
      <c r="I66" s="12">
        <v>0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7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7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7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7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7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7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7"/>
        <v>0.2666</v>
      </c>
      <c r="I73" s="12">
        <v>0</v>
      </c>
    </row>
    <row r="74" spans="1:21" ht="15.75" hidden="1" customHeight="1">
      <c r="A74" s="29"/>
      <c r="B74" s="59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18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7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f t="shared" ref="I76" si="8">G76*0.1</f>
        <v>91.185000000000002</v>
      </c>
    </row>
    <row r="77" spans="1:21" ht="15.75" hidden="1" customHeight="1">
      <c r="A77" s="29">
        <v>19</v>
      </c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f>G77</f>
        <v>383.25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/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7"/>
        <v>2.4816780000000005</v>
      </c>
      <c r="I79" s="12">
        <f>G79*F79</f>
        <v>2481.6780000000003</v>
      </c>
    </row>
    <row r="80" spans="1:21" ht="15.75" hidden="1" customHeight="1">
      <c r="A80" s="29"/>
      <c r="B80" s="59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21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customHeight="1">
      <c r="A82" s="133" t="s">
        <v>166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20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21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SUM(I16+I17+I18+I25+I26+I37+I38+I39+I41+I42+I43+I44+I51+I52+I53+I58+I59+I61+I64+I83+I84)</f>
        <v>68250.56055728333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 ht="31.5" customHeight="1">
      <c r="A87" s="29">
        <v>22</v>
      </c>
      <c r="B87" s="89" t="s">
        <v>158</v>
      </c>
      <c r="C87" s="29" t="s">
        <v>159</v>
      </c>
      <c r="D87" s="35"/>
      <c r="E87" s="16"/>
      <c r="F87" s="34">
        <v>1</v>
      </c>
      <c r="G87" s="34">
        <v>1934.94</v>
      </c>
      <c r="H87" s="34">
        <f>G87*F87/1000</f>
        <v>1.9349400000000001</v>
      </c>
      <c r="I87" s="86">
        <f>G87</f>
        <v>1934.94</v>
      </c>
    </row>
    <row r="88" spans="1:9" ht="31.5" customHeight="1">
      <c r="A88" s="29">
        <v>23</v>
      </c>
      <c r="B88" s="84" t="s">
        <v>86</v>
      </c>
      <c r="C88" s="85" t="s">
        <v>37</v>
      </c>
      <c r="D88" s="48"/>
      <c r="E88" s="34"/>
      <c r="F88" s="34">
        <v>0.03</v>
      </c>
      <c r="G88" s="34">
        <v>3581.13</v>
      </c>
      <c r="H88" s="110">
        <f>G88*F88/1000</f>
        <v>0.1074339</v>
      </c>
      <c r="I88" s="86">
        <f>G88*0.02</f>
        <v>71.622600000000006</v>
      </c>
    </row>
    <row r="89" spans="1:9" ht="31.5" customHeight="1">
      <c r="A89" s="29">
        <v>24</v>
      </c>
      <c r="B89" s="51" t="s">
        <v>190</v>
      </c>
      <c r="C89" s="52" t="s">
        <v>29</v>
      </c>
      <c r="D89" s="48"/>
      <c r="E89" s="34"/>
      <c r="F89" s="113">
        <f>0.001</f>
        <v>1E-3</v>
      </c>
      <c r="G89" s="34">
        <v>1591.6</v>
      </c>
      <c r="H89" s="114">
        <f>G89*F89/1000</f>
        <v>1.5915999999999999E-3</v>
      </c>
      <c r="I89" s="86">
        <f>G89*0.001</f>
        <v>1.5915999999999999</v>
      </c>
    </row>
    <row r="90" spans="1:9">
      <c r="A90" s="29"/>
      <c r="B90" s="42" t="s">
        <v>52</v>
      </c>
      <c r="C90" s="38"/>
      <c r="D90" s="45"/>
      <c r="E90" s="38">
        <v>1</v>
      </c>
      <c r="F90" s="38"/>
      <c r="G90" s="38"/>
      <c r="H90" s="38"/>
      <c r="I90" s="32">
        <f>SUM(I87:I89)</f>
        <v>2008.1541999999999</v>
      </c>
    </row>
    <row r="91" spans="1:9" ht="16.5" customHeight="1">
      <c r="A91" s="29"/>
      <c r="B91" s="44" t="s">
        <v>81</v>
      </c>
      <c r="C91" s="14"/>
      <c r="D91" s="14"/>
      <c r="E91" s="39"/>
      <c r="F91" s="39"/>
      <c r="G91" s="40"/>
      <c r="H91" s="40"/>
      <c r="I91" s="16">
        <v>0</v>
      </c>
    </row>
    <row r="92" spans="1:9" ht="16.5" customHeight="1">
      <c r="A92" s="46"/>
      <c r="B92" s="43" t="s">
        <v>180</v>
      </c>
      <c r="C92" s="33"/>
      <c r="D92" s="33"/>
      <c r="E92" s="33"/>
      <c r="F92" s="33"/>
      <c r="G92" s="33"/>
      <c r="H92" s="33"/>
      <c r="I92" s="41">
        <f>I85+I90</f>
        <v>70258.714757283335</v>
      </c>
    </row>
    <row r="93" spans="1:9" ht="15.75" customHeight="1">
      <c r="A93" s="146" t="s">
        <v>191</v>
      </c>
      <c r="B93" s="146"/>
      <c r="C93" s="146"/>
      <c r="D93" s="146"/>
      <c r="E93" s="146"/>
      <c r="F93" s="146"/>
      <c r="G93" s="146"/>
      <c r="H93" s="146"/>
      <c r="I93" s="146"/>
    </row>
    <row r="94" spans="1:9" ht="15.75" customHeight="1">
      <c r="A94" s="56"/>
      <c r="B94" s="141" t="s">
        <v>192</v>
      </c>
      <c r="C94" s="141"/>
      <c r="D94" s="141"/>
      <c r="E94" s="141"/>
      <c r="F94" s="141"/>
      <c r="G94" s="141"/>
      <c r="H94" s="64"/>
      <c r="I94" s="3"/>
    </row>
    <row r="95" spans="1:9" ht="15.75" customHeight="1">
      <c r="A95" s="54"/>
      <c r="B95" s="137" t="s">
        <v>6</v>
      </c>
      <c r="C95" s="137"/>
      <c r="D95" s="137"/>
      <c r="E95" s="137"/>
      <c r="F95" s="137"/>
      <c r="G95" s="137"/>
      <c r="H95" s="24"/>
      <c r="I95" s="5"/>
    </row>
    <row r="96" spans="1:9" ht="15.75" customHeight="1">
      <c r="A96" s="9"/>
      <c r="B96" s="9"/>
      <c r="C96" s="9"/>
      <c r="D96" s="9"/>
      <c r="E96" s="9"/>
      <c r="F96" s="9"/>
      <c r="G96" s="9"/>
      <c r="H96" s="9"/>
      <c r="I96" s="9"/>
    </row>
    <row r="97" spans="1:9" ht="15.75">
      <c r="A97" s="142" t="s">
        <v>7</v>
      </c>
      <c r="B97" s="142"/>
      <c r="C97" s="142"/>
      <c r="D97" s="142"/>
      <c r="E97" s="142"/>
      <c r="F97" s="142"/>
      <c r="G97" s="142"/>
      <c r="H97" s="142"/>
      <c r="I97" s="142"/>
    </row>
    <row r="98" spans="1:9" ht="15.75">
      <c r="A98" s="142" t="s">
        <v>8</v>
      </c>
      <c r="B98" s="142"/>
      <c r="C98" s="142"/>
      <c r="D98" s="142"/>
      <c r="E98" s="142"/>
      <c r="F98" s="142"/>
      <c r="G98" s="142"/>
      <c r="H98" s="142"/>
      <c r="I98" s="142"/>
    </row>
    <row r="99" spans="1:9" ht="15.75">
      <c r="A99" s="143" t="s">
        <v>63</v>
      </c>
      <c r="B99" s="143"/>
      <c r="C99" s="143"/>
      <c r="D99" s="143"/>
      <c r="E99" s="143"/>
      <c r="F99" s="143"/>
      <c r="G99" s="143"/>
      <c r="H99" s="143"/>
      <c r="I99" s="143"/>
    </row>
    <row r="100" spans="1:9" ht="15.75">
      <c r="A100" s="10"/>
    </row>
    <row r="101" spans="1:9" ht="15.75">
      <c r="A101" s="144" t="s">
        <v>9</v>
      </c>
      <c r="B101" s="144"/>
      <c r="C101" s="144"/>
      <c r="D101" s="144"/>
      <c r="E101" s="144"/>
      <c r="F101" s="144"/>
      <c r="G101" s="144"/>
      <c r="H101" s="144"/>
      <c r="I101" s="144"/>
    </row>
    <row r="102" spans="1:9" ht="15.75">
      <c r="A102" s="4"/>
    </row>
    <row r="103" spans="1:9" ht="15.75">
      <c r="B103" s="55" t="s">
        <v>10</v>
      </c>
      <c r="C103" s="136" t="s">
        <v>93</v>
      </c>
      <c r="D103" s="136"/>
      <c r="E103" s="136"/>
      <c r="F103" s="62"/>
      <c r="I103" s="58"/>
    </row>
    <row r="104" spans="1:9">
      <c r="A104" s="54"/>
      <c r="C104" s="137" t="s">
        <v>11</v>
      </c>
      <c r="D104" s="137"/>
      <c r="E104" s="137"/>
      <c r="F104" s="24"/>
      <c r="I104" s="57" t="s">
        <v>12</v>
      </c>
    </row>
    <row r="105" spans="1:9" ht="15.75">
      <c r="A105" s="25"/>
      <c r="C105" s="11"/>
      <c r="D105" s="11"/>
      <c r="G105" s="11"/>
      <c r="H105" s="11"/>
    </row>
    <row r="106" spans="1:9" ht="15.75">
      <c r="B106" s="55" t="s">
        <v>13</v>
      </c>
      <c r="C106" s="138"/>
      <c r="D106" s="138"/>
      <c r="E106" s="138"/>
      <c r="F106" s="63"/>
      <c r="I106" s="58"/>
    </row>
    <row r="107" spans="1:9">
      <c r="A107" s="54"/>
      <c r="C107" s="139" t="s">
        <v>11</v>
      </c>
      <c r="D107" s="139"/>
      <c r="E107" s="139"/>
      <c r="F107" s="54"/>
      <c r="I107" s="57" t="s">
        <v>12</v>
      </c>
    </row>
    <row r="108" spans="1:9" ht="15.75">
      <c r="A108" s="4" t="s">
        <v>14</v>
      </c>
    </row>
    <row r="109" spans="1:9">
      <c r="A109" s="140" t="s">
        <v>15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45" customHeight="1">
      <c r="A110" s="129" t="s">
        <v>16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30" customHeight="1">
      <c r="A111" s="129" t="s">
        <v>17</v>
      </c>
      <c r="B111" s="129"/>
      <c r="C111" s="129"/>
      <c r="D111" s="129"/>
      <c r="E111" s="129"/>
      <c r="F111" s="129"/>
      <c r="G111" s="129"/>
      <c r="H111" s="129"/>
      <c r="I111" s="129"/>
    </row>
    <row r="112" spans="1:9" ht="30" customHeight="1">
      <c r="A112" s="129" t="s">
        <v>21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15" customHeight="1">
      <c r="A113" s="129" t="s">
        <v>20</v>
      </c>
      <c r="B113" s="129"/>
      <c r="C113" s="129"/>
      <c r="D113" s="129"/>
      <c r="E113" s="129"/>
      <c r="F113" s="129"/>
      <c r="G113" s="129"/>
      <c r="H113" s="129"/>
      <c r="I113" s="129"/>
    </row>
  </sheetData>
  <autoFilter ref="I12:I67"/>
  <mergeCells count="29">
    <mergeCell ref="R71:U71"/>
    <mergeCell ref="A82:I82"/>
    <mergeCell ref="A3:I3"/>
    <mergeCell ref="A4:I4"/>
    <mergeCell ref="A5:I5"/>
    <mergeCell ref="A8:I8"/>
    <mergeCell ref="A10:I10"/>
    <mergeCell ref="A14:I14"/>
    <mergeCell ref="A99:I99"/>
    <mergeCell ref="A15:I15"/>
    <mergeCell ref="A27:I27"/>
    <mergeCell ref="A45:I45"/>
    <mergeCell ref="A56:I56"/>
    <mergeCell ref="A93:I93"/>
    <mergeCell ref="B94:G94"/>
    <mergeCell ref="B95:G95"/>
    <mergeCell ref="A97:I97"/>
    <mergeCell ref="A98:I98"/>
    <mergeCell ref="A86:I86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U11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169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193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42855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v>0</v>
      </c>
      <c r="J19" s="22"/>
      <c r="K19" s="8"/>
      <c r="L19" s="8"/>
      <c r="M19" s="8"/>
    </row>
    <row r="20" spans="1:13" ht="15.75" hidden="1" customHeight="1">
      <c r="A20" s="29"/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v>0</v>
      </c>
      <c r="J20" s="22"/>
      <c r="K20" s="8"/>
      <c r="L20" s="8"/>
      <c r="M20" s="8"/>
    </row>
    <row r="21" spans="1:13" ht="15.75" hidden="1" customHeight="1">
      <c r="A21" s="29"/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v>0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v>0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v>0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v>0</v>
      </c>
      <c r="J24" s="22"/>
      <c r="K24" s="8"/>
      <c r="L24" s="8"/>
      <c r="M24" s="8"/>
    </row>
    <row r="25" spans="1:13" ht="15.75" customHeight="1">
      <c r="A25" s="29">
        <v>4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5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hidden="1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31.5" hidden="1" customHeight="1">
      <c r="A29" s="29">
        <v>6</v>
      </c>
      <c r="B29" s="65" t="s">
        <v>111</v>
      </c>
      <c r="C29" s="66" t="s">
        <v>148</v>
      </c>
      <c r="D29" s="65" t="s">
        <v>149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1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hidden="1" customHeight="1">
      <c r="A30" s="29">
        <v>7</v>
      </c>
      <c r="B30" s="65" t="s">
        <v>162</v>
      </c>
      <c r="C30" s="66" t="s">
        <v>112</v>
      </c>
      <c r="D30" s="65" t="s">
        <v>150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1"/>
        <v>2.5216468991999998</v>
      </c>
      <c r="I30" s="12">
        <f t="shared" ref="I30:I33" si="2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1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hidden="1" customHeight="1">
      <c r="A32" s="29">
        <v>8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2"/>
        <v>2157.3829999999998</v>
      </c>
      <c r="J32" s="22"/>
      <c r="K32" s="8"/>
      <c r="L32" s="8"/>
      <c r="M32" s="8"/>
    </row>
    <row r="33" spans="1:14" ht="15.75" hidden="1" customHeight="1">
      <c r="A33" s="29">
        <v>9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2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1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1"/>
        <v>2.2726599999999997</v>
      </c>
      <c r="I35" s="12">
        <v>0</v>
      </c>
      <c r="J35" s="23"/>
    </row>
    <row r="36" spans="1:14" ht="15.75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3">SUM(F37*G37/1000)</f>
        <v>13.060799999999999</v>
      </c>
      <c r="I37" s="12">
        <f>F37/6*G37</f>
        <v>2176.7999999999997</v>
      </c>
      <c r="J37" s="23"/>
    </row>
    <row r="38" spans="1:14" ht="15.75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3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3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customHeight="1">
      <c r="A43" s="29">
        <v>11</v>
      </c>
      <c r="B43" s="124" t="s">
        <v>119</v>
      </c>
      <c r="C43" s="125" t="s">
        <v>112</v>
      </c>
      <c r="D43" s="124" t="s">
        <v>245</v>
      </c>
      <c r="E43" s="126">
        <v>116.93</v>
      </c>
      <c r="F43" s="127">
        <f>SUM(E43*15/1000)</f>
        <v>1.7539500000000001</v>
      </c>
      <c r="G43" s="126">
        <v>458.28</v>
      </c>
      <c r="H43" s="128">
        <f t="shared" ref="H43" si="4">SUM(F43*G43/1000)</f>
        <v>0.80380020600000002</v>
      </c>
      <c r="I43" s="12">
        <f>F43/2*G43</f>
        <v>401.900103</v>
      </c>
      <c r="J43" s="23"/>
      <c r="L43" s="18"/>
      <c r="M43" s="19"/>
      <c r="N43" s="20"/>
    </row>
    <row r="44" spans="1:14" ht="15.75" customHeight="1">
      <c r="A44" s="29">
        <v>12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3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hidden="1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hidden="1" customHeight="1">
      <c r="A46" s="29"/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5">SUM(F46*G46/1000)</f>
        <v>1.87141248</v>
      </c>
      <c r="I46" s="12">
        <v>0</v>
      </c>
      <c r="J46" s="23"/>
      <c r="L46" s="18"/>
      <c r="M46" s="19"/>
      <c r="N46" s="20"/>
    </row>
    <row r="47" spans="1:14" ht="15.75" hidden="1" customHeight="1">
      <c r="A47" s="29"/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5"/>
        <v>0.16353744000000001</v>
      </c>
      <c r="I47" s="12">
        <v>0</v>
      </c>
      <c r="J47" s="23"/>
      <c r="L47" s="18"/>
      <c r="M47" s="19"/>
      <c r="N47" s="20"/>
    </row>
    <row r="48" spans="1:14" ht="15.75" hidden="1" customHeight="1">
      <c r="A48" s="29"/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5"/>
        <v>5.2632047223999994</v>
      </c>
      <c r="I48" s="12">
        <v>0</v>
      </c>
      <c r="J48" s="23"/>
      <c r="L48" s="18"/>
      <c r="M48" s="19"/>
      <c r="N48" s="20"/>
    </row>
    <row r="49" spans="1:14" ht="15.75" hidden="1" customHeight="1">
      <c r="A49" s="29"/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5"/>
        <v>2.8068728447999995</v>
      </c>
      <c r="I49" s="12">
        <v>0</v>
      </c>
      <c r="J49" s="23"/>
      <c r="L49" s="18"/>
      <c r="M49" s="19"/>
      <c r="N49" s="20"/>
    </row>
    <row r="50" spans="1:14" ht="31.5" hidden="1" customHeight="1">
      <c r="A50" s="29">
        <v>13</v>
      </c>
      <c r="B50" s="65" t="s">
        <v>58</v>
      </c>
      <c r="C50" s="66" t="s">
        <v>112</v>
      </c>
      <c r="D50" s="65" t="s">
        <v>164</v>
      </c>
      <c r="E50" s="67">
        <v>1015.4</v>
      </c>
      <c r="F50" s="68">
        <f>SUM(E50*5/1000)</f>
        <v>5.077</v>
      </c>
      <c r="G50" s="12">
        <v>1297.28</v>
      </c>
      <c r="H50" s="69">
        <f t="shared" si="5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hidden="1" customHeight="1">
      <c r="A51" s="29">
        <v>13</v>
      </c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5"/>
        <v>2.634516224</v>
      </c>
      <c r="I51" s="12">
        <f>F51/2*G51</f>
        <v>1317.258112</v>
      </c>
      <c r="J51" s="23"/>
      <c r="L51" s="18"/>
      <c r="M51" s="19"/>
      <c r="N51" s="20"/>
    </row>
    <row r="52" spans="1:14" ht="31.5" hidden="1" customHeight="1">
      <c r="A52" s="29">
        <v>14</v>
      </c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5"/>
        <v>1.7513339999999997</v>
      </c>
      <c r="I52" s="12">
        <f>F52/2*G52</f>
        <v>875.66699999999992</v>
      </c>
      <c r="J52" s="23"/>
      <c r="L52" s="18"/>
      <c r="M52" s="19"/>
      <c r="N52" s="20"/>
    </row>
    <row r="53" spans="1:14" ht="15.75" hidden="1" customHeight="1">
      <c r="A53" s="29"/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5"/>
        <v>0.12084260000000001</v>
      </c>
      <c r="I53" s="12">
        <v>0</v>
      </c>
      <c r="J53" s="23"/>
      <c r="L53" s="18"/>
      <c r="M53" s="19"/>
      <c r="N53" s="20"/>
    </row>
    <row r="54" spans="1:14" ht="15.75" hidden="1" customHeight="1">
      <c r="A54" s="29">
        <v>15</v>
      </c>
      <c r="B54" s="65" t="s">
        <v>138</v>
      </c>
      <c r="C54" s="66" t="s">
        <v>97</v>
      </c>
      <c r="D54" s="65" t="s">
        <v>73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hidden="1" customHeight="1">
      <c r="A55" s="29">
        <v>16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5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172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customHeight="1">
      <c r="A58" s="29">
        <v>13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customHeight="1">
      <c r="A59" s="29">
        <v>14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customHeight="1">
      <c r="A61" s="29">
        <v>15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16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hidden="1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hidden="1" customHeight="1">
      <c r="A66" s="29"/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6">SUM(F66*G66/1000)</f>
        <v>2.3774999999999999</v>
      </c>
      <c r="I66" s="12">
        <v>0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6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6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6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6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6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6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6"/>
        <v>0.2666</v>
      </c>
      <c r="I73" s="12">
        <v>0</v>
      </c>
    </row>
    <row r="74" spans="1:21" ht="15.75" hidden="1" customHeight="1">
      <c r="A74" s="29"/>
      <c r="B74" s="59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21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6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v>0</v>
      </c>
    </row>
    <row r="77" spans="1:21" ht="15.75" hidden="1" customHeight="1">
      <c r="A77" s="29">
        <v>21</v>
      </c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f>G77</f>
        <v>383.25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>
        <v>22</v>
      </c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6"/>
        <v>2.4816780000000005</v>
      </c>
      <c r="I79" s="12">
        <f>G79*F79</f>
        <v>2481.6780000000003</v>
      </c>
    </row>
    <row r="80" spans="1:21" ht="15.75" hidden="1" customHeight="1">
      <c r="A80" s="29"/>
      <c r="B80" s="59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23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customHeight="1">
      <c r="A82" s="133" t="s">
        <v>173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17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18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SUM(I16+I17+I18+I25+I26+I37+I38+I39+I41+I42+I43+I44+I58+I59+I61+I64+I83+I84)</f>
        <v>65997.214145283331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>
      <c r="A87" s="29"/>
      <c r="B87" s="42" t="s">
        <v>52</v>
      </c>
      <c r="C87" s="38"/>
      <c r="D87" s="45"/>
      <c r="E87" s="38">
        <v>1</v>
      </c>
      <c r="F87" s="38"/>
      <c r="G87" s="38"/>
      <c r="H87" s="38"/>
      <c r="I87" s="32">
        <f>SUM(A86)</f>
        <v>0</v>
      </c>
    </row>
    <row r="88" spans="1:9" ht="16.5" customHeight="1">
      <c r="A88" s="29"/>
      <c r="B88" s="44" t="s">
        <v>81</v>
      </c>
      <c r="C88" s="14"/>
      <c r="D88" s="14"/>
      <c r="E88" s="39"/>
      <c r="F88" s="39"/>
      <c r="G88" s="40"/>
      <c r="H88" s="40"/>
      <c r="I88" s="16">
        <v>0</v>
      </c>
    </row>
    <row r="89" spans="1:9" ht="16.5" customHeight="1">
      <c r="A89" s="46"/>
      <c r="B89" s="43" t="s">
        <v>180</v>
      </c>
      <c r="C89" s="33"/>
      <c r="D89" s="33"/>
      <c r="E89" s="33"/>
      <c r="F89" s="33"/>
      <c r="G89" s="33"/>
      <c r="H89" s="33"/>
      <c r="I89" s="41">
        <f>I85+I87</f>
        <v>65997.214145283331</v>
      </c>
    </row>
    <row r="90" spans="1:9" ht="15.75" customHeight="1">
      <c r="A90" s="146" t="s">
        <v>194</v>
      </c>
      <c r="B90" s="146"/>
      <c r="C90" s="146"/>
      <c r="D90" s="146"/>
      <c r="E90" s="146"/>
      <c r="F90" s="146"/>
      <c r="G90" s="146"/>
      <c r="H90" s="146"/>
      <c r="I90" s="146"/>
    </row>
    <row r="91" spans="1:9" ht="15.75" customHeight="1">
      <c r="A91" s="56"/>
      <c r="B91" s="141" t="s">
        <v>195</v>
      </c>
      <c r="C91" s="141"/>
      <c r="D91" s="141"/>
      <c r="E91" s="141"/>
      <c r="F91" s="141"/>
      <c r="G91" s="141"/>
      <c r="H91" s="64"/>
      <c r="I91" s="3"/>
    </row>
    <row r="92" spans="1:9" ht="15.75" customHeight="1">
      <c r="A92" s="54"/>
      <c r="B92" s="137" t="s">
        <v>6</v>
      </c>
      <c r="C92" s="137"/>
      <c r="D92" s="137"/>
      <c r="E92" s="137"/>
      <c r="F92" s="137"/>
      <c r="G92" s="137"/>
      <c r="H92" s="24"/>
      <c r="I92" s="5"/>
    </row>
    <row r="93" spans="1:9" ht="15.75" customHeight="1">
      <c r="A93" s="9"/>
      <c r="B93" s="9"/>
      <c r="C93" s="9"/>
      <c r="D93" s="9"/>
      <c r="E93" s="9"/>
      <c r="F93" s="9"/>
      <c r="G93" s="9"/>
      <c r="H93" s="9"/>
      <c r="I93" s="9"/>
    </row>
    <row r="94" spans="1:9" ht="15.75">
      <c r="A94" s="142" t="s">
        <v>7</v>
      </c>
      <c r="B94" s="142"/>
      <c r="C94" s="142"/>
      <c r="D94" s="142"/>
      <c r="E94" s="142"/>
      <c r="F94" s="142"/>
      <c r="G94" s="142"/>
      <c r="H94" s="142"/>
      <c r="I94" s="142"/>
    </row>
    <row r="95" spans="1:9" ht="15.75">
      <c r="A95" s="142" t="s">
        <v>8</v>
      </c>
      <c r="B95" s="142"/>
      <c r="C95" s="142"/>
      <c r="D95" s="142"/>
      <c r="E95" s="142"/>
      <c r="F95" s="142"/>
      <c r="G95" s="142"/>
      <c r="H95" s="142"/>
      <c r="I95" s="142"/>
    </row>
    <row r="96" spans="1:9" ht="15.75">
      <c r="A96" s="143" t="s">
        <v>63</v>
      </c>
      <c r="B96" s="143"/>
      <c r="C96" s="143"/>
      <c r="D96" s="143"/>
      <c r="E96" s="143"/>
      <c r="F96" s="143"/>
      <c r="G96" s="143"/>
      <c r="H96" s="143"/>
      <c r="I96" s="143"/>
    </row>
    <row r="97" spans="1:9" ht="15.75">
      <c r="A97" s="10"/>
    </row>
    <row r="98" spans="1:9" ht="15.75">
      <c r="A98" s="144" t="s">
        <v>9</v>
      </c>
      <c r="B98" s="144"/>
      <c r="C98" s="144"/>
      <c r="D98" s="144"/>
      <c r="E98" s="144"/>
      <c r="F98" s="144"/>
      <c r="G98" s="144"/>
      <c r="H98" s="144"/>
      <c r="I98" s="144"/>
    </row>
    <row r="99" spans="1:9" ht="15.75">
      <c r="A99" s="4"/>
    </row>
    <row r="100" spans="1:9" ht="15.75">
      <c r="B100" s="55" t="s">
        <v>10</v>
      </c>
      <c r="C100" s="136" t="s">
        <v>93</v>
      </c>
      <c r="D100" s="136"/>
      <c r="E100" s="136"/>
      <c r="F100" s="62"/>
      <c r="I100" s="58"/>
    </row>
    <row r="101" spans="1:9">
      <c r="A101" s="54"/>
      <c r="C101" s="137" t="s">
        <v>11</v>
      </c>
      <c r="D101" s="137"/>
      <c r="E101" s="137"/>
      <c r="F101" s="24"/>
      <c r="I101" s="57" t="s">
        <v>12</v>
      </c>
    </row>
    <row r="102" spans="1:9" ht="15.75">
      <c r="A102" s="25"/>
      <c r="C102" s="11"/>
      <c r="D102" s="11"/>
      <c r="G102" s="11"/>
      <c r="H102" s="11"/>
    </row>
    <row r="103" spans="1:9" ht="15.75">
      <c r="B103" s="55" t="s">
        <v>13</v>
      </c>
      <c r="C103" s="138"/>
      <c r="D103" s="138"/>
      <c r="E103" s="138"/>
      <c r="F103" s="63"/>
      <c r="I103" s="58"/>
    </row>
    <row r="104" spans="1:9">
      <c r="A104" s="54"/>
      <c r="C104" s="139" t="s">
        <v>11</v>
      </c>
      <c r="D104" s="139"/>
      <c r="E104" s="139"/>
      <c r="F104" s="54"/>
      <c r="I104" s="57" t="s">
        <v>12</v>
      </c>
    </row>
    <row r="105" spans="1:9" ht="15.75">
      <c r="A105" s="4" t="s">
        <v>14</v>
      </c>
    </row>
    <row r="106" spans="1:9">
      <c r="A106" s="140" t="s">
        <v>15</v>
      </c>
      <c r="B106" s="140"/>
      <c r="C106" s="140"/>
      <c r="D106" s="140"/>
      <c r="E106" s="140"/>
      <c r="F106" s="140"/>
      <c r="G106" s="140"/>
      <c r="H106" s="140"/>
      <c r="I106" s="140"/>
    </row>
    <row r="107" spans="1:9" ht="45" customHeight="1">
      <c r="A107" s="129" t="s">
        <v>16</v>
      </c>
      <c r="B107" s="129"/>
      <c r="C107" s="129"/>
      <c r="D107" s="129"/>
      <c r="E107" s="129"/>
      <c r="F107" s="129"/>
      <c r="G107" s="129"/>
      <c r="H107" s="129"/>
      <c r="I107" s="129"/>
    </row>
    <row r="108" spans="1:9" ht="30" customHeight="1">
      <c r="A108" s="129" t="s">
        <v>17</v>
      </c>
      <c r="B108" s="129"/>
      <c r="C108" s="129"/>
      <c r="D108" s="129"/>
      <c r="E108" s="129"/>
      <c r="F108" s="129"/>
      <c r="G108" s="129"/>
      <c r="H108" s="129"/>
      <c r="I108" s="129"/>
    </row>
    <row r="109" spans="1:9" ht="30" customHeight="1">
      <c r="A109" s="129" t="s">
        <v>21</v>
      </c>
      <c r="B109" s="129"/>
      <c r="C109" s="129"/>
      <c r="D109" s="129"/>
      <c r="E109" s="129"/>
      <c r="F109" s="129"/>
      <c r="G109" s="129"/>
      <c r="H109" s="129"/>
      <c r="I109" s="129"/>
    </row>
    <row r="110" spans="1:9" ht="15" customHeight="1">
      <c r="A110" s="129" t="s">
        <v>20</v>
      </c>
      <c r="B110" s="129"/>
      <c r="C110" s="129"/>
      <c r="D110" s="129"/>
      <c r="E110" s="129"/>
      <c r="F110" s="129"/>
      <c r="G110" s="129"/>
      <c r="H110" s="129"/>
      <c r="I110" s="129"/>
    </row>
  </sheetData>
  <autoFilter ref="I12:I67"/>
  <mergeCells count="29">
    <mergeCell ref="R71:U71"/>
    <mergeCell ref="A82:I82"/>
    <mergeCell ref="A3:I3"/>
    <mergeCell ref="A4:I4"/>
    <mergeCell ref="A5:I5"/>
    <mergeCell ref="A8:I8"/>
    <mergeCell ref="A10:I10"/>
    <mergeCell ref="A14:I14"/>
    <mergeCell ref="A96:I96"/>
    <mergeCell ref="A15:I15"/>
    <mergeCell ref="A27:I27"/>
    <mergeCell ref="A45:I45"/>
    <mergeCell ref="A56:I56"/>
    <mergeCell ref="A90:I90"/>
    <mergeCell ref="B91:G91"/>
    <mergeCell ref="B92:G92"/>
    <mergeCell ref="A94:I94"/>
    <mergeCell ref="A95:I95"/>
    <mergeCell ref="A86:I86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U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170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196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42886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f>F19/2*G19</f>
        <v>849.47300000000007</v>
      </c>
      <c r="J19" s="22"/>
      <c r="K19" s="8"/>
      <c r="L19" s="8"/>
      <c r="M19" s="8"/>
    </row>
    <row r="20" spans="1:13" ht="15.75" customHeight="1">
      <c r="A20" s="29">
        <v>5</v>
      </c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f t="shared" ref="I20:I21" si="1">F20/2*G20</f>
        <v>100.61712000000001</v>
      </c>
      <c r="J20" s="22"/>
      <c r="K20" s="8"/>
      <c r="L20" s="8"/>
      <c r="M20" s="8"/>
    </row>
    <row r="21" spans="1:13" ht="15.75" customHeight="1">
      <c r="A21" s="29">
        <v>6</v>
      </c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f t="shared" si="1"/>
        <v>23.287824000000001</v>
      </c>
      <c r="J21" s="22"/>
      <c r="K21" s="8"/>
      <c r="L21" s="8"/>
      <c r="M21" s="8"/>
    </row>
    <row r="22" spans="1:13" ht="15.75" customHeight="1">
      <c r="A22" s="29">
        <v>7</v>
      </c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f>F22*G22</f>
        <v>1849.6598399999998</v>
      </c>
      <c r="J22" s="22"/>
      <c r="K22" s="8"/>
      <c r="L22" s="8"/>
      <c r="M22" s="8"/>
    </row>
    <row r="23" spans="1:13" ht="15.75" customHeight="1">
      <c r="A23" s="29">
        <v>8</v>
      </c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f t="shared" ref="I23:I24" si="2">F23*G23</f>
        <v>16.705080000000002</v>
      </c>
      <c r="J23" s="22"/>
      <c r="K23" s="8"/>
      <c r="L23" s="8"/>
      <c r="M23" s="8"/>
    </row>
    <row r="24" spans="1:13" ht="15.75" customHeight="1">
      <c r="A24" s="29">
        <v>9</v>
      </c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f t="shared" si="2"/>
        <v>160.34112000000002</v>
      </c>
      <c r="J24" s="22"/>
      <c r="K24" s="8"/>
      <c r="L24" s="8"/>
      <c r="M24" s="8"/>
    </row>
    <row r="25" spans="1:13" ht="15.75" customHeight="1">
      <c r="A25" s="29">
        <v>10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11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15.75" customHeight="1">
      <c r="A29" s="29">
        <v>6</v>
      </c>
      <c r="B29" s="65" t="s">
        <v>111</v>
      </c>
      <c r="C29" s="66" t="s">
        <v>148</v>
      </c>
      <c r="D29" s="65" t="s">
        <v>228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3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customHeight="1">
      <c r="A30" s="29">
        <v>7</v>
      </c>
      <c r="B30" s="65" t="s">
        <v>162</v>
      </c>
      <c r="C30" s="66" t="s">
        <v>112</v>
      </c>
      <c r="D30" s="65" t="s">
        <v>229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3"/>
        <v>2.5216468991999998</v>
      </c>
      <c r="I30" s="12">
        <f t="shared" ref="I30:I33" si="4">F30/6*G30</f>
        <v>420.27448320000002</v>
      </c>
      <c r="J30" s="22"/>
      <c r="K30" s="8"/>
      <c r="L30" s="8"/>
      <c r="M30" s="8"/>
    </row>
    <row r="31" spans="1:13" ht="15.75" customHeight="1">
      <c r="A31" s="29">
        <v>8</v>
      </c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3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customHeight="1">
      <c r="A32" s="29">
        <v>9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4"/>
        <v>2157.3829999999998</v>
      </c>
      <c r="J32" s="22"/>
      <c r="K32" s="8"/>
      <c r="L32" s="8"/>
      <c r="M32" s="8"/>
    </row>
    <row r="33" spans="1:14" ht="15.75" customHeight="1">
      <c r="A33" s="29">
        <v>10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4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3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3"/>
        <v>2.2726599999999997</v>
      </c>
      <c r="I35" s="12">
        <v>0</v>
      </c>
      <c r="J35" s="23"/>
    </row>
    <row r="36" spans="1:14" ht="15.75" hidden="1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hidden="1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5">SUM(F37*G37/1000)</f>
        <v>13.060799999999999</v>
      </c>
      <c r="I37" s="12">
        <f>F37/6*G37</f>
        <v>2176.7999999999997</v>
      </c>
      <c r="J37" s="23"/>
    </row>
    <row r="38" spans="1:14" ht="15.75" hidden="1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hidden="1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hidden="1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5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hidden="1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5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hidden="1" customHeight="1">
      <c r="A43" s="29">
        <v>11</v>
      </c>
      <c r="B43" s="65" t="s">
        <v>119</v>
      </c>
      <c r="C43" s="66" t="s">
        <v>112</v>
      </c>
      <c r="D43" s="65" t="s">
        <v>71</v>
      </c>
      <c r="E43" s="68">
        <v>116.93</v>
      </c>
      <c r="F43" s="68">
        <f>SUM(E43*45/1000)</f>
        <v>5.2618500000000008</v>
      </c>
      <c r="G43" s="68">
        <v>458.28</v>
      </c>
      <c r="H43" s="69">
        <f t="shared" si="5"/>
        <v>2.4114006180000001</v>
      </c>
      <c r="I43" s="12">
        <f>F43/6*G43</f>
        <v>401.90010300000006</v>
      </c>
      <c r="J43" s="23"/>
      <c r="L43" s="18"/>
      <c r="M43" s="19"/>
      <c r="N43" s="20"/>
    </row>
    <row r="44" spans="1:14" ht="15.75" hidden="1" customHeight="1">
      <c r="A44" s="29">
        <v>12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5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customHeight="1">
      <c r="A46" s="29">
        <v>11</v>
      </c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6">SUM(F46*G46/1000)</f>
        <v>1.87141248</v>
      </c>
      <c r="I46" s="12">
        <f t="shared" ref="I46:I48" si="7">F46/2*G46</f>
        <v>935.70623999999998</v>
      </c>
      <c r="J46" s="23"/>
      <c r="L46" s="18"/>
      <c r="M46" s="19"/>
      <c r="N46" s="20"/>
    </row>
    <row r="47" spans="1:14" ht="15.75" customHeight="1">
      <c r="A47" s="29">
        <v>12</v>
      </c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6"/>
        <v>0.16353744000000001</v>
      </c>
      <c r="I47" s="12">
        <f t="shared" si="7"/>
        <v>81.768720000000002</v>
      </c>
      <c r="J47" s="23"/>
      <c r="L47" s="18"/>
      <c r="M47" s="19"/>
      <c r="N47" s="20"/>
    </row>
    <row r="48" spans="1:14" ht="15.75" customHeight="1">
      <c r="A48" s="29">
        <v>13</v>
      </c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6"/>
        <v>5.2632047223999994</v>
      </c>
      <c r="I48" s="12">
        <f t="shared" si="7"/>
        <v>2631.6023611999999</v>
      </c>
      <c r="J48" s="23"/>
      <c r="L48" s="18"/>
      <c r="M48" s="19"/>
      <c r="N48" s="20"/>
    </row>
    <row r="49" spans="1:14" ht="15.75" customHeight="1">
      <c r="A49" s="29">
        <v>14</v>
      </c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6"/>
        <v>2.8068728447999995</v>
      </c>
      <c r="I49" s="12">
        <f>F49/2*G49</f>
        <v>1403.4364223999999</v>
      </c>
      <c r="J49" s="23"/>
      <c r="L49" s="18"/>
      <c r="M49" s="19"/>
      <c r="N49" s="20"/>
    </row>
    <row r="50" spans="1:14" ht="15.75" customHeight="1">
      <c r="A50" s="29">
        <v>15</v>
      </c>
      <c r="B50" s="65" t="s">
        <v>58</v>
      </c>
      <c r="C50" s="66" t="s">
        <v>112</v>
      </c>
      <c r="D50" s="65" t="s">
        <v>188</v>
      </c>
      <c r="E50" s="67">
        <v>1015.4</v>
      </c>
      <c r="F50" s="68">
        <f>SUM(E50*5/1000)</f>
        <v>5.077</v>
      </c>
      <c r="G50" s="12">
        <v>1297.28</v>
      </c>
      <c r="H50" s="69">
        <f t="shared" si="6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hidden="1" customHeight="1">
      <c r="A51" s="29"/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6"/>
        <v>2.634516224</v>
      </c>
      <c r="I51" s="12">
        <v>0</v>
      </c>
      <c r="J51" s="23"/>
      <c r="L51" s="18"/>
      <c r="M51" s="19"/>
      <c r="N51" s="20"/>
    </row>
    <row r="52" spans="1:14" ht="31.5" hidden="1" customHeight="1">
      <c r="A52" s="29"/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6"/>
        <v>1.7513339999999997</v>
      </c>
      <c r="I52" s="12">
        <v>0</v>
      </c>
      <c r="J52" s="23"/>
      <c r="L52" s="18"/>
      <c r="M52" s="19"/>
      <c r="N52" s="20"/>
    </row>
    <row r="53" spans="1:14" ht="15.75" hidden="1" customHeight="1">
      <c r="A53" s="29"/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6"/>
        <v>0.12084260000000001</v>
      </c>
      <c r="I53" s="12">
        <v>0</v>
      </c>
      <c r="J53" s="23"/>
      <c r="L53" s="18"/>
      <c r="M53" s="19"/>
      <c r="N53" s="20"/>
    </row>
    <row r="54" spans="1:14" ht="15.75" customHeight="1">
      <c r="A54" s="29">
        <v>16</v>
      </c>
      <c r="B54" s="65" t="s">
        <v>138</v>
      </c>
      <c r="C54" s="66" t="s">
        <v>97</v>
      </c>
      <c r="D54" s="65" t="s">
        <v>73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customHeight="1">
      <c r="A55" s="29">
        <v>17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6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165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hidden="1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hidden="1" customHeight="1">
      <c r="A58" s="29">
        <v>16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hidden="1" customHeight="1">
      <c r="A59" s="29">
        <v>17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hidden="1" customHeight="1">
      <c r="A61" s="29">
        <v>19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18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customHeight="1">
      <c r="A66" s="29">
        <v>19</v>
      </c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8">SUM(F66*G66/1000)</f>
        <v>2.3774999999999999</v>
      </c>
      <c r="I66" s="12">
        <f>G66</f>
        <v>237.75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8"/>
        <v>0.40755000000000002</v>
      </c>
      <c r="I67" s="12">
        <v>0</v>
      </c>
      <c r="J67" s="23"/>
      <c r="L67" s="18"/>
    </row>
    <row r="68" spans="1:21" ht="15.75" customHeight="1">
      <c r="A68" s="29">
        <v>20</v>
      </c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8"/>
        <v>32.215519499999999</v>
      </c>
      <c r="I68" s="12">
        <f>F68*G68</f>
        <v>32215.519500000002</v>
      </c>
    </row>
    <row r="69" spans="1:21" ht="15.75" customHeight="1">
      <c r="A69" s="29">
        <v>21</v>
      </c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8"/>
        <v>2.5087450499999999</v>
      </c>
      <c r="I69" s="12">
        <f t="shared" ref="I69:I72" si="9">F69*G69</f>
        <v>2508.74505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customHeight="1">
      <c r="A70" s="29">
        <v>22</v>
      </c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8"/>
        <v>47.260891800000003</v>
      </c>
      <c r="I70" s="12">
        <f t="shared" si="9"/>
        <v>47260.891800000005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customHeight="1">
      <c r="A71" s="29">
        <v>23</v>
      </c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8"/>
        <v>0.53252160000000004</v>
      </c>
      <c r="I71" s="12">
        <f t="shared" si="9"/>
        <v>532.52160000000003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customHeight="1">
      <c r="A72" s="29">
        <v>24</v>
      </c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8"/>
        <v>0.49682880000000007</v>
      </c>
      <c r="I72" s="12">
        <f t="shared" si="9"/>
        <v>496.82880000000006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8"/>
        <v>0.2666</v>
      </c>
      <c r="I73" s="12">
        <v>0</v>
      </c>
    </row>
    <row r="74" spans="1:21" ht="15.75" hidden="1" customHeight="1">
      <c r="A74" s="29"/>
      <c r="B74" s="59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21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8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v>0</v>
      </c>
    </row>
    <row r="77" spans="1:21" ht="15.75" hidden="1" customHeight="1">
      <c r="A77" s="29"/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v>0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>
        <v>22</v>
      </c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8"/>
        <v>2.4816780000000005</v>
      </c>
      <c r="I79" s="12">
        <f>G79*F79</f>
        <v>2481.6780000000003</v>
      </c>
    </row>
    <row r="80" spans="1:21" ht="15.75" hidden="1" customHeight="1">
      <c r="A80" s="29"/>
      <c r="B80" s="59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23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customHeight="1">
      <c r="A82" s="133" t="s">
        <v>166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25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26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SUM(I16+I17+I18+I19+I20+I21+I22+I23+I24+I25+I26+I29+I30+I31+I32+I33+I46+I47+I48+I49+I50+I54+I55+I64+I66+I68+I69+I70+I71+I72+I83+I84)</f>
        <v>178169.6795543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 ht="31.5" customHeight="1">
      <c r="A87" s="29">
        <v>27</v>
      </c>
      <c r="B87" s="84" t="s">
        <v>181</v>
      </c>
      <c r="C87" s="85" t="s">
        <v>146</v>
      </c>
      <c r="D87" s="44"/>
      <c r="E87" s="12"/>
      <c r="F87" s="12">
        <v>2</v>
      </c>
      <c r="G87" s="12">
        <v>54.17</v>
      </c>
      <c r="H87" s="12">
        <f t="shared" ref="H87" si="10">G87*F87/1000</f>
        <v>0.10834000000000001</v>
      </c>
      <c r="I87" s="86">
        <f>G87</f>
        <v>54.17</v>
      </c>
    </row>
    <row r="88" spans="1:9" ht="31.5" customHeight="1">
      <c r="A88" s="29">
        <v>28</v>
      </c>
      <c r="B88" s="84" t="s">
        <v>197</v>
      </c>
      <c r="C88" s="85" t="s">
        <v>152</v>
      </c>
      <c r="D88" s="44"/>
      <c r="E88" s="12"/>
      <c r="F88" s="12">
        <v>1</v>
      </c>
      <c r="G88" s="12">
        <v>832.06</v>
      </c>
      <c r="H88" s="80">
        <f t="shared" ref="H88" si="11">G88*F88/1000</f>
        <v>0.83205999999999991</v>
      </c>
      <c r="I88" s="86">
        <f t="shared" ref="I88:I90" si="12">G88</f>
        <v>832.06</v>
      </c>
    </row>
    <row r="89" spans="1:9" ht="15.75" customHeight="1">
      <c r="A89" s="29">
        <v>29</v>
      </c>
      <c r="B89" s="84" t="s">
        <v>198</v>
      </c>
      <c r="C89" s="85" t="s">
        <v>97</v>
      </c>
      <c r="D89" s="44"/>
      <c r="E89" s="12"/>
      <c r="F89" s="12">
        <v>4</v>
      </c>
      <c r="G89" s="12">
        <v>112</v>
      </c>
      <c r="H89" s="80">
        <f>G89*F89/1000</f>
        <v>0.44800000000000001</v>
      </c>
      <c r="I89" s="86">
        <f t="shared" si="12"/>
        <v>112</v>
      </c>
    </row>
    <row r="90" spans="1:9" ht="15.75" customHeight="1">
      <c r="A90" s="29">
        <v>30</v>
      </c>
      <c r="B90" s="84" t="s">
        <v>199</v>
      </c>
      <c r="C90" s="85" t="s">
        <v>97</v>
      </c>
      <c r="D90" s="44"/>
      <c r="E90" s="12"/>
      <c r="F90" s="12">
        <v>2</v>
      </c>
      <c r="G90" s="12">
        <v>140</v>
      </c>
      <c r="H90" s="80">
        <f t="shared" ref="H90" si="13">G90*F90/1000</f>
        <v>0.28000000000000003</v>
      </c>
      <c r="I90" s="86">
        <f t="shared" si="12"/>
        <v>140</v>
      </c>
    </row>
    <row r="91" spans="1:9" ht="15.75" customHeight="1">
      <c r="A91" s="115">
        <v>31</v>
      </c>
      <c r="B91" s="84" t="s">
        <v>200</v>
      </c>
      <c r="C91" s="88" t="s">
        <v>201</v>
      </c>
      <c r="D91" s="44"/>
      <c r="E91" s="12"/>
      <c r="F91" s="12">
        <v>1</v>
      </c>
      <c r="G91" s="12">
        <v>294.45</v>
      </c>
      <c r="H91" s="80">
        <f>G91*F91/1000</f>
        <v>0.29444999999999999</v>
      </c>
      <c r="I91" s="86">
        <f>G91</f>
        <v>294.45</v>
      </c>
    </row>
    <row r="92" spans="1:9">
      <c r="A92" s="29"/>
      <c r="B92" s="42" t="s">
        <v>52</v>
      </c>
      <c r="C92" s="38"/>
      <c r="D92" s="45"/>
      <c r="E92" s="38">
        <v>1</v>
      </c>
      <c r="F92" s="38"/>
      <c r="G92" s="38"/>
      <c r="H92" s="38"/>
      <c r="I92" s="32">
        <f>SUM(I87:I91)</f>
        <v>1432.68</v>
      </c>
    </row>
    <row r="93" spans="1:9" ht="16.5" customHeight="1">
      <c r="A93" s="29"/>
      <c r="B93" s="44" t="s">
        <v>81</v>
      </c>
      <c r="C93" s="14"/>
      <c r="D93" s="14"/>
      <c r="E93" s="39"/>
      <c r="F93" s="39"/>
      <c r="G93" s="40"/>
      <c r="H93" s="40"/>
      <c r="I93" s="16">
        <v>0</v>
      </c>
    </row>
    <row r="94" spans="1:9" ht="16.5" customHeight="1">
      <c r="A94" s="46"/>
      <c r="B94" s="43" t="s">
        <v>180</v>
      </c>
      <c r="C94" s="33"/>
      <c r="D94" s="33"/>
      <c r="E94" s="33"/>
      <c r="F94" s="33"/>
      <c r="G94" s="33"/>
      <c r="H94" s="33"/>
      <c r="I94" s="41">
        <f>I85+I92</f>
        <v>179602.3595543</v>
      </c>
    </row>
    <row r="95" spans="1:9" ht="15.75" customHeight="1">
      <c r="A95" s="146" t="s">
        <v>211</v>
      </c>
      <c r="B95" s="146"/>
      <c r="C95" s="146"/>
      <c r="D95" s="146"/>
      <c r="E95" s="146"/>
      <c r="F95" s="146"/>
      <c r="G95" s="146"/>
      <c r="H95" s="146"/>
      <c r="I95" s="146"/>
    </row>
    <row r="96" spans="1:9" ht="15.75" customHeight="1">
      <c r="A96" s="56"/>
      <c r="B96" s="141" t="s">
        <v>212</v>
      </c>
      <c r="C96" s="141"/>
      <c r="D96" s="141"/>
      <c r="E96" s="141"/>
      <c r="F96" s="141"/>
      <c r="G96" s="141"/>
      <c r="H96" s="64"/>
      <c r="I96" s="3"/>
    </row>
    <row r="97" spans="1:9" ht="15.75" customHeight="1">
      <c r="A97" s="54"/>
      <c r="B97" s="137" t="s">
        <v>6</v>
      </c>
      <c r="C97" s="137"/>
      <c r="D97" s="137"/>
      <c r="E97" s="137"/>
      <c r="F97" s="137"/>
      <c r="G97" s="137"/>
      <c r="H97" s="24"/>
      <c r="I97" s="5"/>
    </row>
    <row r="98" spans="1:9" ht="15.75" customHeight="1">
      <c r="A98" s="9"/>
      <c r="B98" s="9"/>
      <c r="C98" s="9"/>
      <c r="D98" s="9"/>
      <c r="E98" s="9"/>
      <c r="F98" s="9"/>
      <c r="G98" s="9"/>
      <c r="H98" s="9"/>
      <c r="I98" s="9"/>
    </row>
    <row r="99" spans="1:9" ht="15.75">
      <c r="A99" s="142" t="s">
        <v>7</v>
      </c>
      <c r="B99" s="142"/>
      <c r="C99" s="142"/>
      <c r="D99" s="142"/>
      <c r="E99" s="142"/>
      <c r="F99" s="142"/>
      <c r="G99" s="142"/>
      <c r="H99" s="142"/>
      <c r="I99" s="142"/>
    </row>
    <row r="100" spans="1:9" ht="15.75">
      <c r="A100" s="142" t="s">
        <v>8</v>
      </c>
      <c r="B100" s="142"/>
      <c r="C100" s="142"/>
      <c r="D100" s="142"/>
      <c r="E100" s="142"/>
      <c r="F100" s="142"/>
      <c r="G100" s="142"/>
      <c r="H100" s="142"/>
      <c r="I100" s="142"/>
    </row>
    <row r="101" spans="1:9" ht="15.75">
      <c r="A101" s="143" t="s">
        <v>63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5.75">
      <c r="A102" s="10"/>
    </row>
    <row r="103" spans="1:9" ht="15.75">
      <c r="A103" s="144" t="s">
        <v>9</v>
      </c>
      <c r="B103" s="144"/>
      <c r="C103" s="144"/>
      <c r="D103" s="144"/>
      <c r="E103" s="144"/>
      <c r="F103" s="144"/>
      <c r="G103" s="144"/>
      <c r="H103" s="144"/>
      <c r="I103" s="144"/>
    </row>
    <row r="104" spans="1:9" ht="15.75">
      <c r="A104" s="4"/>
    </row>
    <row r="105" spans="1:9" ht="15.75">
      <c r="B105" s="55" t="s">
        <v>10</v>
      </c>
      <c r="C105" s="136" t="s">
        <v>93</v>
      </c>
      <c r="D105" s="136"/>
      <c r="E105" s="136"/>
      <c r="F105" s="62"/>
      <c r="I105" s="58"/>
    </row>
    <row r="106" spans="1:9">
      <c r="A106" s="54"/>
      <c r="C106" s="137" t="s">
        <v>11</v>
      </c>
      <c r="D106" s="137"/>
      <c r="E106" s="137"/>
      <c r="F106" s="24"/>
      <c r="I106" s="57" t="s">
        <v>12</v>
      </c>
    </row>
    <row r="107" spans="1:9" ht="15.75">
      <c r="A107" s="25"/>
      <c r="C107" s="11"/>
      <c r="D107" s="11"/>
      <c r="G107" s="11"/>
      <c r="H107" s="11"/>
    </row>
    <row r="108" spans="1:9" ht="15.75">
      <c r="B108" s="55" t="s">
        <v>13</v>
      </c>
      <c r="C108" s="138"/>
      <c r="D108" s="138"/>
      <c r="E108" s="138"/>
      <c r="F108" s="63"/>
      <c r="I108" s="58"/>
    </row>
    <row r="109" spans="1:9">
      <c r="A109" s="54"/>
      <c r="C109" s="139" t="s">
        <v>11</v>
      </c>
      <c r="D109" s="139"/>
      <c r="E109" s="139"/>
      <c r="F109" s="54"/>
      <c r="I109" s="57" t="s">
        <v>12</v>
      </c>
    </row>
    <row r="110" spans="1:9" ht="15.75">
      <c r="A110" s="4" t="s">
        <v>14</v>
      </c>
    </row>
    <row r="111" spans="1:9">
      <c r="A111" s="140" t="s">
        <v>15</v>
      </c>
      <c r="B111" s="140"/>
      <c r="C111" s="140"/>
      <c r="D111" s="140"/>
      <c r="E111" s="140"/>
      <c r="F111" s="140"/>
      <c r="G111" s="140"/>
      <c r="H111" s="140"/>
      <c r="I111" s="140"/>
    </row>
    <row r="112" spans="1:9" ht="45" customHeight="1">
      <c r="A112" s="129" t="s">
        <v>16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30" customHeight="1">
      <c r="A113" s="129" t="s">
        <v>17</v>
      </c>
      <c r="B113" s="129"/>
      <c r="C113" s="129"/>
      <c r="D113" s="129"/>
      <c r="E113" s="129"/>
      <c r="F113" s="129"/>
      <c r="G113" s="129"/>
      <c r="H113" s="129"/>
      <c r="I113" s="129"/>
    </row>
    <row r="114" spans="1:9" ht="30" customHeight="1">
      <c r="A114" s="129" t="s">
        <v>21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15" customHeight="1">
      <c r="A115" s="129" t="s">
        <v>20</v>
      </c>
      <c r="B115" s="129"/>
      <c r="C115" s="129"/>
      <c r="D115" s="129"/>
      <c r="E115" s="129"/>
      <c r="F115" s="129"/>
      <c r="G115" s="129"/>
      <c r="H115" s="129"/>
      <c r="I115" s="129"/>
    </row>
  </sheetData>
  <autoFilter ref="I12:I67"/>
  <mergeCells count="29">
    <mergeCell ref="R71:U71"/>
    <mergeCell ref="A82:I82"/>
    <mergeCell ref="A3:I3"/>
    <mergeCell ref="A4:I4"/>
    <mergeCell ref="A5:I5"/>
    <mergeCell ref="A8:I8"/>
    <mergeCell ref="A10:I10"/>
    <mergeCell ref="A14:I14"/>
    <mergeCell ref="A101:I101"/>
    <mergeCell ref="A15:I15"/>
    <mergeCell ref="A27:I27"/>
    <mergeCell ref="A45:I45"/>
    <mergeCell ref="A56:I56"/>
    <mergeCell ref="A95:I95"/>
    <mergeCell ref="B96:G96"/>
    <mergeCell ref="B97:G97"/>
    <mergeCell ref="A99:I99"/>
    <mergeCell ref="A100:I100"/>
    <mergeCell ref="A86:I86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U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171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202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42916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v>0</v>
      </c>
      <c r="J19" s="22"/>
      <c r="K19" s="8"/>
      <c r="L19" s="8"/>
      <c r="M19" s="8"/>
    </row>
    <row r="20" spans="1:13" ht="15.75" hidden="1" customHeight="1">
      <c r="A20" s="29"/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v>0</v>
      </c>
      <c r="J20" s="22"/>
      <c r="K20" s="8"/>
      <c r="L20" s="8"/>
      <c r="M20" s="8"/>
    </row>
    <row r="21" spans="1:13" ht="15.75" hidden="1" customHeight="1">
      <c r="A21" s="29"/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v>0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v>0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v>0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v>0</v>
      </c>
      <c r="J24" s="22"/>
      <c r="K24" s="8"/>
      <c r="L24" s="8"/>
      <c r="M24" s="8"/>
    </row>
    <row r="25" spans="1:13" ht="15.75" customHeight="1">
      <c r="A25" s="29">
        <v>4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5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15.75" customHeight="1">
      <c r="A29" s="29">
        <v>6</v>
      </c>
      <c r="B29" s="65" t="s">
        <v>111</v>
      </c>
      <c r="C29" s="66" t="s">
        <v>148</v>
      </c>
      <c r="D29" s="65" t="s">
        <v>228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1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customHeight="1">
      <c r="A30" s="29">
        <v>7</v>
      </c>
      <c r="B30" s="65" t="s">
        <v>162</v>
      </c>
      <c r="C30" s="66" t="s">
        <v>112</v>
      </c>
      <c r="D30" s="65" t="s">
        <v>229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1"/>
        <v>2.5216468991999998</v>
      </c>
      <c r="I30" s="12">
        <f t="shared" ref="I30:I33" si="2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1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customHeight="1">
      <c r="A32" s="29">
        <v>8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2"/>
        <v>2157.3829999999998</v>
      </c>
      <c r="J32" s="22"/>
      <c r="K32" s="8"/>
      <c r="L32" s="8"/>
      <c r="M32" s="8"/>
    </row>
    <row r="33" spans="1:14" ht="15.75" customHeight="1">
      <c r="A33" s="29">
        <v>9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2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1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1"/>
        <v>2.2726599999999997</v>
      </c>
      <c r="I35" s="12">
        <v>0</v>
      </c>
      <c r="J35" s="23"/>
    </row>
    <row r="36" spans="1:14" ht="15.75" hidden="1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hidden="1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3">SUM(F37*G37/1000)</f>
        <v>13.060799999999999</v>
      </c>
      <c r="I37" s="12">
        <f>F37/6*G37</f>
        <v>2176.7999999999997</v>
      </c>
      <c r="J37" s="23"/>
    </row>
    <row r="38" spans="1:14" ht="15.75" hidden="1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hidden="1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hidden="1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3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hidden="1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3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hidden="1" customHeight="1">
      <c r="A43" s="29">
        <v>11</v>
      </c>
      <c r="B43" s="65" t="s">
        <v>119</v>
      </c>
      <c r="C43" s="66" t="s">
        <v>112</v>
      </c>
      <c r="D43" s="65" t="s">
        <v>71</v>
      </c>
      <c r="E43" s="68">
        <v>116.93</v>
      </c>
      <c r="F43" s="68">
        <f>SUM(E43*45/1000)</f>
        <v>5.2618500000000008</v>
      </c>
      <c r="G43" s="68">
        <v>458.28</v>
      </c>
      <c r="H43" s="69">
        <f t="shared" si="3"/>
        <v>2.4114006180000001</v>
      </c>
      <c r="I43" s="12">
        <f>F43/6*G43</f>
        <v>401.90010300000006</v>
      </c>
      <c r="J43" s="23"/>
      <c r="L43" s="18"/>
      <c r="M43" s="19"/>
      <c r="N43" s="20"/>
    </row>
    <row r="44" spans="1:14" ht="15.75" hidden="1" customHeight="1">
      <c r="A44" s="29">
        <v>12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3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hidden="1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hidden="1" customHeight="1">
      <c r="A46" s="29"/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4">SUM(F46*G46/1000)</f>
        <v>1.87141248</v>
      </c>
      <c r="I46" s="12">
        <v>0</v>
      </c>
      <c r="J46" s="23"/>
      <c r="L46" s="18"/>
      <c r="M46" s="19"/>
      <c r="N46" s="20"/>
    </row>
    <row r="47" spans="1:14" ht="15.75" hidden="1" customHeight="1">
      <c r="A47" s="29"/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4"/>
        <v>0.16353744000000001</v>
      </c>
      <c r="I47" s="12">
        <v>0</v>
      </c>
      <c r="J47" s="23"/>
      <c r="L47" s="18"/>
      <c r="M47" s="19"/>
      <c r="N47" s="20"/>
    </row>
    <row r="48" spans="1:14" ht="15.75" hidden="1" customHeight="1">
      <c r="A48" s="29"/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4"/>
        <v>5.2632047223999994</v>
      </c>
      <c r="I48" s="12">
        <v>0</v>
      </c>
      <c r="J48" s="23"/>
      <c r="L48" s="18"/>
      <c r="M48" s="19"/>
      <c r="N48" s="20"/>
    </row>
    <row r="49" spans="1:14" ht="15.75" hidden="1" customHeight="1">
      <c r="A49" s="29"/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4"/>
        <v>2.8068728447999995</v>
      </c>
      <c r="I49" s="12">
        <v>0</v>
      </c>
      <c r="J49" s="23"/>
      <c r="L49" s="18"/>
      <c r="M49" s="19"/>
      <c r="N49" s="20"/>
    </row>
    <row r="50" spans="1:14" ht="31.5" hidden="1" customHeight="1">
      <c r="A50" s="29">
        <v>13</v>
      </c>
      <c r="B50" s="65" t="s">
        <v>58</v>
      </c>
      <c r="C50" s="66" t="s">
        <v>112</v>
      </c>
      <c r="D50" s="65" t="s">
        <v>164</v>
      </c>
      <c r="E50" s="67">
        <v>1015.4</v>
      </c>
      <c r="F50" s="68">
        <f>SUM(E50*5/1000)</f>
        <v>5.077</v>
      </c>
      <c r="G50" s="12">
        <v>1297.28</v>
      </c>
      <c r="H50" s="69">
        <f t="shared" si="4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hidden="1" customHeight="1">
      <c r="A51" s="29"/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4"/>
        <v>2.634516224</v>
      </c>
      <c r="I51" s="12">
        <v>0</v>
      </c>
      <c r="J51" s="23"/>
      <c r="L51" s="18"/>
      <c r="M51" s="19"/>
      <c r="N51" s="20"/>
    </row>
    <row r="52" spans="1:14" ht="31.5" hidden="1" customHeight="1">
      <c r="A52" s="29"/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4"/>
        <v>1.7513339999999997</v>
      </c>
      <c r="I52" s="12">
        <v>0</v>
      </c>
      <c r="J52" s="23"/>
      <c r="L52" s="18"/>
      <c r="M52" s="19"/>
      <c r="N52" s="20"/>
    </row>
    <row r="53" spans="1:14" ht="15.75" hidden="1" customHeight="1">
      <c r="A53" s="29"/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4"/>
        <v>0.12084260000000001</v>
      </c>
      <c r="I53" s="12">
        <v>0</v>
      </c>
      <c r="J53" s="23"/>
      <c r="L53" s="18"/>
      <c r="M53" s="19"/>
      <c r="N53" s="20"/>
    </row>
    <row r="54" spans="1:14" ht="15.75" hidden="1" customHeight="1">
      <c r="A54" s="29">
        <v>14</v>
      </c>
      <c r="B54" s="65" t="s">
        <v>138</v>
      </c>
      <c r="C54" s="66" t="s">
        <v>97</v>
      </c>
      <c r="D54" s="65" t="s">
        <v>40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hidden="1" customHeight="1">
      <c r="A55" s="29">
        <v>15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4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172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hidden="1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hidden="1" customHeight="1">
      <c r="A58" s="29">
        <v>16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hidden="1" customHeight="1">
      <c r="A59" s="29">
        <v>17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hidden="1" customHeight="1">
      <c r="A61" s="29">
        <v>19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10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customHeight="1">
      <c r="A66" s="29">
        <v>11</v>
      </c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5">SUM(F66*G66/1000)</f>
        <v>2.3774999999999999</v>
      </c>
      <c r="I66" s="12">
        <f>G66*6</f>
        <v>1426.5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5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5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5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5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5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5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5"/>
        <v>0.2666</v>
      </c>
      <c r="I73" s="12">
        <v>0</v>
      </c>
    </row>
    <row r="74" spans="1:21" ht="15.75" customHeight="1">
      <c r="A74" s="29"/>
      <c r="B74" s="59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21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5"/>
        <v>0.10724600000000001</v>
      </c>
      <c r="I75" s="12">
        <f>G75*0.1</f>
        <v>53.623000000000005</v>
      </c>
    </row>
    <row r="76" spans="1:21" ht="15.75" customHeight="1">
      <c r="A76" s="29">
        <v>12</v>
      </c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f>G76</f>
        <v>911.85</v>
      </c>
    </row>
    <row r="77" spans="1:21" ht="15.75" hidden="1" customHeight="1">
      <c r="A77" s="29"/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v>0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>
        <v>22</v>
      </c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5"/>
        <v>2.4816780000000005</v>
      </c>
      <c r="I79" s="12">
        <f>G79*F79</f>
        <v>2481.6780000000003</v>
      </c>
    </row>
    <row r="80" spans="1:21" ht="15.75" hidden="1" customHeight="1">
      <c r="A80" s="29"/>
      <c r="B80" s="59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23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customHeight="1">
      <c r="A82" s="133" t="s">
        <v>173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13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14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SUM(I16+I17+I18+I25+I26+I29+I30+I32+I33+I64+I66+I76+I83+I84)</f>
        <v>58299.624170200004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 ht="15.75" customHeight="1">
      <c r="A87" s="29">
        <v>15</v>
      </c>
      <c r="B87" s="84" t="s">
        <v>85</v>
      </c>
      <c r="C87" s="85" t="s">
        <v>97</v>
      </c>
      <c r="D87" s="13"/>
      <c r="E87" s="17"/>
      <c r="F87" s="12">
        <v>3</v>
      </c>
      <c r="G87" s="12">
        <v>189.88</v>
      </c>
      <c r="H87" s="80">
        <f t="shared" ref="H87" si="6">G87*F87/1000</f>
        <v>0.56964000000000004</v>
      </c>
      <c r="I87" s="86">
        <f>G87</f>
        <v>189.88</v>
      </c>
    </row>
    <row r="88" spans="1:9" ht="15.75" customHeight="1">
      <c r="A88" s="29">
        <v>16</v>
      </c>
      <c r="B88" s="49" t="s">
        <v>131</v>
      </c>
      <c r="C88" s="50" t="s">
        <v>132</v>
      </c>
      <c r="D88" s="48"/>
      <c r="E88" s="34"/>
      <c r="F88" s="34">
        <v>13</v>
      </c>
      <c r="G88" s="34">
        <v>1120.8900000000001</v>
      </c>
      <c r="H88" s="110">
        <f>G88*F88/1000</f>
        <v>14.571570000000001</v>
      </c>
      <c r="I88" s="86">
        <f>G88</f>
        <v>1120.8900000000001</v>
      </c>
    </row>
    <row r="89" spans="1:9" ht="31.5" customHeight="1">
      <c r="A89" s="29">
        <v>17</v>
      </c>
      <c r="B89" s="84" t="s">
        <v>92</v>
      </c>
      <c r="C89" s="85" t="s">
        <v>152</v>
      </c>
      <c r="D89" s="35"/>
      <c r="E89" s="16"/>
      <c r="F89" s="34">
        <v>5</v>
      </c>
      <c r="G89" s="34">
        <v>589.84</v>
      </c>
      <c r="H89" s="110">
        <f>G89*F89/1000</f>
        <v>2.9492000000000003</v>
      </c>
      <c r="I89" s="86">
        <f t="shared" ref="I89:I90" si="7">G89</f>
        <v>589.84</v>
      </c>
    </row>
    <row r="90" spans="1:9" ht="15.75" customHeight="1">
      <c r="A90" s="29">
        <v>18</v>
      </c>
      <c r="B90" s="84" t="s">
        <v>153</v>
      </c>
      <c r="C90" s="85" t="s">
        <v>154</v>
      </c>
      <c r="D90" s="48"/>
      <c r="E90" s="34"/>
      <c r="F90" s="34">
        <v>1</v>
      </c>
      <c r="G90" s="34">
        <v>206.54</v>
      </c>
      <c r="H90" s="110">
        <f>G90*F90/1000</f>
        <v>0.20654</v>
      </c>
      <c r="I90" s="86">
        <f t="shared" si="7"/>
        <v>206.54</v>
      </c>
    </row>
    <row r="91" spans="1:9" ht="15.75" customHeight="1">
      <c r="A91" s="29">
        <v>19</v>
      </c>
      <c r="B91" s="84" t="s">
        <v>246</v>
      </c>
      <c r="C91" s="85" t="s">
        <v>33</v>
      </c>
      <c r="D91" s="35"/>
      <c r="E91" s="16"/>
      <c r="F91" s="34">
        <f>(40.38+19.88+35.51+34.62+16.36)-(9.504*6)</f>
        <v>89.725999999999999</v>
      </c>
      <c r="G91" s="34">
        <v>42.61</v>
      </c>
      <c r="H91" s="34">
        <f t="shared" ref="H91" si="8">G91*F91/1000</f>
        <v>3.8232248599999998</v>
      </c>
      <c r="I91" s="12">
        <f>G91*F91</f>
        <v>3823.2248599999998</v>
      </c>
    </row>
    <row r="92" spans="1:9">
      <c r="A92" s="29"/>
      <c r="B92" s="42" t="s">
        <v>52</v>
      </c>
      <c r="C92" s="38"/>
      <c r="D92" s="45"/>
      <c r="E92" s="38">
        <v>1</v>
      </c>
      <c r="F92" s="38"/>
      <c r="G92" s="38"/>
      <c r="H92" s="38"/>
      <c r="I92" s="32">
        <f>SUM(I87:I91)</f>
        <v>5930.3748599999999</v>
      </c>
    </row>
    <row r="93" spans="1:9" ht="16.5" customHeight="1">
      <c r="A93" s="29"/>
      <c r="B93" s="44" t="s">
        <v>81</v>
      </c>
      <c r="C93" s="14"/>
      <c r="D93" s="14"/>
      <c r="E93" s="39"/>
      <c r="F93" s="39"/>
      <c r="G93" s="40"/>
      <c r="H93" s="40"/>
      <c r="I93" s="16">
        <v>0</v>
      </c>
    </row>
    <row r="94" spans="1:9" ht="16.5" customHeight="1">
      <c r="A94" s="46"/>
      <c r="B94" s="43" t="s">
        <v>180</v>
      </c>
      <c r="C94" s="33"/>
      <c r="D94" s="33"/>
      <c r="E94" s="33"/>
      <c r="F94" s="33"/>
      <c r="G94" s="33"/>
      <c r="H94" s="33"/>
      <c r="I94" s="41">
        <f>I85+I92</f>
        <v>64229.999030200008</v>
      </c>
    </row>
    <row r="95" spans="1:9" ht="15.75" customHeight="1">
      <c r="A95" s="146" t="s">
        <v>247</v>
      </c>
      <c r="B95" s="146"/>
      <c r="C95" s="146"/>
      <c r="D95" s="146"/>
      <c r="E95" s="146"/>
      <c r="F95" s="146"/>
      <c r="G95" s="146"/>
      <c r="H95" s="146"/>
      <c r="I95" s="146"/>
    </row>
    <row r="96" spans="1:9" ht="15.75" customHeight="1">
      <c r="A96" s="56"/>
      <c r="B96" s="141" t="s">
        <v>248</v>
      </c>
      <c r="C96" s="141"/>
      <c r="D96" s="141"/>
      <c r="E96" s="141"/>
      <c r="F96" s="141"/>
      <c r="G96" s="141"/>
      <c r="H96" s="64"/>
      <c r="I96" s="3"/>
    </row>
    <row r="97" spans="1:9" ht="15.75" customHeight="1">
      <c r="A97" s="54"/>
      <c r="B97" s="137" t="s">
        <v>6</v>
      </c>
      <c r="C97" s="137"/>
      <c r="D97" s="137"/>
      <c r="E97" s="137"/>
      <c r="F97" s="137"/>
      <c r="G97" s="137"/>
      <c r="H97" s="24"/>
      <c r="I97" s="5"/>
    </row>
    <row r="98" spans="1:9" ht="15.75" customHeight="1">
      <c r="A98" s="9"/>
      <c r="B98" s="9"/>
      <c r="C98" s="9"/>
      <c r="D98" s="9"/>
      <c r="E98" s="9"/>
      <c r="F98" s="9"/>
      <c r="G98" s="9"/>
      <c r="H98" s="9"/>
      <c r="I98" s="9"/>
    </row>
    <row r="99" spans="1:9" ht="15.75">
      <c r="A99" s="142" t="s">
        <v>7</v>
      </c>
      <c r="B99" s="142"/>
      <c r="C99" s="142"/>
      <c r="D99" s="142"/>
      <c r="E99" s="142"/>
      <c r="F99" s="142"/>
      <c r="G99" s="142"/>
      <c r="H99" s="142"/>
      <c r="I99" s="142"/>
    </row>
    <row r="100" spans="1:9" ht="15.75">
      <c r="A100" s="142" t="s">
        <v>8</v>
      </c>
      <c r="B100" s="142"/>
      <c r="C100" s="142"/>
      <c r="D100" s="142"/>
      <c r="E100" s="142"/>
      <c r="F100" s="142"/>
      <c r="G100" s="142"/>
      <c r="H100" s="142"/>
      <c r="I100" s="142"/>
    </row>
    <row r="101" spans="1:9" ht="15.75">
      <c r="A101" s="143" t="s">
        <v>63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5.75">
      <c r="A102" s="10"/>
    </row>
    <row r="103" spans="1:9" ht="15.75">
      <c r="A103" s="144" t="s">
        <v>9</v>
      </c>
      <c r="B103" s="144"/>
      <c r="C103" s="144"/>
      <c r="D103" s="144"/>
      <c r="E103" s="144"/>
      <c r="F103" s="144"/>
      <c r="G103" s="144"/>
      <c r="H103" s="144"/>
      <c r="I103" s="144"/>
    </row>
    <row r="104" spans="1:9" ht="15.75">
      <c r="A104" s="4"/>
    </row>
    <row r="105" spans="1:9" ht="15.75">
      <c r="B105" s="55" t="s">
        <v>10</v>
      </c>
      <c r="C105" s="136" t="s">
        <v>93</v>
      </c>
      <c r="D105" s="136"/>
      <c r="E105" s="136"/>
      <c r="F105" s="62"/>
      <c r="I105" s="58"/>
    </row>
    <row r="106" spans="1:9">
      <c r="A106" s="54"/>
      <c r="C106" s="137" t="s">
        <v>11</v>
      </c>
      <c r="D106" s="137"/>
      <c r="E106" s="137"/>
      <c r="F106" s="24"/>
      <c r="I106" s="57" t="s">
        <v>12</v>
      </c>
    </row>
    <row r="107" spans="1:9" ht="15.75">
      <c r="A107" s="25"/>
      <c r="C107" s="11"/>
      <c r="D107" s="11"/>
      <c r="G107" s="11"/>
      <c r="H107" s="11"/>
    </row>
    <row r="108" spans="1:9" ht="15.75">
      <c r="B108" s="55" t="s">
        <v>13</v>
      </c>
      <c r="C108" s="138"/>
      <c r="D108" s="138"/>
      <c r="E108" s="138"/>
      <c r="F108" s="63"/>
      <c r="I108" s="58"/>
    </row>
    <row r="109" spans="1:9">
      <c r="A109" s="54"/>
      <c r="C109" s="139" t="s">
        <v>11</v>
      </c>
      <c r="D109" s="139"/>
      <c r="E109" s="139"/>
      <c r="F109" s="54"/>
      <c r="I109" s="57" t="s">
        <v>12</v>
      </c>
    </row>
    <row r="110" spans="1:9" ht="15.75">
      <c r="A110" s="4" t="s">
        <v>14</v>
      </c>
    </row>
    <row r="111" spans="1:9">
      <c r="A111" s="140" t="s">
        <v>15</v>
      </c>
      <c r="B111" s="140"/>
      <c r="C111" s="140"/>
      <c r="D111" s="140"/>
      <c r="E111" s="140"/>
      <c r="F111" s="140"/>
      <c r="G111" s="140"/>
      <c r="H111" s="140"/>
      <c r="I111" s="140"/>
    </row>
    <row r="112" spans="1:9" ht="45" customHeight="1">
      <c r="A112" s="129" t="s">
        <v>16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30" customHeight="1">
      <c r="A113" s="129" t="s">
        <v>17</v>
      </c>
      <c r="B113" s="129"/>
      <c r="C113" s="129"/>
      <c r="D113" s="129"/>
      <c r="E113" s="129"/>
      <c r="F113" s="129"/>
      <c r="G113" s="129"/>
      <c r="H113" s="129"/>
      <c r="I113" s="129"/>
    </row>
    <row r="114" spans="1:9" ht="30" customHeight="1">
      <c r="A114" s="129" t="s">
        <v>21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15" customHeight="1">
      <c r="A115" s="129" t="s">
        <v>20</v>
      </c>
      <c r="B115" s="129"/>
      <c r="C115" s="129"/>
      <c r="D115" s="129"/>
      <c r="E115" s="129"/>
      <c r="F115" s="129"/>
      <c r="G115" s="129"/>
      <c r="H115" s="129"/>
      <c r="I115" s="129"/>
    </row>
  </sheetData>
  <autoFilter ref="I12:I67"/>
  <mergeCells count="29">
    <mergeCell ref="R71:U71"/>
    <mergeCell ref="A82:I82"/>
    <mergeCell ref="A3:I3"/>
    <mergeCell ref="A4:I4"/>
    <mergeCell ref="A5:I5"/>
    <mergeCell ref="A8:I8"/>
    <mergeCell ref="A10:I10"/>
    <mergeCell ref="A14:I14"/>
    <mergeCell ref="A101:I101"/>
    <mergeCell ref="A15:I15"/>
    <mergeCell ref="A27:I27"/>
    <mergeCell ref="A45:I45"/>
    <mergeCell ref="A56:I56"/>
    <mergeCell ref="A95:I95"/>
    <mergeCell ref="B96:G96"/>
    <mergeCell ref="B97:G97"/>
    <mergeCell ref="A99:I99"/>
    <mergeCell ref="A100:I100"/>
    <mergeCell ref="A86:I86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U119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174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203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42947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v>0</v>
      </c>
      <c r="J19" s="22"/>
      <c r="K19" s="8"/>
      <c r="L19" s="8"/>
      <c r="M19" s="8"/>
    </row>
    <row r="20" spans="1:13" ht="15.75" hidden="1" customHeight="1">
      <c r="A20" s="29"/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v>0</v>
      </c>
      <c r="J20" s="22"/>
      <c r="K20" s="8"/>
      <c r="L20" s="8"/>
      <c r="M20" s="8"/>
    </row>
    <row r="21" spans="1:13" ht="15.75" hidden="1" customHeight="1">
      <c r="A21" s="29"/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v>0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v>0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v>0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v>0</v>
      </c>
      <c r="J24" s="22"/>
      <c r="K24" s="8"/>
      <c r="L24" s="8"/>
      <c r="M24" s="8"/>
    </row>
    <row r="25" spans="1:13" ht="15.75" customHeight="1">
      <c r="A25" s="29">
        <v>4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5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15.75" customHeight="1">
      <c r="A29" s="29">
        <v>6</v>
      </c>
      <c r="B29" s="65" t="s">
        <v>111</v>
      </c>
      <c r="C29" s="66" t="s">
        <v>148</v>
      </c>
      <c r="D29" s="65" t="s">
        <v>228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1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customHeight="1">
      <c r="A30" s="29">
        <v>7</v>
      </c>
      <c r="B30" s="65" t="s">
        <v>162</v>
      </c>
      <c r="C30" s="66" t="s">
        <v>112</v>
      </c>
      <c r="D30" s="65" t="s">
        <v>229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1"/>
        <v>2.5216468991999998</v>
      </c>
      <c r="I30" s="12">
        <f t="shared" ref="I30:I33" si="2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1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customHeight="1">
      <c r="A32" s="29">
        <v>8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2"/>
        <v>2157.3829999999998</v>
      </c>
      <c r="J32" s="22"/>
      <c r="K32" s="8"/>
      <c r="L32" s="8"/>
      <c r="M32" s="8"/>
    </row>
    <row r="33" spans="1:14" ht="15.75" customHeight="1">
      <c r="A33" s="29">
        <v>9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2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1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1"/>
        <v>2.2726599999999997</v>
      </c>
      <c r="I35" s="12">
        <v>0</v>
      </c>
      <c r="J35" s="23"/>
    </row>
    <row r="36" spans="1:14" ht="15.75" hidden="1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hidden="1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3">SUM(F37*G37/1000)</f>
        <v>13.060799999999999</v>
      </c>
      <c r="I37" s="12">
        <f>F37/6*G37</f>
        <v>2176.7999999999997</v>
      </c>
      <c r="J37" s="23"/>
    </row>
    <row r="38" spans="1:14" ht="15.75" hidden="1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hidden="1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hidden="1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3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hidden="1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3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hidden="1" customHeight="1">
      <c r="A43" s="29">
        <v>11</v>
      </c>
      <c r="B43" s="65" t="s">
        <v>119</v>
      </c>
      <c r="C43" s="66" t="s">
        <v>112</v>
      </c>
      <c r="D43" s="65" t="s">
        <v>71</v>
      </c>
      <c r="E43" s="68">
        <v>116.93</v>
      </c>
      <c r="F43" s="68">
        <f>SUM(E43*45/1000)</f>
        <v>5.2618500000000008</v>
      </c>
      <c r="G43" s="68">
        <v>458.28</v>
      </c>
      <c r="H43" s="69">
        <f t="shared" si="3"/>
        <v>2.4114006180000001</v>
      </c>
      <c r="I43" s="12">
        <f>F43/6*G43</f>
        <v>401.90010300000006</v>
      </c>
      <c r="J43" s="23"/>
      <c r="L43" s="18"/>
      <c r="M43" s="19"/>
      <c r="N43" s="20"/>
    </row>
    <row r="44" spans="1:14" ht="15.75" hidden="1" customHeight="1">
      <c r="A44" s="29">
        <v>12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3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hidden="1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hidden="1" customHeight="1">
      <c r="A46" s="29"/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4">SUM(F46*G46/1000)</f>
        <v>1.87141248</v>
      </c>
      <c r="I46" s="12">
        <v>0</v>
      </c>
      <c r="J46" s="23"/>
      <c r="L46" s="18"/>
      <c r="M46" s="19"/>
      <c r="N46" s="20"/>
    </row>
    <row r="47" spans="1:14" ht="15.75" hidden="1" customHeight="1">
      <c r="A47" s="29"/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4"/>
        <v>0.16353744000000001</v>
      </c>
      <c r="I47" s="12">
        <v>0</v>
      </c>
      <c r="J47" s="23"/>
      <c r="L47" s="18"/>
      <c r="M47" s="19"/>
      <c r="N47" s="20"/>
    </row>
    <row r="48" spans="1:14" ht="15.75" hidden="1" customHeight="1">
      <c r="A48" s="29"/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4"/>
        <v>5.2632047223999994</v>
      </c>
      <c r="I48" s="12">
        <v>0</v>
      </c>
      <c r="J48" s="23"/>
      <c r="L48" s="18"/>
      <c r="M48" s="19"/>
      <c r="N48" s="20"/>
    </row>
    <row r="49" spans="1:14" ht="15.75" hidden="1" customHeight="1">
      <c r="A49" s="29"/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4"/>
        <v>2.8068728447999995</v>
      </c>
      <c r="I49" s="12">
        <v>0</v>
      </c>
      <c r="J49" s="23"/>
      <c r="L49" s="18"/>
      <c r="M49" s="19"/>
      <c r="N49" s="20"/>
    </row>
    <row r="50" spans="1:14" ht="31.5" hidden="1" customHeight="1">
      <c r="A50" s="29">
        <v>13</v>
      </c>
      <c r="B50" s="65" t="s">
        <v>58</v>
      </c>
      <c r="C50" s="66" t="s">
        <v>112</v>
      </c>
      <c r="D50" s="65" t="s">
        <v>164</v>
      </c>
      <c r="E50" s="67">
        <v>1015.4</v>
      </c>
      <c r="F50" s="68">
        <f>SUM(E50*5/1000)</f>
        <v>5.077</v>
      </c>
      <c r="G50" s="12">
        <v>1297.28</v>
      </c>
      <c r="H50" s="69">
        <f t="shared" si="4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hidden="1" customHeight="1">
      <c r="A51" s="29"/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4"/>
        <v>2.634516224</v>
      </c>
      <c r="I51" s="12">
        <v>0</v>
      </c>
      <c r="J51" s="23"/>
      <c r="L51" s="18"/>
      <c r="M51" s="19"/>
      <c r="N51" s="20"/>
    </row>
    <row r="52" spans="1:14" ht="31.5" hidden="1" customHeight="1">
      <c r="A52" s="29"/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4"/>
        <v>1.7513339999999997</v>
      </c>
      <c r="I52" s="12">
        <v>0</v>
      </c>
      <c r="J52" s="23"/>
      <c r="L52" s="18"/>
      <c r="M52" s="19"/>
      <c r="N52" s="20"/>
    </row>
    <row r="53" spans="1:14" ht="15.75" hidden="1" customHeight="1">
      <c r="A53" s="29"/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4"/>
        <v>0.12084260000000001</v>
      </c>
      <c r="I53" s="12">
        <v>0</v>
      </c>
      <c r="J53" s="23"/>
      <c r="L53" s="18"/>
      <c r="M53" s="19"/>
      <c r="N53" s="20"/>
    </row>
    <row r="54" spans="1:14" ht="15.75" hidden="1" customHeight="1">
      <c r="A54" s="29">
        <v>14</v>
      </c>
      <c r="B54" s="65" t="s">
        <v>138</v>
      </c>
      <c r="C54" s="66" t="s">
        <v>97</v>
      </c>
      <c r="D54" s="65" t="s">
        <v>40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hidden="1" customHeight="1">
      <c r="A55" s="29">
        <v>15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4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172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hidden="1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hidden="1" customHeight="1">
      <c r="A58" s="29">
        <v>16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hidden="1" customHeight="1">
      <c r="A59" s="29">
        <v>17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hidden="1" customHeight="1">
      <c r="A61" s="29">
        <v>19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10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hidden="1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hidden="1" customHeight="1">
      <c r="A66" s="29"/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5">SUM(F66*G66/1000)</f>
        <v>2.3774999999999999</v>
      </c>
      <c r="I66" s="12">
        <v>0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5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5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5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5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5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5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5"/>
        <v>0.2666</v>
      </c>
      <c r="I73" s="12">
        <v>0</v>
      </c>
    </row>
    <row r="74" spans="1:21" ht="15.75" hidden="1" customHeight="1">
      <c r="A74" s="29"/>
      <c r="B74" s="59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21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5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v>0</v>
      </c>
    </row>
    <row r="77" spans="1:21" ht="15.75" hidden="1" customHeight="1">
      <c r="A77" s="29"/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v>0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>
        <v>22</v>
      </c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5"/>
        <v>2.4816780000000005</v>
      </c>
      <c r="I79" s="12">
        <f>G79*F79</f>
        <v>2481.6780000000003</v>
      </c>
    </row>
    <row r="80" spans="1:21" ht="15.75" hidden="1" customHeight="1">
      <c r="A80" s="29"/>
      <c r="B80" s="59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23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customHeight="1">
      <c r="A82" s="133" t="s">
        <v>173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11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12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SUM(I16+I17+I18+I25+I26+I29+I30+I32+I33+I64+I83+I84)</f>
        <v>55961.274170200006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 ht="31.5" customHeight="1">
      <c r="A87" s="29">
        <v>13</v>
      </c>
      <c r="B87" s="84" t="s">
        <v>86</v>
      </c>
      <c r="C87" s="85" t="s">
        <v>37</v>
      </c>
      <c r="D87" s="48"/>
      <c r="E87" s="34"/>
      <c r="F87" s="34">
        <v>0.03</v>
      </c>
      <c r="G87" s="34">
        <v>3581.13</v>
      </c>
      <c r="H87" s="110">
        <f>G87*F87/1000</f>
        <v>0.1074339</v>
      </c>
      <c r="I87" s="86">
        <f>G87*0.01</f>
        <v>35.811300000000003</v>
      </c>
    </row>
    <row r="88" spans="1:9" ht="15.75" customHeight="1">
      <c r="A88" s="29">
        <v>14</v>
      </c>
      <c r="B88" s="84" t="s">
        <v>198</v>
      </c>
      <c r="C88" s="85" t="s">
        <v>97</v>
      </c>
      <c r="D88" s="48"/>
      <c r="E88" s="34"/>
      <c r="F88" s="34">
        <v>4</v>
      </c>
      <c r="G88" s="34">
        <v>112</v>
      </c>
      <c r="H88" s="110">
        <f>G88*F88/1000</f>
        <v>0.44800000000000001</v>
      </c>
      <c r="I88" s="86">
        <f>G88*3</f>
        <v>336</v>
      </c>
    </row>
    <row r="89" spans="1:9" ht="15.75" customHeight="1">
      <c r="A89" s="29">
        <v>15</v>
      </c>
      <c r="B89" s="84" t="s">
        <v>199</v>
      </c>
      <c r="C89" s="85" t="s">
        <v>97</v>
      </c>
      <c r="D89" s="48"/>
      <c r="E89" s="34"/>
      <c r="F89" s="34">
        <v>2</v>
      </c>
      <c r="G89" s="34">
        <v>140</v>
      </c>
      <c r="H89" s="110">
        <f t="shared" ref="H89" si="6">G89*F89/1000</f>
        <v>0.28000000000000003</v>
      </c>
      <c r="I89" s="86">
        <f>G89</f>
        <v>140</v>
      </c>
    </row>
    <row r="90" spans="1:9" ht="31.5" customHeight="1">
      <c r="A90" s="29">
        <v>16</v>
      </c>
      <c r="B90" s="51" t="s">
        <v>204</v>
      </c>
      <c r="C90" s="52" t="s">
        <v>152</v>
      </c>
      <c r="D90" s="48"/>
      <c r="E90" s="34"/>
      <c r="F90" s="34">
        <v>1</v>
      </c>
      <c r="G90" s="34">
        <v>1046.06</v>
      </c>
      <c r="H90" s="110">
        <f>G90*F90/1000</f>
        <v>1.04606</v>
      </c>
      <c r="I90" s="86">
        <f>G90</f>
        <v>1046.06</v>
      </c>
    </row>
    <row r="91" spans="1:9" ht="31.5" customHeight="1">
      <c r="A91" s="29">
        <v>17</v>
      </c>
      <c r="B91" s="51" t="s">
        <v>210</v>
      </c>
      <c r="C91" s="52" t="s">
        <v>152</v>
      </c>
      <c r="D91" s="48"/>
      <c r="E91" s="34"/>
      <c r="F91" s="34">
        <v>2</v>
      </c>
      <c r="G91" s="34">
        <v>727.73</v>
      </c>
      <c r="H91" s="110">
        <f t="shared" ref="H91:H95" si="7">G91*F91/1000</f>
        <v>1.45546</v>
      </c>
      <c r="I91" s="86">
        <f>G91*2</f>
        <v>1455.46</v>
      </c>
    </row>
    <row r="92" spans="1:9" ht="15.75" customHeight="1">
      <c r="A92" s="29">
        <v>18</v>
      </c>
      <c r="B92" s="84" t="s">
        <v>205</v>
      </c>
      <c r="C92" s="85" t="s">
        <v>97</v>
      </c>
      <c r="D92" s="48"/>
      <c r="E92" s="34"/>
      <c r="F92" s="34">
        <v>1</v>
      </c>
      <c r="G92" s="34">
        <v>40</v>
      </c>
      <c r="H92" s="110">
        <f t="shared" si="7"/>
        <v>0.04</v>
      </c>
      <c r="I92" s="86">
        <f t="shared" ref="I92:I93" si="8">G92</f>
        <v>40</v>
      </c>
    </row>
    <row r="93" spans="1:9" ht="15.75" customHeight="1">
      <c r="A93" s="29">
        <v>19</v>
      </c>
      <c r="B93" s="116" t="s">
        <v>206</v>
      </c>
      <c r="C93" s="85" t="s">
        <v>97</v>
      </c>
      <c r="D93" s="35"/>
      <c r="E93" s="16"/>
      <c r="F93" s="34">
        <v>1</v>
      </c>
      <c r="G93" s="34">
        <v>108</v>
      </c>
      <c r="H93" s="34">
        <f t="shared" si="7"/>
        <v>0.108</v>
      </c>
      <c r="I93" s="86">
        <f t="shared" si="8"/>
        <v>108</v>
      </c>
    </row>
    <row r="94" spans="1:9" ht="15.75" customHeight="1">
      <c r="A94" s="29">
        <v>20</v>
      </c>
      <c r="B94" s="84" t="s">
        <v>207</v>
      </c>
      <c r="C94" s="88" t="s">
        <v>84</v>
      </c>
      <c r="D94" s="35"/>
      <c r="E94" s="16"/>
      <c r="F94" s="34">
        <v>5</v>
      </c>
      <c r="G94" s="34">
        <v>18.97</v>
      </c>
      <c r="H94" s="34">
        <f t="shared" si="7"/>
        <v>9.484999999999999E-2</v>
      </c>
      <c r="I94" s="86">
        <f>G94*5</f>
        <v>94.85</v>
      </c>
    </row>
    <row r="95" spans="1:9" ht="31.5" customHeight="1">
      <c r="A95" s="29">
        <v>21</v>
      </c>
      <c r="B95" s="84" t="s">
        <v>208</v>
      </c>
      <c r="C95" s="85" t="s">
        <v>209</v>
      </c>
      <c r="D95" s="48"/>
      <c r="E95" s="34"/>
      <c r="F95" s="34">
        <f>16/10</f>
        <v>1.6</v>
      </c>
      <c r="G95" s="34">
        <v>2064.25</v>
      </c>
      <c r="H95" s="80">
        <f t="shared" si="7"/>
        <v>3.3028000000000004</v>
      </c>
      <c r="I95" s="86">
        <f>G95*1.6</f>
        <v>3302.8</v>
      </c>
    </row>
    <row r="96" spans="1:9">
      <c r="A96" s="29"/>
      <c r="B96" s="42" t="s">
        <v>52</v>
      </c>
      <c r="C96" s="38"/>
      <c r="D96" s="45"/>
      <c r="E96" s="38">
        <v>1</v>
      </c>
      <c r="F96" s="38"/>
      <c r="G96" s="38"/>
      <c r="H96" s="38"/>
      <c r="I96" s="32">
        <f>SUM(I87:I95)</f>
        <v>6558.9812999999995</v>
      </c>
    </row>
    <row r="97" spans="1:9" ht="16.5" customHeight="1">
      <c r="A97" s="29"/>
      <c r="B97" s="44" t="s">
        <v>81</v>
      </c>
      <c r="C97" s="14"/>
      <c r="D97" s="14"/>
      <c r="E97" s="39"/>
      <c r="F97" s="39"/>
      <c r="G97" s="40"/>
      <c r="H97" s="40"/>
      <c r="I97" s="16">
        <v>0</v>
      </c>
    </row>
    <row r="98" spans="1:9" ht="16.5" customHeight="1">
      <c r="A98" s="46"/>
      <c r="B98" s="43" t="s">
        <v>180</v>
      </c>
      <c r="C98" s="33"/>
      <c r="D98" s="33"/>
      <c r="E98" s="33"/>
      <c r="F98" s="33"/>
      <c r="G98" s="33"/>
      <c r="H98" s="33"/>
      <c r="I98" s="41">
        <f>I85+I96</f>
        <v>62520.255470200005</v>
      </c>
    </row>
    <row r="99" spans="1:9" ht="15.75" customHeight="1">
      <c r="A99" s="146" t="s">
        <v>213</v>
      </c>
      <c r="B99" s="146"/>
      <c r="C99" s="146"/>
      <c r="D99" s="146"/>
      <c r="E99" s="146"/>
      <c r="F99" s="146"/>
      <c r="G99" s="146"/>
      <c r="H99" s="146"/>
      <c r="I99" s="146"/>
    </row>
    <row r="100" spans="1:9" ht="15.75" customHeight="1">
      <c r="A100" s="56"/>
      <c r="B100" s="141" t="s">
        <v>214</v>
      </c>
      <c r="C100" s="141"/>
      <c r="D100" s="141"/>
      <c r="E100" s="141"/>
      <c r="F100" s="141"/>
      <c r="G100" s="141"/>
      <c r="H100" s="64"/>
      <c r="I100" s="3"/>
    </row>
    <row r="101" spans="1:9" ht="15.75" customHeight="1">
      <c r="A101" s="54"/>
      <c r="B101" s="137" t="s">
        <v>6</v>
      </c>
      <c r="C101" s="137"/>
      <c r="D101" s="137"/>
      <c r="E101" s="137"/>
      <c r="F101" s="137"/>
      <c r="G101" s="137"/>
      <c r="H101" s="24"/>
      <c r="I101" s="5"/>
    </row>
    <row r="102" spans="1:9" ht="15.75" customHeight="1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5.75">
      <c r="A103" s="142" t="s">
        <v>7</v>
      </c>
      <c r="B103" s="142"/>
      <c r="C103" s="142"/>
      <c r="D103" s="142"/>
      <c r="E103" s="142"/>
      <c r="F103" s="142"/>
      <c r="G103" s="142"/>
      <c r="H103" s="142"/>
      <c r="I103" s="142"/>
    </row>
    <row r="104" spans="1:9" ht="15.75">
      <c r="A104" s="142" t="s">
        <v>8</v>
      </c>
      <c r="B104" s="142"/>
      <c r="C104" s="142"/>
      <c r="D104" s="142"/>
      <c r="E104" s="142"/>
      <c r="F104" s="142"/>
      <c r="G104" s="142"/>
      <c r="H104" s="142"/>
      <c r="I104" s="142"/>
    </row>
    <row r="105" spans="1:9" ht="15.75">
      <c r="A105" s="143" t="s">
        <v>63</v>
      </c>
      <c r="B105" s="143"/>
      <c r="C105" s="143"/>
      <c r="D105" s="143"/>
      <c r="E105" s="143"/>
      <c r="F105" s="143"/>
      <c r="G105" s="143"/>
      <c r="H105" s="143"/>
      <c r="I105" s="143"/>
    </row>
    <row r="106" spans="1:9" ht="15.75">
      <c r="A106" s="10"/>
    </row>
    <row r="107" spans="1:9" ht="15.75">
      <c r="A107" s="144" t="s">
        <v>9</v>
      </c>
      <c r="B107" s="144"/>
      <c r="C107" s="144"/>
      <c r="D107" s="144"/>
      <c r="E107" s="144"/>
      <c r="F107" s="144"/>
      <c r="G107" s="144"/>
      <c r="H107" s="144"/>
      <c r="I107" s="144"/>
    </row>
    <row r="108" spans="1:9" ht="15.75">
      <c r="A108" s="4"/>
    </row>
    <row r="109" spans="1:9" ht="15.75">
      <c r="B109" s="55" t="s">
        <v>10</v>
      </c>
      <c r="C109" s="136" t="s">
        <v>93</v>
      </c>
      <c r="D109" s="136"/>
      <c r="E109" s="136"/>
      <c r="F109" s="62"/>
      <c r="I109" s="58"/>
    </row>
    <row r="110" spans="1:9">
      <c r="A110" s="54"/>
      <c r="C110" s="137" t="s">
        <v>11</v>
      </c>
      <c r="D110" s="137"/>
      <c r="E110" s="137"/>
      <c r="F110" s="24"/>
      <c r="I110" s="57" t="s">
        <v>12</v>
      </c>
    </row>
    <row r="111" spans="1:9" ht="15.75">
      <c r="A111" s="25"/>
      <c r="C111" s="11"/>
      <c r="D111" s="11"/>
      <c r="G111" s="11"/>
      <c r="H111" s="11"/>
    </row>
    <row r="112" spans="1:9" ht="15.75">
      <c r="B112" s="55" t="s">
        <v>13</v>
      </c>
      <c r="C112" s="138"/>
      <c r="D112" s="138"/>
      <c r="E112" s="138"/>
      <c r="F112" s="63"/>
      <c r="I112" s="58"/>
    </row>
    <row r="113" spans="1:9">
      <c r="A113" s="54"/>
      <c r="C113" s="139" t="s">
        <v>11</v>
      </c>
      <c r="D113" s="139"/>
      <c r="E113" s="139"/>
      <c r="F113" s="54"/>
      <c r="I113" s="57" t="s">
        <v>12</v>
      </c>
    </row>
    <row r="114" spans="1:9" ht="15.75">
      <c r="A114" s="4" t="s">
        <v>14</v>
      </c>
    </row>
    <row r="115" spans="1:9">
      <c r="A115" s="140" t="s">
        <v>15</v>
      </c>
      <c r="B115" s="140"/>
      <c r="C115" s="140"/>
      <c r="D115" s="140"/>
      <c r="E115" s="140"/>
      <c r="F115" s="140"/>
      <c r="G115" s="140"/>
      <c r="H115" s="140"/>
      <c r="I115" s="140"/>
    </row>
    <row r="116" spans="1:9" ht="45" customHeight="1">
      <c r="A116" s="129" t="s">
        <v>16</v>
      </c>
      <c r="B116" s="129"/>
      <c r="C116" s="129"/>
      <c r="D116" s="129"/>
      <c r="E116" s="129"/>
      <c r="F116" s="129"/>
      <c r="G116" s="129"/>
      <c r="H116" s="129"/>
      <c r="I116" s="129"/>
    </row>
    <row r="117" spans="1:9" ht="30" customHeight="1">
      <c r="A117" s="129" t="s">
        <v>17</v>
      </c>
      <c r="B117" s="129"/>
      <c r="C117" s="129"/>
      <c r="D117" s="129"/>
      <c r="E117" s="129"/>
      <c r="F117" s="129"/>
      <c r="G117" s="129"/>
      <c r="H117" s="129"/>
      <c r="I117" s="129"/>
    </row>
    <row r="118" spans="1:9" ht="30" customHeight="1">
      <c r="A118" s="129" t="s">
        <v>21</v>
      </c>
      <c r="B118" s="129"/>
      <c r="C118" s="129"/>
      <c r="D118" s="129"/>
      <c r="E118" s="129"/>
      <c r="F118" s="129"/>
      <c r="G118" s="129"/>
      <c r="H118" s="129"/>
      <c r="I118" s="129"/>
    </row>
    <row r="119" spans="1:9" ht="15" customHeight="1">
      <c r="A119" s="129" t="s">
        <v>20</v>
      </c>
      <c r="B119" s="129"/>
      <c r="C119" s="129"/>
      <c r="D119" s="129"/>
      <c r="E119" s="129"/>
      <c r="F119" s="129"/>
      <c r="G119" s="129"/>
      <c r="H119" s="129"/>
      <c r="I119" s="129"/>
    </row>
  </sheetData>
  <autoFilter ref="I12:I67"/>
  <mergeCells count="29">
    <mergeCell ref="R71:U71"/>
    <mergeCell ref="A82:I82"/>
    <mergeCell ref="A3:I3"/>
    <mergeCell ref="A4:I4"/>
    <mergeCell ref="A5:I5"/>
    <mergeCell ref="A8:I8"/>
    <mergeCell ref="A10:I10"/>
    <mergeCell ref="A14:I14"/>
    <mergeCell ref="A105:I105"/>
    <mergeCell ref="A15:I15"/>
    <mergeCell ref="A27:I27"/>
    <mergeCell ref="A45:I45"/>
    <mergeCell ref="A56:I56"/>
    <mergeCell ref="A99:I99"/>
    <mergeCell ref="B100:G100"/>
    <mergeCell ref="B101:G101"/>
    <mergeCell ref="A103:I103"/>
    <mergeCell ref="A104:I104"/>
    <mergeCell ref="A86:I86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U116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175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215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42978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v>0</v>
      </c>
      <c r="J19" s="22"/>
      <c r="K19" s="8"/>
      <c r="L19" s="8"/>
      <c r="M19" s="8"/>
    </row>
    <row r="20" spans="1:13" ht="15.75" hidden="1" customHeight="1">
      <c r="A20" s="29"/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v>0</v>
      </c>
      <c r="J20" s="22"/>
      <c r="K20" s="8"/>
      <c r="L20" s="8"/>
      <c r="M20" s="8"/>
    </row>
    <row r="21" spans="1:13" ht="15.75" hidden="1" customHeight="1">
      <c r="A21" s="29"/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v>0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v>0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v>0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v>0</v>
      </c>
      <c r="J24" s="22"/>
      <c r="K24" s="8"/>
      <c r="L24" s="8"/>
      <c r="M24" s="8"/>
    </row>
    <row r="25" spans="1:13" ht="15.75" customHeight="1">
      <c r="A25" s="29">
        <v>4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5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15.75" customHeight="1">
      <c r="A29" s="29">
        <v>6</v>
      </c>
      <c r="B29" s="65" t="s">
        <v>111</v>
      </c>
      <c r="C29" s="66" t="s">
        <v>148</v>
      </c>
      <c r="D29" s="65" t="s">
        <v>228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1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customHeight="1">
      <c r="A30" s="29">
        <v>7</v>
      </c>
      <c r="B30" s="65" t="s">
        <v>162</v>
      </c>
      <c r="C30" s="66" t="s">
        <v>112</v>
      </c>
      <c r="D30" s="65" t="s">
        <v>229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1"/>
        <v>2.5216468991999998</v>
      </c>
      <c r="I30" s="12">
        <f t="shared" ref="I30:I33" si="2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1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customHeight="1">
      <c r="A32" s="29">
        <v>8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2"/>
        <v>2157.3829999999998</v>
      </c>
      <c r="J32" s="22"/>
      <c r="K32" s="8"/>
      <c r="L32" s="8"/>
      <c r="M32" s="8"/>
    </row>
    <row r="33" spans="1:14" ht="15.75" customHeight="1">
      <c r="A33" s="29">
        <v>9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2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1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1"/>
        <v>2.2726599999999997</v>
      </c>
      <c r="I35" s="12">
        <v>0</v>
      </c>
      <c r="J35" s="23"/>
    </row>
    <row r="36" spans="1:14" ht="15.75" hidden="1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hidden="1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3">SUM(F37*G37/1000)</f>
        <v>13.060799999999999</v>
      </c>
      <c r="I37" s="12">
        <f>F37/6*G37</f>
        <v>2176.7999999999997</v>
      </c>
      <c r="J37" s="23"/>
    </row>
    <row r="38" spans="1:14" ht="15.75" hidden="1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hidden="1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hidden="1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3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hidden="1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3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hidden="1" customHeight="1">
      <c r="A43" s="29">
        <v>11</v>
      </c>
      <c r="B43" s="65" t="s">
        <v>119</v>
      </c>
      <c r="C43" s="66" t="s">
        <v>112</v>
      </c>
      <c r="D43" s="65" t="s">
        <v>71</v>
      </c>
      <c r="E43" s="68">
        <v>116.93</v>
      </c>
      <c r="F43" s="68">
        <f>SUM(E43*45/1000)</f>
        <v>5.2618500000000008</v>
      </c>
      <c r="G43" s="68">
        <v>458.28</v>
      </c>
      <c r="H43" s="69">
        <f t="shared" si="3"/>
        <v>2.4114006180000001</v>
      </c>
      <c r="I43" s="12">
        <f>F43/6*G43</f>
        <v>401.90010300000006</v>
      </c>
      <c r="J43" s="23"/>
      <c r="L43" s="18"/>
      <c r="M43" s="19"/>
      <c r="N43" s="20"/>
    </row>
    <row r="44" spans="1:14" ht="15.75" hidden="1" customHeight="1">
      <c r="A44" s="29">
        <v>12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3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hidden="1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hidden="1" customHeight="1">
      <c r="A46" s="29"/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4">SUM(F46*G46/1000)</f>
        <v>1.87141248</v>
      </c>
      <c r="I46" s="12">
        <v>0</v>
      </c>
      <c r="J46" s="23"/>
      <c r="L46" s="18"/>
      <c r="M46" s="19"/>
      <c r="N46" s="20"/>
    </row>
    <row r="47" spans="1:14" ht="15.75" hidden="1" customHeight="1">
      <c r="A47" s="29"/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4"/>
        <v>0.16353744000000001</v>
      </c>
      <c r="I47" s="12">
        <v>0</v>
      </c>
      <c r="J47" s="23"/>
      <c r="L47" s="18"/>
      <c r="M47" s="19"/>
      <c r="N47" s="20"/>
    </row>
    <row r="48" spans="1:14" ht="15.75" hidden="1" customHeight="1">
      <c r="A48" s="29"/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4"/>
        <v>5.2632047223999994</v>
      </c>
      <c r="I48" s="12">
        <v>0</v>
      </c>
      <c r="J48" s="23"/>
      <c r="L48" s="18"/>
      <c r="M48" s="19"/>
      <c r="N48" s="20"/>
    </row>
    <row r="49" spans="1:14" ht="15.75" hidden="1" customHeight="1">
      <c r="A49" s="29"/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4"/>
        <v>2.8068728447999995</v>
      </c>
      <c r="I49" s="12">
        <v>0</v>
      </c>
      <c r="J49" s="23"/>
      <c r="L49" s="18"/>
      <c r="M49" s="19"/>
      <c r="N49" s="20"/>
    </row>
    <row r="50" spans="1:14" ht="31.5" hidden="1" customHeight="1">
      <c r="A50" s="29">
        <v>13</v>
      </c>
      <c r="B50" s="65" t="s">
        <v>58</v>
      </c>
      <c r="C50" s="66" t="s">
        <v>112</v>
      </c>
      <c r="D50" s="65" t="s">
        <v>164</v>
      </c>
      <c r="E50" s="67">
        <v>1015.4</v>
      </c>
      <c r="F50" s="68">
        <f>SUM(E50*5/1000)</f>
        <v>5.077</v>
      </c>
      <c r="G50" s="12">
        <v>1297.28</v>
      </c>
      <c r="H50" s="69">
        <f t="shared" si="4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hidden="1" customHeight="1">
      <c r="A51" s="29"/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4"/>
        <v>2.634516224</v>
      </c>
      <c r="I51" s="12">
        <v>0</v>
      </c>
      <c r="J51" s="23"/>
      <c r="L51" s="18"/>
      <c r="M51" s="19"/>
      <c r="N51" s="20"/>
    </row>
    <row r="52" spans="1:14" ht="31.5" hidden="1" customHeight="1">
      <c r="A52" s="29"/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4"/>
        <v>1.7513339999999997</v>
      </c>
      <c r="I52" s="12">
        <v>0</v>
      </c>
      <c r="J52" s="23"/>
      <c r="L52" s="18"/>
      <c r="M52" s="19"/>
      <c r="N52" s="20"/>
    </row>
    <row r="53" spans="1:14" ht="15.75" hidden="1" customHeight="1">
      <c r="A53" s="29"/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4"/>
        <v>0.12084260000000001</v>
      </c>
      <c r="I53" s="12">
        <v>0</v>
      </c>
      <c r="J53" s="23"/>
      <c r="L53" s="18"/>
      <c r="M53" s="19"/>
      <c r="N53" s="20"/>
    </row>
    <row r="54" spans="1:14" ht="15.75" hidden="1" customHeight="1">
      <c r="A54" s="29">
        <v>10</v>
      </c>
      <c r="B54" s="65" t="s">
        <v>138</v>
      </c>
      <c r="C54" s="66" t="s">
        <v>97</v>
      </c>
      <c r="D54" s="65" t="s">
        <v>73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hidden="1" customHeight="1">
      <c r="A55" s="29">
        <v>11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4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172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hidden="1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hidden="1" customHeight="1">
      <c r="A58" s="29">
        <v>16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hidden="1" customHeight="1">
      <c r="A59" s="29">
        <v>17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hidden="1" customHeight="1">
      <c r="A61" s="29">
        <v>19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10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hidden="1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hidden="1" customHeight="1">
      <c r="A66" s="29"/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5">SUM(F66*G66/1000)</f>
        <v>2.3774999999999999</v>
      </c>
      <c r="I66" s="12">
        <v>0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5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5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5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5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5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5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hidden="1" customHeight="1">
      <c r="A73" s="29"/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5"/>
        <v>0.2666</v>
      </c>
      <c r="I73" s="12">
        <v>0</v>
      </c>
    </row>
    <row r="74" spans="1:21" ht="15.75" hidden="1" customHeight="1">
      <c r="A74" s="29"/>
      <c r="B74" s="59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21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5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v>0</v>
      </c>
    </row>
    <row r="77" spans="1:21" ht="15.75" hidden="1" customHeight="1">
      <c r="A77" s="29"/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v>0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>
        <v>22</v>
      </c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5"/>
        <v>2.4816780000000005</v>
      </c>
      <c r="I79" s="12">
        <f>G79*F79</f>
        <v>2481.6780000000003</v>
      </c>
    </row>
    <row r="80" spans="1:21" ht="15.75" hidden="1" customHeight="1">
      <c r="A80" s="29"/>
      <c r="B80" s="59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23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customHeight="1">
      <c r="A82" s="133" t="s">
        <v>173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11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12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SUM(I16+I17+I18+I25+I26+I29+I30+I32+I33+I64+I83+I84)</f>
        <v>55961.274170200006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 ht="15.75" customHeight="1">
      <c r="A87" s="29">
        <v>13</v>
      </c>
      <c r="B87" s="84" t="s">
        <v>85</v>
      </c>
      <c r="C87" s="85" t="s">
        <v>97</v>
      </c>
      <c r="D87" s="13"/>
      <c r="E87" s="17"/>
      <c r="F87" s="12">
        <v>3</v>
      </c>
      <c r="G87" s="12">
        <v>189.88</v>
      </c>
      <c r="H87" s="80">
        <f t="shared" ref="H87" si="6">G87*F87/1000</f>
        <v>0.56964000000000004</v>
      </c>
      <c r="I87" s="12">
        <f>G87</f>
        <v>189.88</v>
      </c>
    </row>
    <row r="88" spans="1:9" ht="15.75" customHeight="1">
      <c r="A88" s="29">
        <v>14</v>
      </c>
      <c r="B88" s="51" t="s">
        <v>187</v>
      </c>
      <c r="C88" s="52" t="s">
        <v>152</v>
      </c>
      <c r="D88" s="35"/>
      <c r="E88" s="16"/>
      <c r="F88" s="34">
        <v>3</v>
      </c>
      <c r="G88" s="34">
        <v>86.15</v>
      </c>
      <c r="H88" s="110">
        <f>G88*F88/1000</f>
        <v>0.25845000000000007</v>
      </c>
      <c r="I88" s="12">
        <f>G88</f>
        <v>86.15</v>
      </c>
    </row>
    <row r="89" spans="1:9" ht="15.75" customHeight="1">
      <c r="A89" s="29">
        <v>15</v>
      </c>
      <c r="B89" s="49" t="s">
        <v>131</v>
      </c>
      <c r="C89" s="50" t="s">
        <v>132</v>
      </c>
      <c r="D89" s="48"/>
      <c r="E89" s="34"/>
      <c r="F89" s="34">
        <v>13</v>
      </c>
      <c r="G89" s="34">
        <v>1120.8900000000001</v>
      </c>
      <c r="H89" s="110">
        <f>G89*F89/1000</f>
        <v>14.571570000000001</v>
      </c>
      <c r="I89" s="12">
        <f>G89*(10/3)</f>
        <v>3736.3000000000006</v>
      </c>
    </row>
    <row r="90" spans="1:9" ht="15.75" customHeight="1">
      <c r="A90" s="29">
        <v>16</v>
      </c>
      <c r="B90" s="51" t="s">
        <v>216</v>
      </c>
      <c r="C90" s="52" t="s">
        <v>152</v>
      </c>
      <c r="D90" s="35"/>
      <c r="E90" s="16"/>
      <c r="F90" s="34">
        <v>1</v>
      </c>
      <c r="G90" s="34">
        <f>1334.87+2373</f>
        <v>3707.87</v>
      </c>
      <c r="H90" s="34">
        <f t="shared" ref="H90" si="7">G90*F90/1000</f>
        <v>3.7078699999999998</v>
      </c>
      <c r="I90" s="86">
        <f>G90</f>
        <v>3707.87</v>
      </c>
    </row>
    <row r="91" spans="1:9" ht="15.75" customHeight="1">
      <c r="A91" s="29">
        <v>17</v>
      </c>
      <c r="B91" s="84" t="s">
        <v>151</v>
      </c>
      <c r="C91" s="85" t="s">
        <v>88</v>
      </c>
      <c r="D91" s="48"/>
      <c r="E91" s="34"/>
      <c r="F91" s="34">
        <v>1</v>
      </c>
      <c r="G91" s="34">
        <v>195.85</v>
      </c>
      <c r="H91" s="110">
        <f>G91*F91/1000</f>
        <v>0.19585</v>
      </c>
      <c r="I91" s="86">
        <f t="shared" ref="I91:I92" si="8">G91</f>
        <v>195.85</v>
      </c>
    </row>
    <row r="92" spans="1:9" ht="31.5" customHeight="1">
      <c r="A92" s="29">
        <v>18</v>
      </c>
      <c r="B92" s="84" t="s">
        <v>160</v>
      </c>
      <c r="C92" s="85" t="s">
        <v>152</v>
      </c>
      <c r="D92" s="35"/>
      <c r="E92" s="16"/>
      <c r="F92" s="34">
        <v>1</v>
      </c>
      <c r="G92" s="34">
        <v>111.66</v>
      </c>
      <c r="H92" s="110">
        <f>G92*F92/1000</f>
        <v>0.11166</v>
      </c>
      <c r="I92" s="86">
        <f t="shared" si="8"/>
        <v>111.66</v>
      </c>
    </row>
    <row r="93" spans="1:9">
      <c r="A93" s="29"/>
      <c r="B93" s="42" t="s">
        <v>52</v>
      </c>
      <c r="C93" s="38"/>
      <c r="D93" s="45"/>
      <c r="E93" s="38">
        <v>1</v>
      </c>
      <c r="F93" s="38"/>
      <c r="G93" s="38"/>
      <c r="H93" s="38"/>
      <c r="I93" s="32">
        <f>SUM(I87:I92)</f>
        <v>8027.7100000000009</v>
      </c>
    </row>
    <row r="94" spans="1:9" ht="16.5" customHeight="1">
      <c r="A94" s="29"/>
      <c r="B94" s="44" t="s">
        <v>81</v>
      </c>
      <c r="C94" s="14"/>
      <c r="D94" s="14"/>
      <c r="E94" s="39"/>
      <c r="F94" s="39"/>
      <c r="G94" s="40"/>
      <c r="H94" s="40"/>
      <c r="I94" s="16">
        <v>0</v>
      </c>
    </row>
    <row r="95" spans="1:9" ht="16.5" customHeight="1">
      <c r="A95" s="46"/>
      <c r="B95" s="43" t="s">
        <v>180</v>
      </c>
      <c r="C95" s="33"/>
      <c r="D95" s="33"/>
      <c r="E95" s="33"/>
      <c r="F95" s="33"/>
      <c r="G95" s="33"/>
      <c r="H95" s="33"/>
      <c r="I95" s="41">
        <f>I85+I93</f>
        <v>63988.984170200005</v>
      </c>
    </row>
    <row r="96" spans="1:9" ht="15.75" customHeight="1">
      <c r="A96" s="146" t="s">
        <v>217</v>
      </c>
      <c r="B96" s="146"/>
      <c r="C96" s="146"/>
      <c r="D96" s="146"/>
      <c r="E96" s="146"/>
      <c r="F96" s="146"/>
      <c r="G96" s="146"/>
      <c r="H96" s="146"/>
      <c r="I96" s="146"/>
    </row>
    <row r="97" spans="1:9" ht="15.75" customHeight="1">
      <c r="A97" s="56"/>
      <c r="B97" s="141" t="s">
        <v>218</v>
      </c>
      <c r="C97" s="141"/>
      <c r="D97" s="141"/>
      <c r="E97" s="141"/>
      <c r="F97" s="141"/>
      <c r="G97" s="141"/>
      <c r="H97" s="64"/>
      <c r="I97" s="3"/>
    </row>
    <row r="98" spans="1:9" ht="15.75" customHeight="1">
      <c r="A98" s="54"/>
      <c r="B98" s="137" t="s">
        <v>6</v>
      </c>
      <c r="C98" s="137"/>
      <c r="D98" s="137"/>
      <c r="E98" s="137"/>
      <c r="F98" s="137"/>
      <c r="G98" s="137"/>
      <c r="H98" s="24"/>
      <c r="I98" s="5"/>
    </row>
    <row r="99" spans="1:9" ht="15.75" customHeight="1">
      <c r="A99" s="9"/>
      <c r="B99" s="9"/>
      <c r="C99" s="9"/>
      <c r="D99" s="9"/>
      <c r="E99" s="9"/>
      <c r="F99" s="9"/>
      <c r="G99" s="9"/>
      <c r="H99" s="9"/>
      <c r="I99" s="9"/>
    </row>
    <row r="100" spans="1:9" ht="15.75">
      <c r="A100" s="142" t="s">
        <v>7</v>
      </c>
      <c r="B100" s="142"/>
      <c r="C100" s="142"/>
      <c r="D100" s="142"/>
      <c r="E100" s="142"/>
      <c r="F100" s="142"/>
      <c r="G100" s="142"/>
      <c r="H100" s="142"/>
      <c r="I100" s="142"/>
    </row>
    <row r="101" spans="1:9" ht="15.75">
      <c r="A101" s="142" t="s">
        <v>8</v>
      </c>
      <c r="B101" s="142"/>
      <c r="C101" s="142"/>
      <c r="D101" s="142"/>
      <c r="E101" s="142"/>
      <c r="F101" s="142"/>
      <c r="G101" s="142"/>
      <c r="H101" s="142"/>
      <c r="I101" s="142"/>
    </row>
    <row r="102" spans="1:9" ht="15.75">
      <c r="A102" s="143" t="s">
        <v>63</v>
      </c>
      <c r="B102" s="143"/>
      <c r="C102" s="143"/>
      <c r="D102" s="143"/>
      <c r="E102" s="143"/>
      <c r="F102" s="143"/>
      <c r="G102" s="143"/>
      <c r="H102" s="143"/>
      <c r="I102" s="143"/>
    </row>
    <row r="103" spans="1:9" ht="15.75">
      <c r="A103" s="10"/>
    </row>
    <row r="104" spans="1:9" ht="15.75">
      <c r="A104" s="144" t="s">
        <v>9</v>
      </c>
      <c r="B104" s="144"/>
      <c r="C104" s="144"/>
      <c r="D104" s="144"/>
      <c r="E104" s="144"/>
      <c r="F104" s="144"/>
      <c r="G104" s="144"/>
      <c r="H104" s="144"/>
      <c r="I104" s="144"/>
    </row>
    <row r="105" spans="1:9" ht="15.75">
      <c r="A105" s="4"/>
    </row>
    <row r="106" spans="1:9" ht="15.75">
      <c r="B106" s="55" t="s">
        <v>10</v>
      </c>
      <c r="C106" s="136" t="s">
        <v>93</v>
      </c>
      <c r="D106" s="136"/>
      <c r="E106" s="136"/>
      <c r="F106" s="62"/>
      <c r="I106" s="58"/>
    </row>
    <row r="107" spans="1:9">
      <c r="A107" s="54"/>
      <c r="C107" s="137" t="s">
        <v>11</v>
      </c>
      <c r="D107" s="137"/>
      <c r="E107" s="137"/>
      <c r="F107" s="24"/>
      <c r="I107" s="57" t="s">
        <v>12</v>
      </c>
    </row>
    <row r="108" spans="1:9" ht="15.75">
      <c r="A108" s="25"/>
      <c r="C108" s="11"/>
      <c r="D108" s="11"/>
      <c r="G108" s="11"/>
      <c r="H108" s="11"/>
    </row>
    <row r="109" spans="1:9" ht="15.75">
      <c r="B109" s="55" t="s">
        <v>13</v>
      </c>
      <c r="C109" s="138"/>
      <c r="D109" s="138"/>
      <c r="E109" s="138"/>
      <c r="F109" s="63"/>
      <c r="I109" s="58"/>
    </row>
    <row r="110" spans="1:9">
      <c r="A110" s="54"/>
      <c r="C110" s="139" t="s">
        <v>11</v>
      </c>
      <c r="D110" s="139"/>
      <c r="E110" s="139"/>
      <c r="F110" s="54"/>
      <c r="I110" s="57" t="s">
        <v>12</v>
      </c>
    </row>
    <row r="111" spans="1:9" ht="15.75">
      <c r="A111" s="4" t="s">
        <v>14</v>
      </c>
    </row>
    <row r="112" spans="1:9">
      <c r="A112" s="140" t="s">
        <v>15</v>
      </c>
      <c r="B112" s="140"/>
      <c r="C112" s="140"/>
      <c r="D112" s="140"/>
      <c r="E112" s="140"/>
      <c r="F112" s="140"/>
      <c r="G112" s="140"/>
      <c r="H112" s="140"/>
      <c r="I112" s="140"/>
    </row>
    <row r="113" spans="1:9" ht="45" customHeight="1">
      <c r="A113" s="129" t="s">
        <v>16</v>
      </c>
      <c r="B113" s="129"/>
      <c r="C113" s="129"/>
      <c r="D113" s="129"/>
      <c r="E113" s="129"/>
      <c r="F113" s="129"/>
      <c r="G113" s="129"/>
      <c r="H113" s="129"/>
      <c r="I113" s="129"/>
    </row>
    <row r="114" spans="1:9" ht="30" customHeight="1">
      <c r="A114" s="129" t="s">
        <v>17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30" customHeight="1">
      <c r="A115" s="129" t="s">
        <v>21</v>
      </c>
      <c r="B115" s="129"/>
      <c r="C115" s="129"/>
      <c r="D115" s="129"/>
      <c r="E115" s="129"/>
      <c r="F115" s="129"/>
      <c r="G115" s="129"/>
      <c r="H115" s="129"/>
      <c r="I115" s="129"/>
    </row>
    <row r="116" spans="1:9" ht="15" customHeight="1">
      <c r="A116" s="129" t="s">
        <v>20</v>
      </c>
      <c r="B116" s="129"/>
      <c r="C116" s="129"/>
      <c r="D116" s="129"/>
      <c r="E116" s="129"/>
      <c r="F116" s="129"/>
      <c r="G116" s="129"/>
      <c r="H116" s="129"/>
      <c r="I116" s="129"/>
    </row>
  </sheetData>
  <autoFilter ref="I12:I67"/>
  <mergeCells count="29">
    <mergeCell ref="R71:U71"/>
    <mergeCell ref="A82:I82"/>
    <mergeCell ref="A3:I3"/>
    <mergeCell ref="A4:I4"/>
    <mergeCell ref="A5:I5"/>
    <mergeCell ref="A8:I8"/>
    <mergeCell ref="A10:I10"/>
    <mergeCell ref="A14:I14"/>
    <mergeCell ref="A102:I102"/>
    <mergeCell ref="A15:I15"/>
    <mergeCell ref="A27:I27"/>
    <mergeCell ref="A45:I45"/>
    <mergeCell ref="A56:I56"/>
    <mergeCell ref="A96:I96"/>
    <mergeCell ref="B97:G97"/>
    <mergeCell ref="B98:G98"/>
    <mergeCell ref="A100:I100"/>
    <mergeCell ref="A101:I101"/>
    <mergeCell ref="A86:I86"/>
    <mergeCell ref="A113:I113"/>
    <mergeCell ref="A114:I114"/>
    <mergeCell ref="A115:I115"/>
    <mergeCell ref="A116:I116"/>
    <mergeCell ref="A104:I104"/>
    <mergeCell ref="C106:E106"/>
    <mergeCell ref="C107:E107"/>
    <mergeCell ref="C109:E109"/>
    <mergeCell ref="C110:E110"/>
    <mergeCell ref="A112:I11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U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90</v>
      </c>
      <c r="I1" s="26"/>
      <c r="J1" s="1"/>
      <c r="K1" s="1"/>
      <c r="L1" s="1"/>
      <c r="M1" s="1"/>
    </row>
    <row r="2" spans="1:13" ht="15.75">
      <c r="A2" s="28" t="s">
        <v>64</v>
      </c>
      <c r="J2" s="2"/>
      <c r="K2" s="2"/>
      <c r="L2" s="2"/>
      <c r="M2" s="2"/>
    </row>
    <row r="3" spans="1:13" ht="15.75" customHeight="1">
      <c r="A3" s="151" t="s">
        <v>176</v>
      </c>
      <c r="B3" s="151"/>
      <c r="C3" s="151"/>
      <c r="D3" s="151"/>
      <c r="E3" s="151"/>
      <c r="F3" s="151"/>
      <c r="G3" s="151"/>
      <c r="H3" s="151"/>
      <c r="I3" s="151"/>
      <c r="J3" s="3"/>
      <c r="K3" s="3"/>
      <c r="L3" s="3"/>
    </row>
    <row r="4" spans="1:13" ht="31.5" customHeight="1">
      <c r="A4" s="152" t="s">
        <v>134</v>
      </c>
      <c r="B4" s="152"/>
      <c r="C4" s="152"/>
      <c r="D4" s="152"/>
      <c r="E4" s="152"/>
      <c r="F4" s="152"/>
      <c r="G4" s="152"/>
      <c r="H4" s="152"/>
      <c r="I4" s="152"/>
    </row>
    <row r="5" spans="1:13" ht="15.75">
      <c r="A5" s="151" t="s">
        <v>219</v>
      </c>
      <c r="B5" s="153"/>
      <c r="C5" s="153"/>
      <c r="D5" s="153"/>
      <c r="E5" s="153"/>
      <c r="F5" s="153"/>
      <c r="G5" s="153"/>
      <c r="H5" s="153"/>
      <c r="I5" s="153"/>
      <c r="J5" s="2"/>
      <c r="K5" s="2"/>
      <c r="L5" s="2"/>
      <c r="M5" s="2"/>
    </row>
    <row r="6" spans="1:13" ht="15.75">
      <c r="A6" s="2"/>
      <c r="B6" s="53"/>
      <c r="C6" s="53"/>
      <c r="D6" s="53"/>
      <c r="E6" s="53"/>
      <c r="F6" s="53"/>
      <c r="G6" s="53"/>
      <c r="H6" s="53"/>
      <c r="I6" s="30">
        <v>43008</v>
      </c>
      <c r="J6" s="2"/>
      <c r="K6" s="2"/>
      <c r="L6" s="2"/>
      <c r="M6" s="2"/>
    </row>
    <row r="7" spans="1:13" ht="15.75">
      <c r="B7" s="55"/>
      <c r="C7" s="55"/>
      <c r="D7" s="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4" t="s">
        <v>183</v>
      </c>
      <c r="B8" s="154"/>
      <c r="C8" s="154"/>
      <c r="D8" s="154"/>
      <c r="E8" s="154"/>
      <c r="F8" s="154"/>
      <c r="G8" s="154"/>
      <c r="H8" s="154"/>
      <c r="I8" s="15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5" t="s">
        <v>240</v>
      </c>
      <c r="B10" s="155"/>
      <c r="C10" s="155"/>
      <c r="D10" s="155"/>
      <c r="E10" s="155"/>
      <c r="F10" s="155"/>
      <c r="G10" s="155"/>
      <c r="H10" s="155"/>
      <c r="I10" s="155"/>
      <c r="J10" s="2"/>
      <c r="K10" s="2"/>
      <c r="L10" s="2"/>
      <c r="M10" s="2"/>
    </row>
    <row r="11" spans="1:13" ht="15.75">
      <c r="A11" s="4"/>
    </row>
    <row r="12" spans="1:13" ht="48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50" t="s">
        <v>61</v>
      </c>
      <c r="B14" s="150"/>
      <c r="C14" s="150"/>
      <c r="D14" s="150"/>
      <c r="E14" s="150"/>
      <c r="F14" s="150"/>
      <c r="G14" s="150"/>
      <c r="H14" s="150"/>
      <c r="I14" s="150"/>
      <c r="J14" s="8"/>
      <c r="K14" s="8"/>
      <c r="L14" s="8"/>
      <c r="M14" s="8"/>
    </row>
    <row r="15" spans="1:13" ht="15.75" customHeight="1">
      <c r="A15" s="145" t="s">
        <v>4</v>
      </c>
      <c r="B15" s="145"/>
      <c r="C15" s="145"/>
      <c r="D15" s="145"/>
      <c r="E15" s="145"/>
      <c r="F15" s="145"/>
      <c r="G15" s="145"/>
      <c r="H15" s="145"/>
      <c r="I15" s="145"/>
      <c r="J15" s="8"/>
      <c r="K15" s="8"/>
      <c r="L15" s="8"/>
      <c r="M15" s="8"/>
    </row>
    <row r="16" spans="1:13" ht="15.75" customHeight="1">
      <c r="A16" s="29">
        <v>1</v>
      </c>
      <c r="B16" s="65" t="s">
        <v>91</v>
      </c>
      <c r="C16" s="66" t="s">
        <v>102</v>
      </c>
      <c r="D16" s="65" t="s">
        <v>224</v>
      </c>
      <c r="E16" s="67">
        <v>95.04</v>
      </c>
      <c r="F16" s="68">
        <f>SUM(E16*156/100)</f>
        <v>148.26240000000001</v>
      </c>
      <c r="G16" s="68">
        <v>187.48</v>
      </c>
      <c r="H16" s="69">
        <f t="shared" ref="H16:H24" si="0">SUM(F16*G16/1000)</f>
        <v>27.796234752</v>
      </c>
      <c r="I16" s="12">
        <f>F16/12*G16</f>
        <v>2316.3528960000003</v>
      </c>
      <c r="J16" s="8"/>
      <c r="K16" s="8"/>
      <c r="L16" s="8"/>
      <c r="M16" s="8"/>
    </row>
    <row r="17" spans="1:13" ht="15.75" customHeight="1">
      <c r="A17" s="29">
        <v>2</v>
      </c>
      <c r="B17" s="65" t="s">
        <v>100</v>
      </c>
      <c r="C17" s="66" t="s">
        <v>102</v>
      </c>
      <c r="D17" s="65" t="s">
        <v>225</v>
      </c>
      <c r="E17" s="67">
        <v>380.16</v>
      </c>
      <c r="F17" s="68">
        <f>SUM(E17*104/100)</f>
        <v>395.3664</v>
      </c>
      <c r="G17" s="68">
        <v>187.48</v>
      </c>
      <c r="H17" s="69">
        <f t="shared" si="0"/>
        <v>74.123292671999991</v>
      </c>
      <c r="I17" s="12">
        <f>F17/12*G17</f>
        <v>6176.9410559999997</v>
      </c>
      <c r="J17" s="22"/>
      <c r="K17" s="8"/>
      <c r="L17" s="8"/>
      <c r="M17" s="8"/>
    </row>
    <row r="18" spans="1:13" ht="15.75" customHeight="1">
      <c r="A18" s="29">
        <v>3</v>
      </c>
      <c r="B18" s="65" t="s">
        <v>101</v>
      </c>
      <c r="C18" s="66" t="s">
        <v>102</v>
      </c>
      <c r="D18" s="65" t="s">
        <v>226</v>
      </c>
      <c r="E18" s="67">
        <f>SUM(E16+E17)</f>
        <v>475.20000000000005</v>
      </c>
      <c r="F18" s="68">
        <f>SUM(E18*24/100)</f>
        <v>114.04800000000002</v>
      </c>
      <c r="G18" s="68">
        <v>539.30999999999995</v>
      </c>
      <c r="H18" s="69">
        <f t="shared" si="0"/>
        <v>61.507226880000005</v>
      </c>
      <c r="I18" s="12">
        <f>F18/12*G18</f>
        <v>5125.6022400000002</v>
      </c>
      <c r="J18" s="22"/>
      <c r="K18" s="8"/>
      <c r="L18" s="8"/>
      <c r="M18" s="8"/>
    </row>
    <row r="19" spans="1:13" ht="15.75" hidden="1" customHeight="1">
      <c r="A19" s="29">
        <v>4</v>
      </c>
      <c r="B19" s="65" t="s">
        <v>103</v>
      </c>
      <c r="C19" s="66" t="s">
        <v>104</v>
      </c>
      <c r="D19" s="65" t="s">
        <v>105</v>
      </c>
      <c r="E19" s="67">
        <v>93.4</v>
      </c>
      <c r="F19" s="68">
        <f>SUM(E19/10)</f>
        <v>9.34</v>
      </c>
      <c r="G19" s="68">
        <v>181.9</v>
      </c>
      <c r="H19" s="69">
        <f t="shared" si="0"/>
        <v>1.6989460000000001</v>
      </c>
      <c r="I19" s="12">
        <f t="shared" ref="I19" si="1">F19/12*G19</f>
        <v>141.57883333333334</v>
      </c>
      <c r="J19" s="22"/>
      <c r="K19" s="8"/>
      <c r="L19" s="8"/>
      <c r="M19" s="8"/>
    </row>
    <row r="20" spans="1:13" ht="15.75" customHeight="1">
      <c r="A20" s="29">
        <v>4</v>
      </c>
      <c r="B20" s="65" t="s">
        <v>106</v>
      </c>
      <c r="C20" s="66" t="s">
        <v>102</v>
      </c>
      <c r="D20" s="65" t="s">
        <v>42</v>
      </c>
      <c r="E20" s="67">
        <v>43.2</v>
      </c>
      <c r="F20" s="68">
        <f>SUM(E20*2/100)</f>
        <v>0.8640000000000001</v>
      </c>
      <c r="G20" s="68">
        <v>232.91</v>
      </c>
      <c r="H20" s="69">
        <f t="shared" si="0"/>
        <v>0.20123424000000004</v>
      </c>
      <c r="I20" s="12">
        <f>F20/2*G20</f>
        <v>100.61712000000001</v>
      </c>
      <c r="J20" s="22"/>
      <c r="K20" s="8"/>
      <c r="L20" s="8"/>
      <c r="M20" s="8"/>
    </row>
    <row r="21" spans="1:13" ht="15.75" customHeight="1">
      <c r="A21" s="29">
        <v>5</v>
      </c>
      <c r="B21" s="65" t="s">
        <v>107</v>
      </c>
      <c r="C21" s="66" t="s">
        <v>102</v>
      </c>
      <c r="D21" s="65" t="s">
        <v>42</v>
      </c>
      <c r="E21" s="67">
        <v>10.08</v>
      </c>
      <c r="F21" s="68">
        <f>SUM(E21*2/100)</f>
        <v>0.2016</v>
      </c>
      <c r="G21" s="68">
        <v>231.03</v>
      </c>
      <c r="H21" s="69">
        <f t="shared" si="0"/>
        <v>4.6575648000000004E-2</v>
      </c>
      <c r="I21" s="12">
        <f t="shared" ref="I21:I24" si="2">F21/2*G21</f>
        <v>23.287824000000001</v>
      </c>
      <c r="J21" s="22"/>
      <c r="K21" s="8"/>
      <c r="L21" s="8"/>
      <c r="M21" s="8"/>
    </row>
    <row r="22" spans="1:13" ht="15.75" hidden="1" customHeight="1">
      <c r="A22" s="29"/>
      <c r="B22" s="65" t="s">
        <v>108</v>
      </c>
      <c r="C22" s="66" t="s">
        <v>54</v>
      </c>
      <c r="D22" s="65" t="s">
        <v>105</v>
      </c>
      <c r="E22" s="67">
        <v>642.6</v>
      </c>
      <c r="F22" s="68">
        <f>SUM(E22/100)</f>
        <v>6.4260000000000002</v>
      </c>
      <c r="G22" s="68">
        <v>287.83999999999997</v>
      </c>
      <c r="H22" s="69">
        <f t="shared" si="0"/>
        <v>1.8496598399999997</v>
      </c>
      <c r="I22" s="12">
        <f t="shared" si="2"/>
        <v>924.8299199999999</v>
      </c>
      <c r="J22" s="22"/>
      <c r="K22" s="8"/>
      <c r="L22" s="8"/>
      <c r="M22" s="8"/>
    </row>
    <row r="23" spans="1:13" ht="15.75" hidden="1" customHeight="1">
      <c r="A23" s="29"/>
      <c r="B23" s="65" t="s">
        <v>109</v>
      </c>
      <c r="C23" s="66" t="s">
        <v>54</v>
      </c>
      <c r="D23" s="65" t="s">
        <v>105</v>
      </c>
      <c r="E23" s="70">
        <v>35.28</v>
      </c>
      <c r="F23" s="68">
        <f>SUM(E23/100)</f>
        <v>0.3528</v>
      </c>
      <c r="G23" s="68">
        <v>47.35</v>
      </c>
      <c r="H23" s="69">
        <f t="shared" si="0"/>
        <v>1.6705080000000004E-2</v>
      </c>
      <c r="I23" s="12">
        <f t="shared" si="2"/>
        <v>8.3525400000000012</v>
      </c>
      <c r="J23" s="22"/>
      <c r="K23" s="8"/>
      <c r="L23" s="8"/>
      <c r="M23" s="8"/>
    </row>
    <row r="24" spans="1:13" ht="15.75" hidden="1" customHeight="1">
      <c r="A24" s="29"/>
      <c r="B24" s="65" t="s">
        <v>110</v>
      </c>
      <c r="C24" s="66" t="s">
        <v>54</v>
      </c>
      <c r="D24" s="65" t="s">
        <v>105</v>
      </c>
      <c r="E24" s="67">
        <v>28.8</v>
      </c>
      <c r="F24" s="68">
        <f>SUM(E24/100)</f>
        <v>0.28800000000000003</v>
      </c>
      <c r="G24" s="68">
        <v>556.74</v>
      </c>
      <c r="H24" s="69">
        <f t="shared" si="0"/>
        <v>0.16034112000000003</v>
      </c>
      <c r="I24" s="12">
        <f t="shared" si="2"/>
        <v>80.170560000000009</v>
      </c>
      <c r="J24" s="22"/>
      <c r="K24" s="8"/>
      <c r="L24" s="8"/>
      <c r="M24" s="8"/>
    </row>
    <row r="25" spans="1:13" ht="15.75" customHeight="1">
      <c r="A25" s="29">
        <v>6</v>
      </c>
      <c r="B25" s="65" t="s">
        <v>66</v>
      </c>
      <c r="C25" s="66" t="s">
        <v>33</v>
      </c>
      <c r="D25" s="65" t="s">
        <v>227</v>
      </c>
      <c r="E25" s="67">
        <v>0.1</v>
      </c>
      <c r="F25" s="68">
        <f>SUM(E25*365)</f>
        <v>36.5</v>
      </c>
      <c r="G25" s="68">
        <v>157.18</v>
      </c>
      <c r="H25" s="69">
        <f>SUM(F25*G25/1000)</f>
        <v>5.737070000000001</v>
      </c>
      <c r="I25" s="12">
        <f>F25/12*G25</f>
        <v>478.08916666666664</v>
      </c>
      <c r="J25" s="22"/>
      <c r="K25" s="8"/>
      <c r="L25" s="8"/>
      <c r="M25" s="8"/>
    </row>
    <row r="26" spans="1:13" ht="15.75" customHeight="1">
      <c r="A26" s="29">
        <v>7</v>
      </c>
      <c r="B26" s="73" t="s">
        <v>23</v>
      </c>
      <c r="C26" s="66" t="s">
        <v>24</v>
      </c>
      <c r="D26" s="65" t="s">
        <v>227</v>
      </c>
      <c r="E26" s="67">
        <v>3945</v>
      </c>
      <c r="F26" s="68">
        <f>SUM(E26*12)</f>
        <v>47340</v>
      </c>
      <c r="G26" s="68">
        <v>5.33</v>
      </c>
      <c r="H26" s="69">
        <f>SUM(F26*G26/1000)</f>
        <v>252.32220000000001</v>
      </c>
      <c r="I26" s="12">
        <f>F26/12*G26</f>
        <v>21026.85</v>
      </c>
      <c r="J26" s="23"/>
    </row>
    <row r="27" spans="1:13" ht="15.75" customHeight="1">
      <c r="A27" s="130" t="s">
        <v>89</v>
      </c>
      <c r="B27" s="131"/>
      <c r="C27" s="131"/>
      <c r="D27" s="131"/>
      <c r="E27" s="131"/>
      <c r="F27" s="131"/>
      <c r="G27" s="131"/>
      <c r="H27" s="131"/>
      <c r="I27" s="132"/>
      <c r="J27" s="22"/>
      <c r="K27" s="8"/>
      <c r="L27" s="8"/>
      <c r="M27" s="8"/>
    </row>
    <row r="28" spans="1:13" ht="15.75" customHeight="1">
      <c r="A28" s="29"/>
      <c r="B28" s="90" t="s">
        <v>28</v>
      </c>
      <c r="C28" s="66"/>
      <c r="D28" s="65"/>
      <c r="E28" s="67"/>
      <c r="F28" s="68"/>
      <c r="G28" s="68"/>
      <c r="H28" s="69"/>
      <c r="I28" s="12"/>
      <c r="J28" s="22"/>
      <c r="K28" s="8"/>
      <c r="L28" s="8"/>
      <c r="M28" s="8"/>
    </row>
    <row r="29" spans="1:13" ht="15.75" customHeight="1">
      <c r="A29" s="29">
        <v>8</v>
      </c>
      <c r="B29" s="65" t="s">
        <v>111</v>
      </c>
      <c r="C29" s="66" t="s">
        <v>148</v>
      </c>
      <c r="D29" s="65" t="s">
        <v>228</v>
      </c>
      <c r="E29" s="68">
        <v>1044.6500000000001</v>
      </c>
      <c r="F29" s="68">
        <f>SUM(E29*52/1000)</f>
        <v>54.321800000000003</v>
      </c>
      <c r="G29" s="68">
        <v>166.65</v>
      </c>
      <c r="H29" s="69">
        <f t="shared" ref="H29:H35" si="3">SUM(F29*G29/1000)</f>
        <v>9.0527279700000012</v>
      </c>
      <c r="I29" s="12">
        <f>F29/6*G29</f>
        <v>1508.7879950000001</v>
      </c>
      <c r="J29" s="22"/>
      <c r="K29" s="8"/>
      <c r="L29" s="8"/>
      <c r="M29" s="8"/>
    </row>
    <row r="30" spans="1:13" ht="31.5" customHeight="1">
      <c r="A30" s="29">
        <v>9</v>
      </c>
      <c r="B30" s="65" t="s">
        <v>162</v>
      </c>
      <c r="C30" s="66" t="s">
        <v>112</v>
      </c>
      <c r="D30" s="65" t="s">
        <v>229</v>
      </c>
      <c r="E30" s="68">
        <v>116.93</v>
      </c>
      <c r="F30" s="68">
        <f>SUM(E30*78/1000)</f>
        <v>9.1205400000000001</v>
      </c>
      <c r="G30" s="68">
        <v>276.48</v>
      </c>
      <c r="H30" s="69">
        <f t="shared" si="3"/>
        <v>2.5216468991999998</v>
      </c>
      <c r="I30" s="12">
        <f t="shared" ref="I30:I33" si="4">F30/6*G30</f>
        <v>420.27448320000002</v>
      </c>
      <c r="J30" s="22"/>
      <c r="K30" s="8"/>
      <c r="L30" s="8"/>
      <c r="M30" s="8"/>
    </row>
    <row r="31" spans="1:13" ht="15.75" hidden="1" customHeight="1">
      <c r="A31" s="29"/>
      <c r="B31" s="65" t="s">
        <v>27</v>
      </c>
      <c r="C31" s="66" t="s">
        <v>112</v>
      </c>
      <c r="D31" s="65" t="s">
        <v>55</v>
      </c>
      <c r="E31" s="68">
        <v>1044.6500000000001</v>
      </c>
      <c r="F31" s="68">
        <f>SUM(E31/1000)</f>
        <v>1.0446500000000001</v>
      </c>
      <c r="G31" s="68">
        <v>3228.73</v>
      </c>
      <c r="H31" s="69">
        <f t="shared" si="3"/>
        <v>3.3728927945000007</v>
      </c>
      <c r="I31" s="12">
        <f>F31*G31</f>
        <v>3372.8927945000005</v>
      </c>
      <c r="J31" s="22"/>
      <c r="K31" s="8"/>
      <c r="L31" s="8"/>
      <c r="M31" s="8"/>
    </row>
    <row r="32" spans="1:13" ht="15.75" customHeight="1">
      <c r="A32" s="29">
        <v>10</v>
      </c>
      <c r="B32" s="65" t="s">
        <v>135</v>
      </c>
      <c r="C32" s="66" t="s">
        <v>39</v>
      </c>
      <c r="D32" s="65" t="s">
        <v>65</v>
      </c>
      <c r="E32" s="68">
        <v>6</v>
      </c>
      <c r="F32" s="68">
        <v>9.3000000000000007</v>
      </c>
      <c r="G32" s="68">
        <v>1391.86</v>
      </c>
      <c r="H32" s="69">
        <f>G32*F32/1000</f>
        <v>12.944298</v>
      </c>
      <c r="I32" s="12">
        <f t="shared" si="4"/>
        <v>2157.3829999999998</v>
      </c>
      <c r="J32" s="22"/>
      <c r="K32" s="8"/>
      <c r="L32" s="8"/>
      <c r="M32" s="8"/>
    </row>
    <row r="33" spans="1:14" ht="15.75" customHeight="1">
      <c r="A33" s="29">
        <v>11</v>
      </c>
      <c r="B33" s="65" t="s">
        <v>113</v>
      </c>
      <c r="C33" s="66" t="s">
        <v>31</v>
      </c>
      <c r="D33" s="65" t="s">
        <v>65</v>
      </c>
      <c r="E33" s="72">
        <v>0.33333333333333331</v>
      </c>
      <c r="F33" s="68">
        <f>155/3</f>
        <v>51.666666666666664</v>
      </c>
      <c r="G33" s="68">
        <v>60.6</v>
      </c>
      <c r="H33" s="69">
        <f>SUM(G33*155/3/1000)</f>
        <v>3.1309999999999998</v>
      </c>
      <c r="I33" s="12">
        <f t="shared" si="4"/>
        <v>521.83333333333337</v>
      </c>
      <c r="J33" s="22"/>
      <c r="K33" s="8"/>
      <c r="L33" s="8"/>
      <c r="M33" s="8"/>
    </row>
    <row r="34" spans="1:14" ht="15.75" hidden="1" customHeight="1">
      <c r="A34" s="29"/>
      <c r="B34" s="65" t="s">
        <v>67</v>
      </c>
      <c r="C34" s="66" t="s">
        <v>33</v>
      </c>
      <c r="D34" s="65" t="s">
        <v>69</v>
      </c>
      <c r="E34" s="67"/>
      <c r="F34" s="68">
        <v>3</v>
      </c>
      <c r="G34" s="68">
        <v>204.52</v>
      </c>
      <c r="H34" s="69">
        <f t="shared" si="3"/>
        <v>0.61356000000000011</v>
      </c>
      <c r="I34" s="12">
        <v>0</v>
      </c>
      <c r="J34" s="22"/>
      <c r="K34" s="8"/>
    </row>
    <row r="35" spans="1:14" ht="15.75" hidden="1" customHeight="1">
      <c r="A35" s="29"/>
      <c r="B35" s="65" t="s">
        <v>68</v>
      </c>
      <c r="C35" s="66" t="s">
        <v>32</v>
      </c>
      <c r="D35" s="65" t="s">
        <v>69</v>
      </c>
      <c r="E35" s="67"/>
      <c r="F35" s="68">
        <v>2</v>
      </c>
      <c r="G35" s="68">
        <v>1136.33</v>
      </c>
      <c r="H35" s="69">
        <f t="shared" si="3"/>
        <v>2.2726599999999997</v>
      </c>
      <c r="I35" s="12">
        <v>0</v>
      </c>
      <c r="J35" s="23"/>
    </row>
    <row r="36" spans="1:14" ht="15.75" hidden="1" customHeight="1">
      <c r="A36" s="29"/>
      <c r="B36" s="90" t="s">
        <v>5</v>
      </c>
      <c r="C36" s="66"/>
      <c r="D36" s="65"/>
      <c r="E36" s="67"/>
      <c r="F36" s="68"/>
      <c r="G36" s="68"/>
      <c r="H36" s="69" t="s">
        <v>145</v>
      </c>
      <c r="I36" s="12"/>
      <c r="J36" s="23"/>
    </row>
    <row r="37" spans="1:14" ht="15.75" hidden="1" customHeight="1">
      <c r="A37" s="29">
        <v>6</v>
      </c>
      <c r="B37" s="65" t="s">
        <v>26</v>
      </c>
      <c r="C37" s="66" t="s">
        <v>32</v>
      </c>
      <c r="D37" s="65"/>
      <c r="E37" s="67"/>
      <c r="F37" s="68">
        <v>8</v>
      </c>
      <c r="G37" s="68">
        <v>1632.6</v>
      </c>
      <c r="H37" s="69">
        <f t="shared" ref="H37:H44" si="5">SUM(F37*G37/1000)</f>
        <v>13.060799999999999</v>
      </c>
      <c r="I37" s="12">
        <f>F37/6*G37</f>
        <v>2176.7999999999997</v>
      </c>
      <c r="J37" s="23"/>
    </row>
    <row r="38" spans="1:14" ht="15.75" hidden="1" customHeight="1">
      <c r="A38" s="29">
        <v>7</v>
      </c>
      <c r="B38" s="65" t="s">
        <v>94</v>
      </c>
      <c r="C38" s="66" t="s">
        <v>29</v>
      </c>
      <c r="D38" s="65" t="s">
        <v>136</v>
      </c>
      <c r="E38" s="67">
        <v>477.19</v>
      </c>
      <c r="F38" s="68">
        <f>E38*12/1000</f>
        <v>5.72628</v>
      </c>
      <c r="G38" s="68">
        <v>2247.8000000000002</v>
      </c>
      <c r="H38" s="69">
        <f>G38*F38/1000</f>
        <v>12.871532184000001</v>
      </c>
      <c r="I38" s="12">
        <f>F38/6*G38</f>
        <v>2145.2553640000001</v>
      </c>
      <c r="J38" s="23"/>
    </row>
    <row r="39" spans="1:14" ht="15.75" hidden="1" customHeight="1">
      <c r="A39" s="29">
        <v>8</v>
      </c>
      <c r="B39" s="65" t="s">
        <v>115</v>
      </c>
      <c r="C39" s="66" t="s">
        <v>29</v>
      </c>
      <c r="D39" s="65" t="s">
        <v>114</v>
      </c>
      <c r="E39" s="67">
        <v>116.93</v>
      </c>
      <c r="F39" s="68">
        <f>E39*30/1000</f>
        <v>3.5079000000000002</v>
      </c>
      <c r="G39" s="68">
        <v>2247.8000000000002</v>
      </c>
      <c r="H39" s="69">
        <f>G39*F39/1000</f>
        <v>7.8850576200000013</v>
      </c>
      <c r="I39" s="12">
        <f>F39/6*G39</f>
        <v>1314.1762700000002</v>
      </c>
      <c r="J39" s="23"/>
    </row>
    <row r="40" spans="1:14" ht="15.75" hidden="1" customHeight="1">
      <c r="A40" s="29"/>
      <c r="B40" s="65" t="s">
        <v>117</v>
      </c>
      <c r="C40" s="66" t="s">
        <v>118</v>
      </c>
      <c r="D40" s="65" t="s">
        <v>69</v>
      </c>
      <c r="E40" s="67"/>
      <c r="F40" s="68">
        <v>135</v>
      </c>
      <c r="G40" s="68">
        <v>213.2</v>
      </c>
      <c r="H40" s="69">
        <f>G40*F40/1000</f>
        <v>28.782</v>
      </c>
      <c r="I40" s="12">
        <v>0</v>
      </c>
      <c r="J40" s="23"/>
      <c r="L40" s="18"/>
      <c r="M40" s="19"/>
      <c r="N40" s="20"/>
    </row>
    <row r="41" spans="1:14" ht="15.75" hidden="1" customHeight="1">
      <c r="A41" s="29">
        <v>9</v>
      </c>
      <c r="B41" s="65" t="s">
        <v>70</v>
      </c>
      <c r="C41" s="66" t="s">
        <v>29</v>
      </c>
      <c r="D41" s="65" t="s">
        <v>116</v>
      </c>
      <c r="E41" s="68">
        <v>116.93</v>
      </c>
      <c r="F41" s="68">
        <f>SUM(E41*155/1000)</f>
        <v>18.12415</v>
      </c>
      <c r="G41" s="68">
        <v>374.95</v>
      </c>
      <c r="H41" s="69">
        <f t="shared" si="5"/>
        <v>6.7956500424999993</v>
      </c>
      <c r="I41" s="12">
        <f>F41/6*G41</f>
        <v>1132.6083404166666</v>
      </c>
      <c r="J41" s="23"/>
      <c r="L41" s="18"/>
      <c r="M41" s="19"/>
      <c r="N41" s="20"/>
    </row>
    <row r="42" spans="1:14" ht="47.25" hidden="1" customHeight="1">
      <c r="A42" s="29">
        <v>10</v>
      </c>
      <c r="B42" s="65" t="s">
        <v>87</v>
      </c>
      <c r="C42" s="66" t="s">
        <v>112</v>
      </c>
      <c r="D42" s="65" t="s">
        <v>137</v>
      </c>
      <c r="E42" s="68">
        <v>116.93</v>
      </c>
      <c r="F42" s="68">
        <f>SUM(E42*24/1000)</f>
        <v>2.8063200000000004</v>
      </c>
      <c r="G42" s="68">
        <v>6203.71</v>
      </c>
      <c r="H42" s="69">
        <f t="shared" si="5"/>
        <v>17.409595447200001</v>
      </c>
      <c r="I42" s="12">
        <f>F42/6*G42</f>
        <v>2901.5992412000005</v>
      </c>
      <c r="J42" s="23"/>
      <c r="L42" s="18"/>
      <c r="M42" s="19"/>
      <c r="N42" s="20"/>
    </row>
    <row r="43" spans="1:14" ht="15.75" hidden="1" customHeight="1">
      <c r="A43" s="29">
        <v>11</v>
      </c>
      <c r="B43" s="65" t="s">
        <v>119</v>
      </c>
      <c r="C43" s="66" t="s">
        <v>112</v>
      </c>
      <c r="D43" s="65" t="s">
        <v>71</v>
      </c>
      <c r="E43" s="68">
        <v>116.93</v>
      </c>
      <c r="F43" s="68">
        <f>SUM(E43*45/1000)</f>
        <v>5.2618500000000008</v>
      </c>
      <c r="G43" s="68">
        <v>458.28</v>
      </c>
      <c r="H43" s="69">
        <f t="shared" si="5"/>
        <v>2.4114006180000001</v>
      </c>
      <c r="I43" s="12">
        <f>F43/6*G43</f>
        <v>401.90010300000006</v>
      </c>
      <c r="J43" s="23"/>
      <c r="L43" s="18"/>
      <c r="M43" s="19"/>
      <c r="N43" s="20"/>
    </row>
    <row r="44" spans="1:14" ht="15.75" hidden="1" customHeight="1">
      <c r="A44" s="29">
        <v>12</v>
      </c>
      <c r="B44" s="65" t="s">
        <v>72</v>
      </c>
      <c r="C44" s="66" t="s">
        <v>33</v>
      </c>
      <c r="D44" s="65"/>
      <c r="E44" s="67"/>
      <c r="F44" s="68">
        <v>0.9</v>
      </c>
      <c r="G44" s="68">
        <v>798</v>
      </c>
      <c r="H44" s="69">
        <f t="shared" si="5"/>
        <v>0.71820000000000006</v>
      </c>
      <c r="I44" s="12">
        <f>F44/6*G44</f>
        <v>119.69999999999999</v>
      </c>
      <c r="J44" s="23"/>
      <c r="L44" s="18"/>
      <c r="M44" s="19"/>
      <c r="N44" s="20"/>
    </row>
    <row r="45" spans="1:14" ht="15.75" customHeight="1">
      <c r="A45" s="130" t="s">
        <v>163</v>
      </c>
      <c r="B45" s="131"/>
      <c r="C45" s="131"/>
      <c r="D45" s="131"/>
      <c r="E45" s="131"/>
      <c r="F45" s="131"/>
      <c r="G45" s="131"/>
      <c r="H45" s="131"/>
      <c r="I45" s="132"/>
      <c r="J45" s="23"/>
      <c r="L45" s="18"/>
      <c r="M45" s="19"/>
      <c r="N45" s="20"/>
    </row>
    <row r="46" spans="1:14" ht="15.75" customHeight="1">
      <c r="A46" s="29">
        <v>12</v>
      </c>
      <c r="B46" s="65" t="s">
        <v>139</v>
      </c>
      <c r="C46" s="66" t="s">
        <v>112</v>
      </c>
      <c r="D46" s="65" t="s">
        <v>42</v>
      </c>
      <c r="E46" s="67">
        <v>1030.4000000000001</v>
      </c>
      <c r="F46" s="68">
        <f>SUM(E46*2/1000)</f>
        <v>2.0608</v>
      </c>
      <c r="G46" s="12">
        <v>908.1</v>
      </c>
      <c r="H46" s="69">
        <f t="shared" ref="H46:H55" si="6">SUM(F46*G46/1000)</f>
        <v>1.87141248</v>
      </c>
      <c r="I46" s="12">
        <f t="shared" ref="I46:I48" si="7">F46/2*G46</f>
        <v>935.70623999999998</v>
      </c>
      <c r="J46" s="23"/>
      <c r="L46" s="18"/>
      <c r="M46" s="19"/>
      <c r="N46" s="20"/>
    </row>
    <row r="47" spans="1:14" ht="15.75" customHeight="1">
      <c r="A47" s="29">
        <v>13</v>
      </c>
      <c r="B47" s="65" t="s">
        <v>34</v>
      </c>
      <c r="C47" s="66" t="s">
        <v>112</v>
      </c>
      <c r="D47" s="65" t="s">
        <v>42</v>
      </c>
      <c r="E47" s="67">
        <v>132</v>
      </c>
      <c r="F47" s="68">
        <f>E47*2/1000</f>
        <v>0.26400000000000001</v>
      </c>
      <c r="G47" s="12">
        <v>619.46</v>
      </c>
      <c r="H47" s="69">
        <f t="shared" si="6"/>
        <v>0.16353744000000001</v>
      </c>
      <c r="I47" s="12">
        <f t="shared" si="7"/>
        <v>81.768720000000002</v>
      </c>
      <c r="J47" s="23"/>
      <c r="L47" s="18"/>
      <c r="M47" s="19"/>
      <c r="N47" s="20"/>
    </row>
    <row r="48" spans="1:14" ht="15.75" customHeight="1">
      <c r="A48" s="29">
        <v>14</v>
      </c>
      <c r="B48" s="65" t="s">
        <v>35</v>
      </c>
      <c r="C48" s="66" t="s">
        <v>112</v>
      </c>
      <c r="D48" s="65" t="s">
        <v>42</v>
      </c>
      <c r="E48" s="67">
        <v>4248.22</v>
      </c>
      <c r="F48" s="68">
        <f>SUM(E48*2/1000)</f>
        <v>8.4964399999999998</v>
      </c>
      <c r="G48" s="12">
        <v>619.46</v>
      </c>
      <c r="H48" s="69">
        <f t="shared" si="6"/>
        <v>5.2632047223999994</v>
      </c>
      <c r="I48" s="12">
        <f t="shared" si="7"/>
        <v>2631.6023611999999</v>
      </c>
      <c r="J48" s="23"/>
      <c r="L48" s="18"/>
      <c r="M48" s="19"/>
      <c r="N48" s="20"/>
    </row>
    <row r="49" spans="1:14" ht="15.75" customHeight="1">
      <c r="A49" s="29">
        <v>15</v>
      </c>
      <c r="B49" s="65" t="s">
        <v>36</v>
      </c>
      <c r="C49" s="66" t="s">
        <v>112</v>
      </c>
      <c r="D49" s="65" t="s">
        <v>42</v>
      </c>
      <c r="E49" s="67">
        <v>2163.66</v>
      </c>
      <c r="F49" s="68">
        <f>SUM(E49*2/1000)</f>
        <v>4.3273199999999994</v>
      </c>
      <c r="G49" s="12">
        <v>648.64</v>
      </c>
      <c r="H49" s="69">
        <f t="shared" si="6"/>
        <v>2.8068728447999995</v>
      </c>
      <c r="I49" s="12">
        <f>F49/2*G49</f>
        <v>1403.4364223999999</v>
      </c>
      <c r="J49" s="23"/>
      <c r="L49" s="18"/>
      <c r="M49" s="19"/>
      <c r="N49" s="20"/>
    </row>
    <row r="50" spans="1:14" ht="15.75" customHeight="1">
      <c r="A50" s="29">
        <v>16</v>
      </c>
      <c r="B50" s="65" t="s">
        <v>58</v>
      </c>
      <c r="C50" s="66" t="s">
        <v>112</v>
      </c>
      <c r="D50" s="65" t="s">
        <v>188</v>
      </c>
      <c r="E50" s="67">
        <v>1015.4</v>
      </c>
      <c r="F50" s="68">
        <f>SUM(E50*5/1000)</f>
        <v>5.077</v>
      </c>
      <c r="G50" s="12">
        <v>1297.28</v>
      </c>
      <c r="H50" s="69">
        <f t="shared" si="6"/>
        <v>6.5862905599999992</v>
      </c>
      <c r="I50" s="12">
        <f>F50/5*G50</f>
        <v>1317.258112</v>
      </c>
      <c r="J50" s="23"/>
      <c r="L50" s="18"/>
      <c r="M50" s="19"/>
      <c r="N50" s="20"/>
    </row>
    <row r="51" spans="1:14" ht="31.5" customHeight="1">
      <c r="A51" s="29">
        <v>17</v>
      </c>
      <c r="B51" s="65" t="s">
        <v>120</v>
      </c>
      <c r="C51" s="66" t="s">
        <v>112</v>
      </c>
      <c r="D51" s="65" t="s">
        <v>42</v>
      </c>
      <c r="E51" s="67">
        <v>1015.4</v>
      </c>
      <c r="F51" s="68">
        <f>SUM(E51*2/1000)</f>
        <v>2.0308000000000002</v>
      </c>
      <c r="G51" s="12">
        <v>1297.28</v>
      </c>
      <c r="H51" s="69">
        <f t="shared" si="6"/>
        <v>2.634516224</v>
      </c>
      <c r="I51" s="12">
        <f>F51/2*G51</f>
        <v>1317.258112</v>
      </c>
      <c r="J51" s="23"/>
      <c r="L51" s="18"/>
      <c r="M51" s="19"/>
      <c r="N51" s="20"/>
    </row>
    <row r="52" spans="1:14" ht="31.5" customHeight="1">
      <c r="A52" s="29">
        <v>18</v>
      </c>
      <c r="B52" s="65" t="s">
        <v>121</v>
      </c>
      <c r="C52" s="66" t="s">
        <v>37</v>
      </c>
      <c r="D52" s="65" t="s">
        <v>42</v>
      </c>
      <c r="E52" s="67">
        <v>30</v>
      </c>
      <c r="F52" s="68">
        <f>SUM(E52*2/100)</f>
        <v>0.6</v>
      </c>
      <c r="G52" s="12">
        <v>2918.89</v>
      </c>
      <c r="H52" s="69">
        <f t="shared" si="6"/>
        <v>1.7513339999999997</v>
      </c>
      <c r="I52" s="12">
        <f t="shared" ref="I52:I53" si="8">F52/2*G52</f>
        <v>875.66699999999992</v>
      </c>
      <c r="J52" s="23"/>
      <c r="L52" s="18"/>
      <c r="M52" s="19"/>
      <c r="N52" s="20"/>
    </row>
    <row r="53" spans="1:14" ht="15.75" customHeight="1">
      <c r="A53" s="29">
        <v>19</v>
      </c>
      <c r="B53" s="65" t="s">
        <v>38</v>
      </c>
      <c r="C53" s="66" t="s">
        <v>39</v>
      </c>
      <c r="D53" s="65" t="s">
        <v>42</v>
      </c>
      <c r="E53" s="67">
        <v>1</v>
      </c>
      <c r="F53" s="68">
        <v>0.02</v>
      </c>
      <c r="G53" s="12">
        <v>6042.13</v>
      </c>
      <c r="H53" s="69">
        <f t="shared" si="6"/>
        <v>0.12084260000000001</v>
      </c>
      <c r="I53" s="12">
        <f t="shared" si="8"/>
        <v>60.421300000000002</v>
      </c>
      <c r="J53" s="23"/>
      <c r="L53" s="18"/>
      <c r="M53" s="19"/>
      <c r="N53" s="20"/>
    </row>
    <row r="54" spans="1:14" ht="15.75" customHeight="1">
      <c r="A54" s="29">
        <v>20</v>
      </c>
      <c r="B54" s="65" t="s">
        <v>138</v>
      </c>
      <c r="C54" s="66" t="s">
        <v>97</v>
      </c>
      <c r="D54" s="65" t="s">
        <v>73</v>
      </c>
      <c r="E54" s="67">
        <v>90</v>
      </c>
      <c r="F54" s="68">
        <f>E54*4</f>
        <v>360</v>
      </c>
      <c r="G54" s="12">
        <v>150.86000000000001</v>
      </c>
      <c r="H54" s="69">
        <f>F54*G54/1000</f>
        <v>54.309600000000003</v>
      </c>
      <c r="I54" s="12">
        <f>G54*E54</f>
        <v>13577.400000000001</v>
      </c>
      <c r="J54" s="23"/>
      <c r="L54" s="18"/>
      <c r="M54" s="19"/>
      <c r="N54" s="20"/>
    </row>
    <row r="55" spans="1:14" ht="15.75" customHeight="1">
      <c r="A55" s="29">
        <v>21</v>
      </c>
      <c r="B55" s="65" t="s">
        <v>41</v>
      </c>
      <c r="C55" s="66" t="s">
        <v>97</v>
      </c>
      <c r="D55" s="65" t="s">
        <v>73</v>
      </c>
      <c r="E55" s="67">
        <v>180</v>
      </c>
      <c r="F55" s="68">
        <f>SUM(E55)*3</f>
        <v>540</v>
      </c>
      <c r="G55" s="12">
        <v>70.2</v>
      </c>
      <c r="H55" s="69">
        <f t="shared" si="6"/>
        <v>37.908000000000001</v>
      </c>
      <c r="I55" s="12">
        <f>G55*E55</f>
        <v>12636</v>
      </c>
      <c r="J55" s="23"/>
      <c r="L55" s="18"/>
      <c r="M55" s="19"/>
      <c r="N55" s="20"/>
    </row>
    <row r="56" spans="1:14" ht="15.75" customHeight="1">
      <c r="A56" s="130" t="s">
        <v>165</v>
      </c>
      <c r="B56" s="131"/>
      <c r="C56" s="131"/>
      <c r="D56" s="131"/>
      <c r="E56" s="131"/>
      <c r="F56" s="131"/>
      <c r="G56" s="131"/>
      <c r="H56" s="131"/>
      <c r="I56" s="132"/>
      <c r="J56" s="23"/>
      <c r="L56" s="18"/>
      <c r="M56" s="19"/>
      <c r="N56" s="20"/>
    </row>
    <row r="57" spans="1:14" ht="15.75" hidden="1" customHeight="1">
      <c r="A57" s="29"/>
      <c r="B57" s="90" t="s">
        <v>43</v>
      </c>
      <c r="C57" s="66"/>
      <c r="D57" s="65"/>
      <c r="E57" s="67"/>
      <c r="F57" s="68"/>
      <c r="G57" s="68"/>
      <c r="H57" s="69"/>
      <c r="I57" s="12"/>
      <c r="J57" s="23"/>
      <c r="L57" s="18"/>
      <c r="M57" s="19"/>
      <c r="N57" s="20"/>
    </row>
    <row r="58" spans="1:14" ht="31.5" hidden="1" customHeight="1">
      <c r="A58" s="29">
        <v>16</v>
      </c>
      <c r="B58" s="65" t="s">
        <v>140</v>
      </c>
      <c r="C58" s="66" t="s">
        <v>102</v>
      </c>
      <c r="D58" s="65" t="s">
        <v>122</v>
      </c>
      <c r="E58" s="67">
        <v>148.04</v>
      </c>
      <c r="F58" s="68">
        <f>SUM(E58*6/100)</f>
        <v>8.8824000000000005</v>
      </c>
      <c r="G58" s="12">
        <v>1654.04</v>
      </c>
      <c r="H58" s="69">
        <f>SUM(F58*G58/1000)</f>
        <v>14.691844896000001</v>
      </c>
      <c r="I58" s="12">
        <f>F58/6*G58</f>
        <v>2448.6408160000001</v>
      </c>
      <c r="J58" s="23"/>
      <c r="L58" s="18"/>
      <c r="M58" s="19"/>
      <c r="N58" s="20"/>
    </row>
    <row r="59" spans="1:14" ht="31.5" hidden="1" customHeight="1">
      <c r="A59" s="29">
        <v>17</v>
      </c>
      <c r="B59" s="65" t="s">
        <v>95</v>
      </c>
      <c r="C59" s="66" t="s">
        <v>102</v>
      </c>
      <c r="D59" s="65" t="s">
        <v>96</v>
      </c>
      <c r="E59" s="67">
        <v>39.700000000000003</v>
      </c>
      <c r="F59" s="68">
        <f>SUM(E59*12/100)</f>
        <v>4.7640000000000002</v>
      </c>
      <c r="G59" s="12">
        <v>1654.04</v>
      </c>
      <c r="H59" s="69">
        <f>SUM(F59*G59/1000)</f>
        <v>7.8798465599999998</v>
      </c>
      <c r="I59" s="12">
        <f>F59/6*G59</f>
        <v>1313.3077600000001</v>
      </c>
      <c r="J59" s="23"/>
      <c r="L59" s="18"/>
      <c r="M59" s="19"/>
      <c r="N59" s="20"/>
    </row>
    <row r="60" spans="1:14" ht="15.75" hidden="1" customHeight="1">
      <c r="A60" s="29">
        <v>18</v>
      </c>
      <c r="B60" s="74" t="s">
        <v>141</v>
      </c>
      <c r="C60" s="75" t="s">
        <v>142</v>
      </c>
      <c r="D60" s="74" t="s">
        <v>42</v>
      </c>
      <c r="E60" s="76">
        <v>8</v>
      </c>
      <c r="F60" s="77">
        <v>16</v>
      </c>
      <c r="G60" s="12">
        <v>193.25</v>
      </c>
      <c r="H60" s="78">
        <f>F60*G60/1000</f>
        <v>3.0920000000000001</v>
      </c>
      <c r="I60" s="12">
        <f>F60/2*G60</f>
        <v>1546</v>
      </c>
      <c r="J60" s="23"/>
      <c r="L60" s="18"/>
      <c r="M60" s="19"/>
      <c r="N60" s="20"/>
    </row>
    <row r="61" spans="1:14" ht="15.75" hidden="1" customHeight="1">
      <c r="A61" s="29">
        <v>19</v>
      </c>
      <c r="B61" s="65" t="s">
        <v>143</v>
      </c>
      <c r="C61" s="66" t="s">
        <v>102</v>
      </c>
      <c r="D61" s="65" t="s">
        <v>122</v>
      </c>
      <c r="E61" s="67">
        <v>41.73</v>
      </c>
      <c r="F61" s="68">
        <f>SUM(E61*6/100)</f>
        <v>2.5038</v>
      </c>
      <c r="G61" s="12">
        <v>1654.04</v>
      </c>
      <c r="H61" s="69">
        <f>SUM(F61*G61/1000)</f>
        <v>4.1413853520000004</v>
      </c>
      <c r="I61" s="12">
        <f>F61/6*G61</f>
        <v>690.23089200000004</v>
      </c>
      <c r="J61" s="23"/>
      <c r="L61" s="18"/>
      <c r="M61" s="19"/>
      <c r="N61" s="20"/>
    </row>
    <row r="62" spans="1:14" ht="15.75" customHeight="1">
      <c r="A62" s="29"/>
      <c r="B62" s="91" t="s">
        <v>44</v>
      </c>
      <c r="C62" s="75"/>
      <c r="D62" s="74"/>
      <c r="E62" s="76"/>
      <c r="F62" s="77"/>
      <c r="G62" s="12"/>
      <c r="H62" s="78"/>
      <c r="I62" s="12"/>
      <c r="J62" s="23"/>
      <c r="L62" s="18"/>
      <c r="M62" s="19"/>
      <c r="N62" s="20"/>
    </row>
    <row r="63" spans="1:14" ht="15.75" hidden="1" customHeight="1">
      <c r="A63" s="29"/>
      <c r="B63" s="74" t="s">
        <v>45</v>
      </c>
      <c r="C63" s="75" t="s">
        <v>54</v>
      </c>
      <c r="D63" s="74" t="s">
        <v>55</v>
      </c>
      <c r="E63" s="76">
        <v>1015.4</v>
      </c>
      <c r="F63" s="77">
        <v>10.154</v>
      </c>
      <c r="G63" s="12">
        <v>848.37</v>
      </c>
      <c r="H63" s="78">
        <f>F63*G63/1000</f>
        <v>8.6143489800000008</v>
      </c>
      <c r="I63" s="12">
        <v>0</v>
      </c>
      <c r="J63" s="23"/>
      <c r="L63" s="18"/>
      <c r="M63" s="19"/>
      <c r="N63" s="20"/>
    </row>
    <row r="64" spans="1:14" ht="15.75" customHeight="1">
      <c r="A64" s="29">
        <v>22</v>
      </c>
      <c r="B64" s="74" t="s">
        <v>99</v>
      </c>
      <c r="C64" s="75" t="s">
        <v>25</v>
      </c>
      <c r="D64" s="74" t="s">
        <v>30</v>
      </c>
      <c r="E64" s="76">
        <v>203.1</v>
      </c>
      <c r="F64" s="79">
        <f>E64*12</f>
        <v>2437.1999999999998</v>
      </c>
      <c r="G64" s="60">
        <v>2.6</v>
      </c>
      <c r="H64" s="77">
        <f>F64*G64/1000</f>
        <v>6.3367199999999997</v>
      </c>
      <c r="I64" s="12">
        <f>F64/12*G64</f>
        <v>528.06000000000006</v>
      </c>
      <c r="J64" s="23"/>
      <c r="L64" s="18"/>
      <c r="M64" s="19"/>
      <c r="N64" s="20"/>
    </row>
    <row r="65" spans="1:21" ht="15.75" customHeight="1">
      <c r="A65" s="29"/>
      <c r="B65" s="91" t="s">
        <v>46</v>
      </c>
      <c r="C65" s="75"/>
      <c r="D65" s="74"/>
      <c r="E65" s="76"/>
      <c r="F65" s="79"/>
      <c r="G65" s="79"/>
      <c r="H65" s="77" t="s">
        <v>145</v>
      </c>
      <c r="I65" s="12"/>
      <c r="J65" s="23"/>
      <c r="L65" s="18"/>
    </row>
    <row r="66" spans="1:21" ht="15.75" customHeight="1">
      <c r="A66" s="29">
        <v>23</v>
      </c>
      <c r="B66" s="13" t="s">
        <v>47</v>
      </c>
      <c r="C66" s="15" t="s">
        <v>97</v>
      </c>
      <c r="D66" s="13" t="s">
        <v>69</v>
      </c>
      <c r="E66" s="17">
        <v>10</v>
      </c>
      <c r="F66" s="68">
        <v>10</v>
      </c>
      <c r="G66" s="12">
        <v>237.75</v>
      </c>
      <c r="H66" s="80">
        <f t="shared" ref="H66:H79" si="9">SUM(F66*G66/1000)</f>
        <v>2.3774999999999999</v>
      </c>
      <c r="I66" s="12">
        <f>G66*13</f>
        <v>3090.75</v>
      </c>
      <c r="J66" s="23"/>
      <c r="L66" s="18"/>
    </row>
    <row r="67" spans="1:21" ht="15.75" hidden="1" customHeight="1">
      <c r="A67" s="29"/>
      <c r="B67" s="13" t="s">
        <v>48</v>
      </c>
      <c r="C67" s="15" t="s">
        <v>97</v>
      </c>
      <c r="D67" s="13" t="s">
        <v>69</v>
      </c>
      <c r="E67" s="17">
        <v>5</v>
      </c>
      <c r="F67" s="68">
        <v>5</v>
      </c>
      <c r="G67" s="12">
        <v>81.510000000000005</v>
      </c>
      <c r="H67" s="80">
        <f t="shared" si="9"/>
        <v>0.40755000000000002</v>
      </c>
      <c r="I67" s="12">
        <v>0</v>
      </c>
      <c r="J67" s="23"/>
      <c r="L67" s="18"/>
    </row>
    <row r="68" spans="1:21" ht="15.75" hidden="1" customHeight="1">
      <c r="A68" s="29"/>
      <c r="B68" s="13" t="s">
        <v>49</v>
      </c>
      <c r="C68" s="15" t="s">
        <v>123</v>
      </c>
      <c r="D68" s="13" t="s">
        <v>55</v>
      </c>
      <c r="E68" s="67">
        <v>14205</v>
      </c>
      <c r="F68" s="12">
        <f>SUM(E68/100)</f>
        <v>142.05000000000001</v>
      </c>
      <c r="G68" s="12">
        <v>226.79</v>
      </c>
      <c r="H68" s="80">
        <f t="shared" si="9"/>
        <v>32.215519499999999</v>
      </c>
      <c r="I68" s="12">
        <v>0</v>
      </c>
    </row>
    <row r="69" spans="1:21" ht="15.75" hidden="1" customHeight="1">
      <c r="A69" s="29"/>
      <c r="B69" s="13" t="s">
        <v>50</v>
      </c>
      <c r="C69" s="15" t="s">
        <v>124</v>
      </c>
      <c r="D69" s="13" t="s">
        <v>55</v>
      </c>
      <c r="E69" s="67">
        <v>14205</v>
      </c>
      <c r="F69" s="12">
        <f>SUM(E69/1000)</f>
        <v>14.205</v>
      </c>
      <c r="G69" s="12">
        <v>176.61</v>
      </c>
      <c r="H69" s="80">
        <f t="shared" si="9"/>
        <v>2.5087450499999999</v>
      </c>
      <c r="I69" s="12">
        <v>0</v>
      </c>
      <c r="J69" s="25"/>
      <c r="K69" s="25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hidden="1" customHeight="1">
      <c r="A70" s="29"/>
      <c r="B70" s="13" t="s">
        <v>51</v>
      </c>
      <c r="C70" s="15" t="s">
        <v>79</v>
      </c>
      <c r="D70" s="13" t="s">
        <v>55</v>
      </c>
      <c r="E70" s="67">
        <v>2131</v>
      </c>
      <c r="F70" s="12">
        <f>SUM(E70/100)</f>
        <v>21.31</v>
      </c>
      <c r="G70" s="12">
        <v>2217.7800000000002</v>
      </c>
      <c r="H70" s="80">
        <f t="shared" si="9"/>
        <v>47.260891800000003</v>
      </c>
      <c r="I70" s="12">
        <v>0</v>
      </c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</row>
    <row r="71" spans="1:21" ht="15.75" hidden="1" customHeight="1">
      <c r="A71" s="29"/>
      <c r="B71" s="81" t="s">
        <v>125</v>
      </c>
      <c r="C71" s="15" t="s">
        <v>33</v>
      </c>
      <c r="D71" s="13" t="s">
        <v>55</v>
      </c>
      <c r="E71" s="67">
        <v>12.48</v>
      </c>
      <c r="F71" s="12">
        <f>SUM(E71)</f>
        <v>12.48</v>
      </c>
      <c r="G71" s="12">
        <v>42.67</v>
      </c>
      <c r="H71" s="80">
        <f t="shared" si="9"/>
        <v>0.53252160000000004</v>
      </c>
      <c r="I71" s="12">
        <v>0</v>
      </c>
      <c r="J71" s="5"/>
      <c r="K71" s="5"/>
      <c r="L71" s="5"/>
      <c r="M71" s="5"/>
      <c r="N71" s="5"/>
      <c r="O71" s="5"/>
      <c r="P71" s="5"/>
      <c r="Q71" s="5"/>
      <c r="R71" s="139"/>
      <c r="S71" s="139"/>
      <c r="T71" s="139"/>
      <c r="U71" s="139"/>
    </row>
    <row r="72" spans="1:21" ht="15.75" hidden="1" customHeight="1">
      <c r="A72" s="29"/>
      <c r="B72" s="81" t="s">
        <v>126</v>
      </c>
      <c r="C72" s="15" t="s">
        <v>33</v>
      </c>
      <c r="D72" s="13" t="s">
        <v>55</v>
      </c>
      <c r="E72" s="67">
        <v>12.48</v>
      </c>
      <c r="F72" s="12">
        <f>SUM(E72)</f>
        <v>12.48</v>
      </c>
      <c r="G72" s="12">
        <v>39.81</v>
      </c>
      <c r="H72" s="80">
        <f t="shared" si="9"/>
        <v>0.49682880000000007</v>
      </c>
      <c r="I72" s="12">
        <v>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ht="15.75" customHeight="1">
      <c r="A73" s="29">
        <v>24</v>
      </c>
      <c r="B73" s="13" t="s">
        <v>59</v>
      </c>
      <c r="C73" s="15" t="s">
        <v>60</v>
      </c>
      <c r="D73" s="13" t="s">
        <v>55</v>
      </c>
      <c r="E73" s="17">
        <v>5</v>
      </c>
      <c r="F73" s="68">
        <v>5</v>
      </c>
      <c r="G73" s="12">
        <v>53.32</v>
      </c>
      <c r="H73" s="80">
        <f t="shared" si="9"/>
        <v>0.2666</v>
      </c>
      <c r="I73" s="12">
        <f>F73*G73</f>
        <v>266.60000000000002</v>
      </c>
    </row>
    <row r="74" spans="1:21" ht="15.75" hidden="1" customHeight="1">
      <c r="A74" s="29"/>
      <c r="B74" s="59" t="s">
        <v>74</v>
      </c>
      <c r="C74" s="15"/>
      <c r="D74" s="13"/>
      <c r="E74" s="17"/>
      <c r="F74" s="12"/>
      <c r="G74" s="12"/>
      <c r="H74" s="80" t="s">
        <v>145</v>
      </c>
      <c r="I74" s="12"/>
    </row>
    <row r="75" spans="1:21" ht="15.75" hidden="1" customHeight="1">
      <c r="A75" s="29">
        <v>21</v>
      </c>
      <c r="B75" s="13" t="s">
        <v>75</v>
      </c>
      <c r="C75" s="15" t="s">
        <v>77</v>
      </c>
      <c r="D75" s="13" t="s">
        <v>69</v>
      </c>
      <c r="E75" s="17">
        <v>2</v>
      </c>
      <c r="F75" s="12">
        <v>0.2</v>
      </c>
      <c r="G75" s="12">
        <v>536.23</v>
      </c>
      <c r="H75" s="80">
        <f t="shared" si="9"/>
        <v>0.10724600000000001</v>
      </c>
      <c r="I75" s="12">
        <f>G75*0.1</f>
        <v>53.623000000000005</v>
      </c>
    </row>
    <row r="76" spans="1:21" ht="15.75" hidden="1" customHeight="1">
      <c r="A76" s="29"/>
      <c r="B76" s="13" t="s">
        <v>76</v>
      </c>
      <c r="C76" s="15" t="s">
        <v>31</v>
      </c>
      <c r="D76" s="13" t="s">
        <v>69</v>
      </c>
      <c r="E76" s="17">
        <v>1</v>
      </c>
      <c r="F76" s="60">
        <v>1</v>
      </c>
      <c r="G76" s="12">
        <v>911.85</v>
      </c>
      <c r="H76" s="80">
        <f>F76*G76/1000</f>
        <v>0.91185000000000005</v>
      </c>
      <c r="I76" s="12">
        <v>0</v>
      </c>
    </row>
    <row r="77" spans="1:21" ht="15.75" hidden="1" customHeight="1">
      <c r="A77" s="29"/>
      <c r="B77" s="13" t="s">
        <v>144</v>
      </c>
      <c r="C77" s="15" t="s">
        <v>31</v>
      </c>
      <c r="D77" s="13" t="s">
        <v>69</v>
      </c>
      <c r="E77" s="17">
        <v>1</v>
      </c>
      <c r="F77" s="12">
        <v>1</v>
      </c>
      <c r="G77" s="12">
        <v>383.25</v>
      </c>
      <c r="H77" s="80">
        <f>G77*F77/1000</f>
        <v>0.38324999999999998</v>
      </c>
      <c r="I77" s="12">
        <v>0</v>
      </c>
    </row>
    <row r="78" spans="1:21" ht="15.75" hidden="1" customHeight="1">
      <c r="A78" s="29"/>
      <c r="B78" s="82" t="s">
        <v>78</v>
      </c>
      <c r="C78" s="15"/>
      <c r="D78" s="13"/>
      <c r="E78" s="17"/>
      <c r="F78" s="12"/>
      <c r="G78" s="12" t="s">
        <v>145</v>
      </c>
      <c r="H78" s="80" t="s">
        <v>145</v>
      </c>
      <c r="I78" s="12"/>
    </row>
    <row r="79" spans="1:21" ht="15.75" hidden="1" customHeight="1">
      <c r="A79" s="29">
        <v>22</v>
      </c>
      <c r="B79" s="44" t="s">
        <v>129</v>
      </c>
      <c r="C79" s="15" t="s">
        <v>79</v>
      </c>
      <c r="D79" s="13"/>
      <c r="E79" s="17"/>
      <c r="F79" s="12">
        <v>0.9</v>
      </c>
      <c r="G79" s="12">
        <v>2757.42</v>
      </c>
      <c r="H79" s="80">
        <f t="shared" si="9"/>
        <v>2.4816780000000005</v>
      </c>
      <c r="I79" s="12">
        <f>G79*F79</f>
        <v>2481.6780000000003</v>
      </c>
    </row>
    <row r="80" spans="1:21" ht="15.75" hidden="1" customHeight="1">
      <c r="A80" s="29"/>
      <c r="B80" s="59" t="s">
        <v>127</v>
      </c>
      <c r="C80" s="82"/>
      <c r="D80" s="31"/>
      <c r="E80" s="32"/>
      <c r="F80" s="71"/>
      <c r="G80" s="71"/>
      <c r="H80" s="83">
        <f>SUM(H58:H79)</f>
        <v>134.70632653799998</v>
      </c>
      <c r="I80" s="71"/>
    </row>
    <row r="81" spans="1:9" ht="15.75" hidden="1" customHeight="1">
      <c r="A81" s="92">
        <v>23</v>
      </c>
      <c r="B81" s="74" t="s">
        <v>128</v>
      </c>
      <c r="C81" s="93"/>
      <c r="D81" s="94"/>
      <c r="E81" s="61"/>
      <c r="F81" s="86">
        <v>1</v>
      </c>
      <c r="G81" s="86">
        <v>27901.200000000001</v>
      </c>
      <c r="H81" s="95">
        <f>G81*F81/1000</f>
        <v>27.901199999999999</v>
      </c>
      <c r="I81" s="86">
        <f>G81</f>
        <v>27901.200000000001</v>
      </c>
    </row>
    <row r="82" spans="1:9" ht="15.75" customHeight="1">
      <c r="A82" s="133" t="s">
        <v>166</v>
      </c>
      <c r="B82" s="134"/>
      <c r="C82" s="134"/>
      <c r="D82" s="134"/>
      <c r="E82" s="134"/>
      <c r="F82" s="134"/>
      <c r="G82" s="134"/>
      <c r="H82" s="134"/>
      <c r="I82" s="135"/>
    </row>
    <row r="83" spans="1:9" ht="15.75" customHeight="1">
      <c r="A83" s="96">
        <v>25</v>
      </c>
      <c r="B83" s="101" t="s">
        <v>130</v>
      </c>
      <c r="C83" s="97" t="s">
        <v>56</v>
      </c>
      <c r="D83" s="98" t="s">
        <v>57</v>
      </c>
      <c r="E83" s="99">
        <v>3945</v>
      </c>
      <c r="F83" s="99">
        <f>SUM(E83*12)</f>
        <v>47340</v>
      </c>
      <c r="G83" s="99">
        <v>2.2400000000000002</v>
      </c>
      <c r="H83" s="100">
        <f>SUM(F83*G83/1000)</f>
        <v>106.0416</v>
      </c>
      <c r="I83" s="99">
        <f>F83/12*G83</f>
        <v>8836.8000000000011</v>
      </c>
    </row>
    <row r="84" spans="1:9" ht="31.5" customHeight="1">
      <c r="A84" s="29">
        <v>26</v>
      </c>
      <c r="B84" s="13" t="s">
        <v>80</v>
      </c>
      <c r="C84" s="15"/>
      <c r="D84" s="98" t="s">
        <v>57</v>
      </c>
      <c r="E84" s="67">
        <f>E83</f>
        <v>3945</v>
      </c>
      <c r="F84" s="12">
        <f>E84*12</f>
        <v>47340</v>
      </c>
      <c r="G84" s="12">
        <v>1.74</v>
      </c>
      <c r="H84" s="80">
        <f>F84*G84/1000</f>
        <v>82.371600000000001</v>
      </c>
      <c r="I84" s="12">
        <f>F84/12*G84</f>
        <v>6864.3</v>
      </c>
    </row>
    <row r="85" spans="1:9" ht="15.75" customHeight="1">
      <c r="A85" s="29"/>
      <c r="B85" s="36" t="s">
        <v>83</v>
      </c>
      <c r="C85" s="37"/>
      <c r="D85" s="14"/>
      <c r="E85" s="14"/>
      <c r="F85" s="17"/>
      <c r="G85" s="21"/>
      <c r="H85" s="83">
        <f>H84</f>
        <v>82.371600000000001</v>
      </c>
      <c r="I85" s="32">
        <f>SUM(I16+I17+I18+I20+I21+I25+I26+I29+I30+I32+I33+I46+I47+I48+I49+I50+I51+I52+I53+I54+I55+I64+I66+I73+I83+I84)</f>
        <v>94279.047381800017</v>
      </c>
    </row>
    <row r="86" spans="1:9" ht="15.75" customHeight="1">
      <c r="A86" s="147" t="s">
        <v>62</v>
      </c>
      <c r="B86" s="148"/>
      <c r="C86" s="148"/>
      <c r="D86" s="148"/>
      <c r="E86" s="148"/>
      <c r="F86" s="148"/>
      <c r="G86" s="148"/>
      <c r="H86" s="148"/>
      <c r="I86" s="149"/>
    </row>
    <row r="87" spans="1:9" ht="31.5" customHeight="1">
      <c r="A87" s="29">
        <v>27</v>
      </c>
      <c r="B87" s="84" t="s">
        <v>92</v>
      </c>
      <c r="C87" s="85" t="s">
        <v>152</v>
      </c>
      <c r="D87" s="35"/>
      <c r="E87" s="16"/>
      <c r="F87" s="34">
        <v>5</v>
      </c>
      <c r="G87" s="34">
        <v>589.84</v>
      </c>
      <c r="H87" s="110">
        <f>G87*F87/1000</f>
        <v>2.9492000000000003</v>
      </c>
      <c r="I87" s="86">
        <f>G87*(3+1)</f>
        <v>2359.36</v>
      </c>
    </row>
    <row r="88" spans="1:9" ht="31.5" customHeight="1">
      <c r="A88" s="29">
        <v>28</v>
      </c>
      <c r="B88" s="84" t="s">
        <v>220</v>
      </c>
      <c r="C88" s="85" t="s">
        <v>152</v>
      </c>
      <c r="D88" s="35"/>
      <c r="E88" s="16"/>
      <c r="F88" s="34">
        <v>1</v>
      </c>
      <c r="G88" s="34">
        <v>803.54</v>
      </c>
      <c r="H88" s="110">
        <f t="shared" ref="H88:H89" si="10">G88*F88/1000</f>
        <v>0.80353999999999992</v>
      </c>
      <c r="I88" s="86">
        <f>G88</f>
        <v>803.54</v>
      </c>
    </row>
    <row r="89" spans="1:9" ht="31.5" customHeight="1">
      <c r="A89" s="29">
        <v>29</v>
      </c>
      <c r="B89" s="84" t="s">
        <v>161</v>
      </c>
      <c r="C89" s="88" t="s">
        <v>84</v>
      </c>
      <c r="D89" s="48"/>
      <c r="E89" s="34"/>
      <c r="F89" s="34">
        <v>3</v>
      </c>
      <c r="G89" s="34">
        <v>1187</v>
      </c>
      <c r="H89" s="110">
        <f t="shared" si="10"/>
        <v>3.5609999999999999</v>
      </c>
      <c r="I89" s="86">
        <f>G89*3</f>
        <v>3561</v>
      </c>
    </row>
    <row r="90" spans="1:9">
      <c r="A90" s="29"/>
      <c r="B90" s="42" t="s">
        <v>52</v>
      </c>
      <c r="C90" s="38"/>
      <c r="D90" s="45"/>
      <c r="E90" s="38">
        <v>1</v>
      </c>
      <c r="F90" s="38"/>
      <c r="G90" s="38"/>
      <c r="H90" s="38"/>
      <c r="I90" s="32">
        <f>SUM(I87:I89)</f>
        <v>6723.9</v>
      </c>
    </row>
    <row r="91" spans="1:9" ht="16.5" customHeight="1">
      <c r="A91" s="29"/>
      <c r="B91" s="44" t="s">
        <v>81</v>
      </c>
      <c r="C91" s="14"/>
      <c r="D91" s="14"/>
      <c r="E91" s="39"/>
      <c r="F91" s="39"/>
      <c r="G91" s="40"/>
      <c r="H91" s="40"/>
      <c r="I91" s="16">
        <v>0</v>
      </c>
    </row>
    <row r="92" spans="1:9" ht="16.5" customHeight="1">
      <c r="A92" s="46"/>
      <c r="B92" s="43" t="s">
        <v>180</v>
      </c>
      <c r="C92" s="33"/>
      <c r="D92" s="33"/>
      <c r="E92" s="33"/>
      <c r="F92" s="33"/>
      <c r="G92" s="33"/>
      <c r="H92" s="33"/>
      <c r="I92" s="41">
        <f>I85+I90</f>
        <v>101002.94738180001</v>
      </c>
    </row>
    <row r="93" spans="1:9" ht="15.75" customHeight="1">
      <c r="A93" s="146" t="s">
        <v>221</v>
      </c>
      <c r="B93" s="146"/>
      <c r="C93" s="146"/>
      <c r="D93" s="146"/>
      <c r="E93" s="146"/>
      <c r="F93" s="146"/>
      <c r="G93" s="146"/>
      <c r="H93" s="146"/>
      <c r="I93" s="146"/>
    </row>
    <row r="94" spans="1:9" ht="15.75" customHeight="1">
      <c r="A94" s="56"/>
      <c r="B94" s="141" t="s">
        <v>222</v>
      </c>
      <c r="C94" s="141"/>
      <c r="D94" s="141"/>
      <c r="E94" s="141"/>
      <c r="F94" s="141"/>
      <c r="G94" s="141"/>
      <c r="H94" s="64"/>
      <c r="I94" s="3"/>
    </row>
    <row r="95" spans="1:9" ht="15.75" customHeight="1">
      <c r="A95" s="54"/>
      <c r="B95" s="137" t="s">
        <v>6</v>
      </c>
      <c r="C95" s="137"/>
      <c r="D95" s="137"/>
      <c r="E95" s="137"/>
      <c r="F95" s="137"/>
      <c r="G95" s="137"/>
      <c r="H95" s="24"/>
      <c r="I95" s="5"/>
    </row>
    <row r="96" spans="1:9" ht="15.75" customHeight="1">
      <c r="A96" s="9"/>
      <c r="B96" s="9"/>
      <c r="C96" s="9"/>
      <c r="D96" s="9"/>
      <c r="E96" s="9"/>
      <c r="F96" s="9"/>
      <c r="G96" s="9"/>
      <c r="H96" s="9"/>
      <c r="I96" s="9"/>
    </row>
    <row r="97" spans="1:9" ht="15.75">
      <c r="A97" s="142" t="s">
        <v>7</v>
      </c>
      <c r="B97" s="142"/>
      <c r="C97" s="142"/>
      <c r="D97" s="142"/>
      <c r="E97" s="142"/>
      <c r="F97" s="142"/>
      <c r="G97" s="142"/>
      <c r="H97" s="142"/>
      <c r="I97" s="142"/>
    </row>
    <row r="98" spans="1:9" ht="15.75">
      <c r="A98" s="142" t="s">
        <v>8</v>
      </c>
      <c r="B98" s="142"/>
      <c r="C98" s="142"/>
      <c r="D98" s="142"/>
      <c r="E98" s="142"/>
      <c r="F98" s="142"/>
      <c r="G98" s="142"/>
      <c r="H98" s="142"/>
      <c r="I98" s="142"/>
    </row>
    <row r="99" spans="1:9" ht="15.75">
      <c r="A99" s="143" t="s">
        <v>63</v>
      </c>
      <c r="B99" s="143"/>
      <c r="C99" s="143"/>
      <c r="D99" s="143"/>
      <c r="E99" s="143"/>
      <c r="F99" s="143"/>
      <c r="G99" s="143"/>
      <c r="H99" s="143"/>
      <c r="I99" s="143"/>
    </row>
    <row r="100" spans="1:9" ht="15.75">
      <c r="A100" s="10"/>
    </row>
    <row r="101" spans="1:9" ht="15.75">
      <c r="A101" s="144" t="s">
        <v>9</v>
      </c>
      <c r="B101" s="144"/>
      <c r="C101" s="144"/>
      <c r="D101" s="144"/>
      <c r="E101" s="144"/>
      <c r="F101" s="144"/>
      <c r="G101" s="144"/>
      <c r="H101" s="144"/>
      <c r="I101" s="144"/>
    </row>
    <row r="102" spans="1:9" ht="15.75">
      <c r="A102" s="4"/>
    </row>
    <row r="103" spans="1:9" ht="15.75">
      <c r="B103" s="55" t="s">
        <v>10</v>
      </c>
      <c r="C103" s="136" t="s">
        <v>93</v>
      </c>
      <c r="D103" s="136"/>
      <c r="E103" s="136"/>
      <c r="F103" s="62"/>
      <c r="I103" s="58"/>
    </row>
    <row r="104" spans="1:9">
      <c r="A104" s="54"/>
      <c r="C104" s="137" t="s">
        <v>11</v>
      </c>
      <c r="D104" s="137"/>
      <c r="E104" s="137"/>
      <c r="F104" s="24"/>
      <c r="I104" s="57" t="s">
        <v>12</v>
      </c>
    </row>
    <row r="105" spans="1:9" ht="15.75">
      <c r="A105" s="25"/>
      <c r="C105" s="11"/>
      <c r="D105" s="11"/>
      <c r="G105" s="11"/>
      <c r="H105" s="11"/>
    </row>
    <row r="106" spans="1:9" ht="15.75">
      <c r="B106" s="55" t="s">
        <v>13</v>
      </c>
      <c r="C106" s="138"/>
      <c r="D106" s="138"/>
      <c r="E106" s="138"/>
      <c r="F106" s="63"/>
      <c r="I106" s="58"/>
    </row>
    <row r="107" spans="1:9">
      <c r="A107" s="54"/>
      <c r="C107" s="139" t="s">
        <v>11</v>
      </c>
      <c r="D107" s="139"/>
      <c r="E107" s="139"/>
      <c r="F107" s="54"/>
      <c r="I107" s="57" t="s">
        <v>12</v>
      </c>
    </row>
    <row r="108" spans="1:9" ht="15.75">
      <c r="A108" s="4" t="s">
        <v>14</v>
      </c>
    </row>
    <row r="109" spans="1:9">
      <c r="A109" s="140" t="s">
        <v>15</v>
      </c>
      <c r="B109" s="140"/>
      <c r="C109" s="140"/>
      <c r="D109" s="140"/>
      <c r="E109" s="140"/>
      <c r="F109" s="140"/>
      <c r="G109" s="140"/>
      <c r="H109" s="140"/>
      <c r="I109" s="140"/>
    </row>
    <row r="110" spans="1:9" ht="45" customHeight="1">
      <c r="A110" s="129" t="s">
        <v>16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30" customHeight="1">
      <c r="A111" s="129" t="s">
        <v>17</v>
      </c>
      <c r="B111" s="129"/>
      <c r="C111" s="129"/>
      <c r="D111" s="129"/>
      <c r="E111" s="129"/>
      <c r="F111" s="129"/>
      <c r="G111" s="129"/>
      <c r="H111" s="129"/>
      <c r="I111" s="129"/>
    </row>
    <row r="112" spans="1:9" ht="30" customHeight="1">
      <c r="A112" s="129" t="s">
        <v>21</v>
      </c>
      <c r="B112" s="129"/>
      <c r="C112" s="129"/>
      <c r="D112" s="129"/>
      <c r="E112" s="129"/>
      <c r="F112" s="129"/>
      <c r="G112" s="129"/>
      <c r="H112" s="129"/>
      <c r="I112" s="129"/>
    </row>
    <row r="113" spans="1:9" ht="15" customHeight="1">
      <c r="A113" s="129" t="s">
        <v>20</v>
      </c>
      <c r="B113" s="129"/>
      <c r="C113" s="129"/>
      <c r="D113" s="129"/>
      <c r="E113" s="129"/>
      <c r="F113" s="129"/>
      <c r="G113" s="129"/>
      <c r="H113" s="129"/>
      <c r="I113" s="129"/>
    </row>
  </sheetData>
  <autoFilter ref="I12:I67"/>
  <mergeCells count="29">
    <mergeCell ref="R71:U71"/>
    <mergeCell ref="A82:I82"/>
    <mergeCell ref="A3:I3"/>
    <mergeCell ref="A4:I4"/>
    <mergeCell ref="A5:I5"/>
    <mergeCell ref="A8:I8"/>
    <mergeCell ref="A10:I10"/>
    <mergeCell ref="A14:I14"/>
    <mergeCell ref="A99:I99"/>
    <mergeCell ref="A15:I15"/>
    <mergeCell ref="A27:I27"/>
    <mergeCell ref="A45:I45"/>
    <mergeCell ref="A56:I56"/>
    <mergeCell ref="A93:I93"/>
    <mergeCell ref="B94:G94"/>
    <mergeCell ref="B95:G95"/>
    <mergeCell ref="A97:I97"/>
    <mergeCell ref="A98:I98"/>
    <mergeCell ref="A86:I86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01.17</vt:lpstr>
      <vt:lpstr>02.17</vt:lpstr>
      <vt:lpstr>03.17</vt:lpstr>
      <vt:lpstr>04.17</vt:lpstr>
      <vt:lpstr>05.17</vt:lpstr>
      <vt:lpstr>06.17</vt:lpstr>
      <vt:lpstr>07.17</vt:lpstr>
      <vt:lpstr>08.17</vt:lpstr>
      <vt:lpstr>09.17</vt:lpstr>
      <vt:lpstr>10.17</vt:lpstr>
      <vt:lpstr>10а.17</vt:lpstr>
      <vt:lpstr>11.17</vt:lpstr>
      <vt:lpstr>12.17</vt:lpstr>
      <vt:lpstr>'01.17'!Область_печати</vt:lpstr>
      <vt:lpstr>'02.17'!Область_печати</vt:lpstr>
      <vt:lpstr>'03.17'!Область_печати</vt:lpstr>
      <vt:lpstr>'04.17'!Область_печати</vt:lpstr>
      <vt:lpstr>'05.17'!Область_печати</vt:lpstr>
      <vt:lpstr>'06.17'!Область_печати</vt:lpstr>
      <vt:lpstr>'07.17'!Область_печати</vt:lpstr>
      <vt:lpstr>'08.17'!Область_печати</vt:lpstr>
      <vt:lpstr>'09.17'!Область_печати</vt:lpstr>
      <vt:lpstr>'10.17'!Область_печати</vt:lpstr>
      <vt:lpstr>'10а.17'!Область_печати</vt:lpstr>
      <vt:lpstr>'11.17'!Область_печати</vt:lpstr>
      <vt:lpstr>'12.17'!Область_печати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2017-11-23T12:44:27Z</cp:lastPrinted>
  <dcterms:created xsi:type="dcterms:W3CDTF">2016-03-25T08:33:47Z</dcterms:created>
  <dcterms:modified xsi:type="dcterms:W3CDTF">2018-03-30T06:20:37Z</dcterms:modified>
</cp:coreProperties>
</file>