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 activeTab="11"/>
  </bookViews>
  <sheets>
    <sheet name="01.18" sheetId="33" r:id="rId1"/>
    <sheet name="02.18" sheetId="34" r:id="rId2"/>
    <sheet name="03.18" sheetId="35" r:id="rId3"/>
    <sheet name="04.18" sheetId="36" r:id="rId4"/>
    <sheet name="05.18" sheetId="38" r:id="rId5"/>
    <sheet name="06.18" sheetId="39" r:id="rId6"/>
    <sheet name="07.18" sheetId="27" r:id="rId7"/>
    <sheet name="08.18" sheetId="28" r:id="rId8"/>
    <sheet name="09.18" sheetId="29" r:id="rId9"/>
    <sheet name="10.18" sheetId="30" r:id="rId10"/>
    <sheet name="11.18" sheetId="31" r:id="rId11"/>
    <sheet name="12.18" sheetId="32" r:id="rId12"/>
  </sheets>
  <definedNames>
    <definedName name="_xlnm._FilterDatabase" localSheetId="0" hidden="1">'01.18'!$I$12:$I$66</definedName>
    <definedName name="_xlnm._FilterDatabase" localSheetId="1" hidden="1">'02.18'!$I$12:$I$66</definedName>
    <definedName name="_xlnm._FilterDatabase" localSheetId="2" hidden="1">'03.18'!$I$12:$I$66</definedName>
    <definedName name="_xlnm._FilterDatabase" localSheetId="6" hidden="1">'07.18'!$I$12:$I$66</definedName>
    <definedName name="_xlnm._FilterDatabase" localSheetId="7" hidden="1">'08.18'!$I$12:$I$66</definedName>
    <definedName name="_xlnm._FilterDatabase" localSheetId="8" hidden="1">'09.18'!$I$12:$I$66</definedName>
    <definedName name="_xlnm._FilterDatabase" localSheetId="9" hidden="1">'10.18'!$I$12:$I$66</definedName>
    <definedName name="_xlnm._FilterDatabase" localSheetId="10" hidden="1">'11.18'!$I$12:$I$66</definedName>
    <definedName name="_xlnm._FilterDatabase" localSheetId="11" hidden="1">'12.18'!$I$12:$I$66</definedName>
    <definedName name="_xlnm.Print_Area" localSheetId="0">'01.18'!$A$1:$I$115</definedName>
    <definedName name="_xlnm.Print_Area" localSheetId="1">'02.18'!$A$1:$I$116</definedName>
    <definedName name="_xlnm.Print_Area" localSheetId="2">'03.18'!$A$1:$I$120</definedName>
    <definedName name="_xlnm.Print_Area" localSheetId="6">'07.18'!$A$1:$I$122</definedName>
    <definedName name="_xlnm.Print_Area" localSheetId="7">'08.18'!$A$1:$I$121</definedName>
    <definedName name="_xlnm.Print_Area" localSheetId="8">'09.18'!$A$1:$I$114</definedName>
    <definedName name="_xlnm.Print_Area" localSheetId="9">'10.18'!$A$1:$I$121</definedName>
    <definedName name="_xlnm.Print_Area" localSheetId="10">'11.18'!$A$1:$I$114</definedName>
    <definedName name="_xlnm.Print_Area" localSheetId="11">'12.18'!$A$1:$I$120</definedName>
  </definedNames>
  <calcPr calcId="124519"/>
</workbook>
</file>

<file path=xl/calcChain.xml><?xml version="1.0" encoding="utf-8"?>
<calcChain xmlns="http://schemas.openxmlformats.org/spreadsheetml/2006/main">
  <c r="I87" i="32"/>
  <c r="I97"/>
  <c r="I93"/>
  <c r="I92"/>
  <c r="I91"/>
  <c r="I90"/>
  <c r="I89"/>
  <c r="I77"/>
  <c r="I62"/>
  <c r="H62"/>
  <c r="I64"/>
  <c r="I44"/>
  <c r="I43"/>
  <c r="I87" i="31"/>
  <c r="I91"/>
  <c r="I90"/>
  <c r="I89"/>
  <c r="I44"/>
  <c r="I87" i="30" l="1"/>
  <c r="I96"/>
  <c r="I97"/>
  <c r="I95"/>
  <c r="I94"/>
  <c r="I93"/>
  <c r="I92"/>
  <c r="I91"/>
  <c r="I90"/>
  <c r="I76"/>
  <c r="I87" i="29"/>
  <c r="I76"/>
  <c r="I91"/>
  <c r="I90"/>
  <c r="I89"/>
  <c r="I64"/>
  <c r="I64" i="28"/>
  <c r="I97"/>
  <c r="I87"/>
  <c r="I96"/>
  <c r="I95"/>
  <c r="I94"/>
  <c r="I93"/>
  <c r="I92"/>
  <c r="I91"/>
  <c r="I89"/>
  <c r="I87" i="35"/>
  <c r="I87" i="34"/>
  <c r="I87" i="33"/>
  <c r="I98" i="27" l="1"/>
  <c r="I87"/>
  <c r="I96"/>
  <c r="I95"/>
  <c r="I94"/>
  <c r="I93"/>
  <c r="I92"/>
  <c r="I97"/>
  <c r="I91"/>
  <c r="I89"/>
  <c r="I76"/>
  <c r="I64"/>
  <c r="I86" i="39"/>
  <c r="I99"/>
  <c r="I98"/>
  <c r="I97"/>
  <c r="I96"/>
  <c r="I95"/>
  <c r="I94"/>
  <c r="I93"/>
  <c r="I92"/>
  <c r="I91"/>
  <c r="I90"/>
  <c r="I89"/>
  <c r="H89"/>
  <c r="I88"/>
  <c r="H88"/>
  <c r="F85"/>
  <c r="I85" s="1"/>
  <c r="F84"/>
  <c r="I84" s="1"/>
  <c r="H81"/>
  <c r="I79"/>
  <c r="F79"/>
  <c r="H79" s="1"/>
  <c r="I78"/>
  <c r="F78"/>
  <c r="H78" s="1"/>
  <c r="F77"/>
  <c r="H77" s="1"/>
  <c r="I76"/>
  <c r="F76"/>
  <c r="H76" s="1"/>
  <c r="H75"/>
  <c r="F74"/>
  <c r="H74" s="1"/>
  <c r="E72"/>
  <c r="F72" s="1"/>
  <c r="I71"/>
  <c r="F71"/>
  <c r="H71" s="1"/>
  <c r="I70"/>
  <c r="E70"/>
  <c r="F70" s="1"/>
  <c r="H70" s="1"/>
  <c r="I69"/>
  <c r="F69"/>
  <c r="H69" s="1"/>
  <c r="I68"/>
  <c r="F68"/>
  <c r="H68" s="1"/>
  <c r="I67"/>
  <c r="F67"/>
  <c r="H67" s="1"/>
  <c r="I66"/>
  <c r="F66"/>
  <c r="H66" s="1"/>
  <c r="F65"/>
  <c r="H65" s="1"/>
  <c r="I64"/>
  <c r="F64"/>
  <c r="H64" s="1"/>
  <c r="H62"/>
  <c r="F62"/>
  <c r="I62" s="1"/>
  <c r="F61"/>
  <c r="I59"/>
  <c r="H59"/>
  <c r="I58"/>
  <c r="F58"/>
  <c r="H58" s="1"/>
  <c r="I55"/>
  <c r="F55"/>
  <c r="H55" s="1"/>
  <c r="I54"/>
  <c r="H54"/>
  <c r="F53"/>
  <c r="I53" s="1"/>
  <c r="E52"/>
  <c r="F52" s="1"/>
  <c r="H52" s="1"/>
  <c r="F51"/>
  <c r="H51" s="1"/>
  <c r="F50"/>
  <c r="I50" s="1"/>
  <c r="F49"/>
  <c r="H49" s="1"/>
  <c r="F48"/>
  <c r="I48" s="1"/>
  <c r="F47"/>
  <c r="H47" s="1"/>
  <c r="F46"/>
  <c r="I46" s="1"/>
  <c r="I44"/>
  <c r="H44"/>
  <c r="F43"/>
  <c r="H43" s="1"/>
  <c r="F42"/>
  <c r="I42" s="1"/>
  <c r="H41"/>
  <c r="F40"/>
  <c r="I40" s="1"/>
  <c r="F39"/>
  <c r="H39" s="1"/>
  <c r="I38"/>
  <c r="H38"/>
  <c r="H36"/>
  <c r="H35"/>
  <c r="F34"/>
  <c r="I34" s="1"/>
  <c r="E34"/>
  <c r="F33"/>
  <c r="I33" s="1"/>
  <c r="E32"/>
  <c r="F32" s="1"/>
  <c r="H32" s="1"/>
  <c r="F31"/>
  <c r="H31" s="1"/>
  <c r="F30"/>
  <c r="I30" s="1"/>
  <c r="F27"/>
  <c r="H27" s="1"/>
  <c r="F26"/>
  <c r="I26" s="1"/>
  <c r="I25"/>
  <c r="F25"/>
  <c r="H25" s="1"/>
  <c r="I24"/>
  <c r="F24"/>
  <c r="H24" s="1"/>
  <c r="I23"/>
  <c r="F23"/>
  <c r="H23" s="1"/>
  <c r="I22"/>
  <c r="F22"/>
  <c r="H22" s="1"/>
  <c r="I21"/>
  <c r="F21"/>
  <c r="H21" s="1"/>
  <c r="F20"/>
  <c r="I20" s="1"/>
  <c r="I19"/>
  <c r="F19"/>
  <c r="H19" s="1"/>
  <c r="E18"/>
  <c r="F18" s="1"/>
  <c r="F17"/>
  <c r="I17" s="1"/>
  <c r="F16"/>
  <c r="H16" s="1"/>
  <c r="I88" i="38"/>
  <c r="I92"/>
  <c r="I95" i="36"/>
  <c r="I86"/>
  <c r="I96" i="35"/>
  <c r="I92" i="34"/>
  <c r="I91" i="33"/>
  <c r="H34" i="39" l="1"/>
  <c r="H30"/>
  <c r="H33"/>
  <c r="H85"/>
  <c r="H86" s="1"/>
  <c r="H17"/>
  <c r="H53"/>
  <c r="H50"/>
  <c r="H48"/>
  <c r="H46"/>
  <c r="H42"/>
  <c r="H40"/>
  <c r="H26"/>
  <c r="H20"/>
  <c r="I18"/>
  <c r="H18"/>
  <c r="I72"/>
  <c r="H72"/>
  <c r="H82" s="1"/>
  <c r="I16"/>
  <c r="I27"/>
  <c r="I31"/>
  <c r="I32"/>
  <c r="I39"/>
  <c r="I43"/>
  <c r="I47"/>
  <c r="I49"/>
  <c r="I51"/>
  <c r="I52"/>
  <c r="H84"/>
  <c r="I101" l="1"/>
  <c r="I91" i="36" l="1"/>
  <c r="I91" i="38"/>
  <c r="I67"/>
  <c r="I70"/>
  <c r="I69"/>
  <c r="I68"/>
  <c r="I66"/>
  <c r="I78"/>
  <c r="I25"/>
  <c r="I24"/>
  <c r="I23"/>
  <c r="I22"/>
  <c r="I21"/>
  <c r="I19"/>
  <c r="H91"/>
  <c r="I90"/>
  <c r="H90"/>
  <c r="F87"/>
  <c r="I87" s="1"/>
  <c r="F86"/>
  <c r="H86" s="1"/>
  <c r="H83"/>
  <c r="I81"/>
  <c r="F81"/>
  <c r="H81" s="1"/>
  <c r="I80"/>
  <c r="F80"/>
  <c r="H80" s="1"/>
  <c r="F79"/>
  <c r="H79" s="1"/>
  <c r="F78"/>
  <c r="H78" s="1"/>
  <c r="H77"/>
  <c r="F76"/>
  <c r="H76" s="1"/>
  <c r="I74"/>
  <c r="E72"/>
  <c r="F72" s="1"/>
  <c r="I71"/>
  <c r="F71"/>
  <c r="H71" s="1"/>
  <c r="E70"/>
  <c r="F70" s="1"/>
  <c r="H70" s="1"/>
  <c r="F69"/>
  <c r="H69" s="1"/>
  <c r="F68"/>
  <c r="H68" s="1"/>
  <c r="F67"/>
  <c r="H67" s="1"/>
  <c r="F66"/>
  <c r="H66" s="1"/>
  <c r="F65"/>
  <c r="H65" s="1"/>
  <c r="I64"/>
  <c r="F64"/>
  <c r="H64" s="1"/>
  <c r="F62"/>
  <c r="I62" s="1"/>
  <c r="F61"/>
  <c r="I59"/>
  <c r="H59"/>
  <c r="I58"/>
  <c r="F58"/>
  <c r="H58" s="1"/>
  <c r="I55"/>
  <c r="F55"/>
  <c r="H55" s="1"/>
  <c r="I54"/>
  <c r="H54"/>
  <c r="F53"/>
  <c r="I53" s="1"/>
  <c r="E52"/>
  <c r="F52" s="1"/>
  <c r="F51"/>
  <c r="H51" s="1"/>
  <c r="F50"/>
  <c r="I50" s="1"/>
  <c r="F49"/>
  <c r="H49" s="1"/>
  <c r="F48"/>
  <c r="I48" s="1"/>
  <c r="F47"/>
  <c r="H47" s="1"/>
  <c r="F46"/>
  <c r="I46" s="1"/>
  <c r="I44"/>
  <c r="H44"/>
  <c r="F43"/>
  <c r="H43" s="1"/>
  <c r="F42"/>
  <c r="I42" s="1"/>
  <c r="H41"/>
  <c r="F40"/>
  <c r="I40" s="1"/>
  <c r="F39"/>
  <c r="H39" s="1"/>
  <c r="I38"/>
  <c r="H38"/>
  <c r="H36"/>
  <c r="H35"/>
  <c r="F34"/>
  <c r="I34" s="1"/>
  <c r="E34"/>
  <c r="F33"/>
  <c r="I33" s="1"/>
  <c r="E32"/>
  <c r="F32" s="1"/>
  <c r="F31"/>
  <c r="H31" s="1"/>
  <c r="F30"/>
  <c r="I30" s="1"/>
  <c r="F27"/>
  <c r="H27" s="1"/>
  <c r="F26"/>
  <c r="I26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F17"/>
  <c r="H17" s="1"/>
  <c r="F16"/>
  <c r="I16" s="1"/>
  <c r="H87" l="1"/>
  <c r="H88" s="1"/>
  <c r="H18"/>
  <c r="I18"/>
  <c r="H32"/>
  <c r="I32"/>
  <c r="H72"/>
  <c r="I72"/>
  <c r="H52"/>
  <c r="I52"/>
  <c r="H16"/>
  <c r="I17"/>
  <c r="H20"/>
  <c r="H26"/>
  <c r="I27"/>
  <c r="H30"/>
  <c r="I31"/>
  <c r="H33"/>
  <c r="H34"/>
  <c r="I39"/>
  <c r="H40"/>
  <c r="H42"/>
  <c r="I43"/>
  <c r="H46"/>
  <c r="I47"/>
  <c r="H48"/>
  <c r="I49"/>
  <c r="H50"/>
  <c r="I51"/>
  <c r="H53"/>
  <c r="H62"/>
  <c r="H84" s="1"/>
  <c r="I86"/>
  <c r="I94" l="1"/>
  <c r="I64" i="35"/>
  <c r="I58" i="36"/>
  <c r="I90"/>
  <c r="I59" l="1"/>
  <c r="I94"/>
  <c r="I93"/>
  <c r="I89"/>
  <c r="F76"/>
  <c r="H76" s="1"/>
  <c r="I76"/>
  <c r="F77"/>
  <c r="H77" s="1"/>
  <c r="F78"/>
  <c r="H78" s="1"/>
  <c r="I78"/>
  <c r="H94"/>
  <c r="H93"/>
  <c r="I92"/>
  <c r="H92"/>
  <c r="H89"/>
  <c r="I88"/>
  <c r="H88"/>
  <c r="F85"/>
  <c r="I85" s="1"/>
  <c r="F84"/>
  <c r="I84" s="1"/>
  <c r="H81"/>
  <c r="I79"/>
  <c r="F79"/>
  <c r="H79" s="1"/>
  <c r="H75"/>
  <c r="F74"/>
  <c r="H74" s="1"/>
  <c r="E72"/>
  <c r="F72" s="1"/>
  <c r="I71"/>
  <c r="F71"/>
  <c r="H71" s="1"/>
  <c r="E70"/>
  <c r="F70" s="1"/>
  <c r="H70" s="1"/>
  <c r="F69"/>
  <c r="H69" s="1"/>
  <c r="F68"/>
  <c r="H68" s="1"/>
  <c r="F67"/>
  <c r="H67" s="1"/>
  <c r="F66"/>
  <c r="H66" s="1"/>
  <c r="F65"/>
  <c r="H65" s="1"/>
  <c r="I64"/>
  <c r="F64"/>
  <c r="H64" s="1"/>
  <c r="F62"/>
  <c r="I62" s="1"/>
  <c r="F61"/>
  <c r="H59"/>
  <c r="F58"/>
  <c r="I55"/>
  <c r="F55"/>
  <c r="H55" s="1"/>
  <c r="I54"/>
  <c r="H54"/>
  <c r="F53"/>
  <c r="I53" s="1"/>
  <c r="E52"/>
  <c r="F52" s="1"/>
  <c r="F51"/>
  <c r="I51" s="1"/>
  <c r="F50"/>
  <c r="I50" s="1"/>
  <c r="F49"/>
  <c r="I49" s="1"/>
  <c r="F48"/>
  <c r="I48" s="1"/>
  <c r="F47"/>
  <c r="I47" s="1"/>
  <c r="F46"/>
  <c r="I46" s="1"/>
  <c r="I44"/>
  <c r="H44"/>
  <c r="F43"/>
  <c r="I43" s="1"/>
  <c r="F42"/>
  <c r="I42" s="1"/>
  <c r="H41"/>
  <c r="F40"/>
  <c r="I40" s="1"/>
  <c r="F39"/>
  <c r="I39" s="1"/>
  <c r="I38"/>
  <c r="H38"/>
  <c r="H36"/>
  <c r="H35"/>
  <c r="F34"/>
  <c r="I34" s="1"/>
  <c r="E34"/>
  <c r="F33"/>
  <c r="I33" s="1"/>
  <c r="E32"/>
  <c r="F32" s="1"/>
  <c r="F31"/>
  <c r="I31" s="1"/>
  <c r="F30"/>
  <c r="I30" s="1"/>
  <c r="F27"/>
  <c r="I27" s="1"/>
  <c r="F26"/>
  <c r="I26" s="1"/>
  <c r="F25"/>
  <c r="H25" s="1"/>
  <c r="F24"/>
  <c r="H24" s="1"/>
  <c r="F23"/>
  <c r="H23" s="1"/>
  <c r="F22"/>
  <c r="H22" s="1"/>
  <c r="F21"/>
  <c r="I21" s="1"/>
  <c r="F20"/>
  <c r="I20" s="1"/>
  <c r="F19"/>
  <c r="H19" s="1"/>
  <c r="E18"/>
  <c r="F18" s="1"/>
  <c r="F17"/>
  <c r="I17" s="1"/>
  <c r="F16"/>
  <c r="I16" s="1"/>
  <c r="I94" i="35"/>
  <c r="I92"/>
  <c r="I93"/>
  <c r="I95"/>
  <c r="H95"/>
  <c r="H94"/>
  <c r="H93"/>
  <c r="H92"/>
  <c r="H91"/>
  <c r="I76"/>
  <c r="I44"/>
  <c r="I43"/>
  <c r="I91"/>
  <c r="I90"/>
  <c r="H90"/>
  <c r="I89"/>
  <c r="H89"/>
  <c r="H86"/>
  <c r="H87" s="1"/>
  <c r="F86"/>
  <c r="I86" s="1"/>
  <c r="F85"/>
  <c r="I85" s="1"/>
  <c r="F83"/>
  <c r="H83" s="1"/>
  <c r="H81"/>
  <c r="I79"/>
  <c r="H79"/>
  <c r="F79"/>
  <c r="I78"/>
  <c r="F78"/>
  <c r="H78" s="1"/>
  <c r="F77"/>
  <c r="H77" s="1"/>
  <c r="F76"/>
  <c r="H76" s="1"/>
  <c r="H75"/>
  <c r="F74"/>
  <c r="H74" s="1"/>
  <c r="E72"/>
  <c r="F72" s="1"/>
  <c r="I71"/>
  <c r="H71"/>
  <c r="F71"/>
  <c r="E70"/>
  <c r="F70" s="1"/>
  <c r="H70" s="1"/>
  <c r="F69"/>
  <c r="H69" s="1"/>
  <c r="F68"/>
  <c r="H68" s="1"/>
  <c r="F67"/>
  <c r="H67" s="1"/>
  <c r="F66"/>
  <c r="H66" s="1"/>
  <c r="F65"/>
  <c r="H65" s="1"/>
  <c r="H64"/>
  <c r="F64"/>
  <c r="F62"/>
  <c r="I62" s="1"/>
  <c r="F61"/>
  <c r="I59"/>
  <c r="H59"/>
  <c r="F58"/>
  <c r="I58" s="1"/>
  <c r="I55"/>
  <c r="F55"/>
  <c r="H55" s="1"/>
  <c r="I54"/>
  <c r="H54"/>
  <c r="F53"/>
  <c r="I53" s="1"/>
  <c r="E52"/>
  <c r="F52" s="1"/>
  <c r="F51"/>
  <c r="H51" s="1"/>
  <c r="F50"/>
  <c r="I50" s="1"/>
  <c r="F49"/>
  <c r="H49" s="1"/>
  <c r="F48"/>
  <c r="I48" s="1"/>
  <c r="H47"/>
  <c r="F47"/>
  <c r="I47" s="1"/>
  <c r="F46"/>
  <c r="I46" s="1"/>
  <c r="H44"/>
  <c r="H43"/>
  <c r="F43"/>
  <c r="F42"/>
  <c r="I42" s="1"/>
  <c r="H41"/>
  <c r="F40"/>
  <c r="I40" s="1"/>
  <c r="H39"/>
  <c r="F39"/>
  <c r="I39" s="1"/>
  <c r="I38"/>
  <c r="H38"/>
  <c r="H36"/>
  <c r="H35"/>
  <c r="F34"/>
  <c r="I34" s="1"/>
  <c r="E34"/>
  <c r="F33"/>
  <c r="I33" s="1"/>
  <c r="E32"/>
  <c r="F32" s="1"/>
  <c r="H31"/>
  <c r="F31"/>
  <c r="I31" s="1"/>
  <c r="F30"/>
  <c r="I30" s="1"/>
  <c r="H27"/>
  <c r="F27"/>
  <c r="I27" s="1"/>
  <c r="F26"/>
  <c r="I26" s="1"/>
  <c r="F25"/>
  <c r="H25" s="1"/>
  <c r="F24"/>
  <c r="H24" s="1"/>
  <c r="F23"/>
  <c r="H23" s="1"/>
  <c r="F22"/>
  <c r="H22" s="1"/>
  <c r="H21"/>
  <c r="F21"/>
  <c r="I21" s="1"/>
  <c r="F20"/>
  <c r="I20" s="1"/>
  <c r="F19"/>
  <c r="H19" s="1"/>
  <c r="E18"/>
  <c r="F18" s="1"/>
  <c r="H17"/>
  <c r="F17"/>
  <c r="I17" s="1"/>
  <c r="F16"/>
  <c r="I16" s="1"/>
  <c r="I91" i="34"/>
  <c r="I90"/>
  <c r="H91"/>
  <c r="H90"/>
  <c r="H21" i="36" l="1"/>
  <c r="H31"/>
  <c r="H39"/>
  <c r="H17"/>
  <c r="H27"/>
  <c r="H43"/>
  <c r="H85"/>
  <c r="H86" s="1"/>
  <c r="H51"/>
  <c r="H49"/>
  <c r="H47"/>
  <c r="H32"/>
  <c r="I32"/>
  <c r="H52"/>
  <c r="I52"/>
  <c r="H72"/>
  <c r="I72"/>
  <c r="H18"/>
  <c r="I18"/>
  <c r="H16"/>
  <c r="H20"/>
  <c r="H26"/>
  <c r="H30"/>
  <c r="H33"/>
  <c r="H34"/>
  <c r="H40"/>
  <c r="H42"/>
  <c r="H46"/>
  <c r="H48"/>
  <c r="H50"/>
  <c r="H53"/>
  <c r="H58"/>
  <c r="H62"/>
  <c r="H84"/>
  <c r="H32" i="35"/>
  <c r="I32"/>
  <c r="H52"/>
  <c r="I52"/>
  <c r="H18"/>
  <c r="I18"/>
  <c r="H72"/>
  <c r="I72"/>
  <c r="H16"/>
  <c r="H20"/>
  <c r="H26"/>
  <c r="H30"/>
  <c r="H33"/>
  <c r="H34"/>
  <c r="H40"/>
  <c r="H42"/>
  <c r="H46"/>
  <c r="H48"/>
  <c r="I49"/>
  <c r="H50"/>
  <c r="I51"/>
  <c r="H53"/>
  <c r="H58"/>
  <c r="H82" s="1"/>
  <c r="H62"/>
  <c r="H85"/>
  <c r="I97" i="36" l="1"/>
  <c r="H82"/>
  <c r="I98" i="35"/>
  <c r="I44" i="33" l="1"/>
  <c r="I43"/>
  <c r="I44" i="34"/>
  <c r="I43"/>
  <c r="I64" l="1"/>
  <c r="I89"/>
  <c r="H89"/>
  <c r="F86"/>
  <c r="I86" s="1"/>
  <c r="F85"/>
  <c r="I85" s="1"/>
  <c r="F83"/>
  <c r="H83" s="1"/>
  <c r="H81"/>
  <c r="I79"/>
  <c r="F79"/>
  <c r="H79" s="1"/>
  <c r="I78"/>
  <c r="F78"/>
  <c r="H78" s="1"/>
  <c r="F77"/>
  <c r="H77" s="1"/>
  <c r="I76"/>
  <c r="F76"/>
  <c r="H76" s="1"/>
  <c r="H75"/>
  <c r="F74"/>
  <c r="H74" s="1"/>
  <c r="E72"/>
  <c r="F72" s="1"/>
  <c r="I71"/>
  <c r="F71"/>
  <c r="H71" s="1"/>
  <c r="E70"/>
  <c r="F70" s="1"/>
  <c r="H70" s="1"/>
  <c r="F69"/>
  <c r="H69" s="1"/>
  <c r="F68"/>
  <c r="H68" s="1"/>
  <c r="F67"/>
  <c r="H67" s="1"/>
  <c r="F66"/>
  <c r="H66" s="1"/>
  <c r="F65"/>
  <c r="H65" s="1"/>
  <c r="F64"/>
  <c r="H64" s="1"/>
  <c r="F62"/>
  <c r="I62" s="1"/>
  <c r="F61"/>
  <c r="I59"/>
  <c r="H59"/>
  <c r="F58"/>
  <c r="I58" s="1"/>
  <c r="I55"/>
  <c r="F55"/>
  <c r="H55" s="1"/>
  <c r="I54"/>
  <c r="H54"/>
  <c r="F53"/>
  <c r="I53" s="1"/>
  <c r="E52"/>
  <c r="F52" s="1"/>
  <c r="H52" s="1"/>
  <c r="F51"/>
  <c r="H51" s="1"/>
  <c r="F50"/>
  <c r="I50" s="1"/>
  <c r="F49"/>
  <c r="H49" s="1"/>
  <c r="F48"/>
  <c r="I48" s="1"/>
  <c r="F47"/>
  <c r="H47" s="1"/>
  <c r="F46"/>
  <c r="I46" s="1"/>
  <c r="H44"/>
  <c r="F43"/>
  <c r="H43" s="1"/>
  <c r="F42"/>
  <c r="I42" s="1"/>
  <c r="H41"/>
  <c r="F40"/>
  <c r="I40" s="1"/>
  <c r="F39"/>
  <c r="H39" s="1"/>
  <c r="I38"/>
  <c r="H38"/>
  <c r="H36"/>
  <c r="H35"/>
  <c r="F34"/>
  <c r="I34" s="1"/>
  <c r="E34"/>
  <c r="F33"/>
  <c r="I33" s="1"/>
  <c r="E32"/>
  <c r="F32" s="1"/>
  <c r="F31"/>
  <c r="H31" s="1"/>
  <c r="F30"/>
  <c r="I30" s="1"/>
  <c r="F27"/>
  <c r="H27" s="1"/>
  <c r="F26"/>
  <c r="I26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F17"/>
  <c r="H17" s="1"/>
  <c r="F16"/>
  <c r="I16" s="1"/>
  <c r="H53" l="1"/>
  <c r="H58"/>
  <c r="H50"/>
  <c r="H62"/>
  <c r="H86"/>
  <c r="H87" s="1"/>
  <c r="H72"/>
  <c r="I72"/>
  <c r="H82"/>
  <c r="H18"/>
  <c r="I18"/>
  <c r="H32"/>
  <c r="I32"/>
  <c r="H16"/>
  <c r="I17"/>
  <c r="H20"/>
  <c r="I21"/>
  <c r="H26"/>
  <c r="I27"/>
  <c r="H30"/>
  <c r="I31"/>
  <c r="H33"/>
  <c r="H34"/>
  <c r="I39"/>
  <c r="H40"/>
  <c r="H42"/>
  <c r="H46"/>
  <c r="I47"/>
  <c r="H48"/>
  <c r="I49"/>
  <c r="I51"/>
  <c r="I52"/>
  <c r="H85"/>
  <c r="I94" l="1"/>
  <c r="I90" i="33" l="1"/>
  <c r="H90"/>
  <c r="I89"/>
  <c r="H89"/>
  <c r="F62"/>
  <c r="H62" s="1"/>
  <c r="F86" l="1"/>
  <c r="I86" s="1"/>
  <c r="F85"/>
  <c r="H85" s="1"/>
  <c r="F83"/>
  <c r="H83" s="1"/>
  <c r="H81"/>
  <c r="I79"/>
  <c r="F79"/>
  <c r="H79" s="1"/>
  <c r="I78"/>
  <c r="F78"/>
  <c r="H78" s="1"/>
  <c r="F77"/>
  <c r="H77" s="1"/>
  <c r="I76"/>
  <c r="F76"/>
  <c r="H76" s="1"/>
  <c r="H75"/>
  <c r="F74"/>
  <c r="H74" s="1"/>
  <c r="E72"/>
  <c r="F72" s="1"/>
  <c r="I71"/>
  <c r="F71"/>
  <c r="H71" s="1"/>
  <c r="E70"/>
  <c r="F70" s="1"/>
  <c r="H70" s="1"/>
  <c r="F69"/>
  <c r="H69" s="1"/>
  <c r="F68"/>
  <c r="H68" s="1"/>
  <c r="F67"/>
  <c r="H67" s="1"/>
  <c r="F66"/>
  <c r="H66" s="1"/>
  <c r="F65"/>
  <c r="H65" s="1"/>
  <c r="I64"/>
  <c r="F64"/>
  <c r="H64" s="1"/>
  <c r="F61"/>
  <c r="I59"/>
  <c r="H59"/>
  <c r="F58"/>
  <c r="H58" s="1"/>
  <c r="I55"/>
  <c r="F55"/>
  <c r="H55" s="1"/>
  <c r="I54"/>
  <c r="H54"/>
  <c r="F53"/>
  <c r="I53" s="1"/>
  <c r="E52"/>
  <c r="F52" s="1"/>
  <c r="I52" s="1"/>
  <c r="F51"/>
  <c r="I51" s="1"/>
  <c r="F50"/>
  <c r="H50" s="1"/>
  <c r="F49"/>
  <c r="I49" s="1"/>
  <c r="F48"/>
  <c r="H48" s="1"/>
  <c r="F47"/>
  <c r="I47" s="1"/>
  <c r="F46"/>
  <c r="H46" s="1"/>
  <c r="H44"/>
  <c r="F43"/>
  <c r="F42"/>
  <c r="H42" s="1"/>
  <c r="H41"/>
  <c r="F40"/>
  <c r="H40" s="1"/>
  <c r="F39"/>
  <c r="I39" s="1"/>
  <c r="I38"/>
  <c r="H38"/>
  <c r="H36"/>
  <c r="H35"/>
  <c r="F34"/>
  <c r="H34" s="1"/>
  <c r="E34"/>
  <c r="F33"/>
  <c r="H33" s="1"/>
  <c r="E32"/>
  <c r="F32" s="1"/>
  <c r="F31"/>
  <c r="I31" s="1"/>
  <c r="F30"/>
  <c r="H30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H17" l="1"/>
  <c r="H27"/>
  <c r="H43"/>
  <c r="H49"/>
  <c r="H86"/>
  <c r="H87" s="1"/>
  <c r="H21"/>
  <c r="H31"/>
  <c r="H39"/>
  <c r="H47"/>
  <c r="H53"/>
  <c r="I32"/>
  <c r="H32"/>
  <c r="I18"/>
  <c r="H18"/>
  <c r="I72"/>
  <c r="H72"/>
  <c r="H82" s="1"/>
  <c r="I16"/>
  <c r="I20"/>
  <c r="I26"/>
  <c r="I30"/>
  <c r="I33"/>
  <c r="I34"/>
  <c r="I40"/>
  <c r="I42"/>
  <c r="I46"/>
  <c r="I48"/>
  <c r="I50"/>
  <c r="H51"/>
  <c r="H52"/>
  <c r="I58"/>
  <c r="I62"/>
  <c r="I85"/>
  <c r="I93" l="1"/>
  <c r="F96" i="32" l="1"/>
  <c r="H96" s="1"/>
  <c r="H95"/>
  <c r="H94"/>
  <c r="H93"/>
  <c r="H92"/>
  <c r="H91"/>
  <c r="I76"/>
  <c r="H90"/>
  <c r="H89"/>
  <c r="H86"/>
  <c r="H87" s="1"/>
  <c r="F86"/>
  <c r="I86" s="1"/>
  <c r="F85"/>
  <c r="H85" s="1"/>
  <c r="F83"/>
  <c r="H83" s="1"/>
  <c r="H81"/>
  <c r="I79"/>
  <c r="H79"/>
  <c r="F79"/>
  <c r="I78"/>
  <c r="F78"/>
  <c r="H78" s="1"/>
  <c r="F77"/>
  <c r="H77" s="1"/>
  <c r="F76"/>
  <c r="H76" s="1"/>
  <c r="H75"/>
  <c r="F74"/>
  <c r="H74" s="1"/>
  <c r="E72"/>
  <c r="F72" s="1"/>
  <c r="H72" s="1"/>
  <c r="I71"/>
  <c r="F71"/>
  <c r="H71" s="1"/>
  <c r="F70"/>
  <c r="H70" s="1"/>
  <c r="E70"/>
  <c r="H69"/>
  <c r="F69"/>
  <c r="H68"/>
  <c r="F68"/>
  <c r="H67"/>
  <c r="F67"/>
  <c r="H66"/>
  <c r="F66"/>
  <c r="H65"/>
  <c r="F65"/>
  <c r="F64"/>
  <c r="H64" s="1"/>
  <c r="F61"/>
  <c r="I59"/>
  <c r="H59"/>
  <c r="H58"/>
  <c r="F58"/>
  <c r="I58" s="1"/>
  <c r="I55"/>
  <c r="F55"/>
  <c r="H55" s="1"/>
  <c r="I54"/>
  <c r="H54"/>
  <c r="F53"/>
  <c r="I53" s="1"/>
  <c r="F52"/>
  <c r="H52" s="1"/>
  <c r="E52"/>
  <c r="F51"/>
  <c r="H51" s="1"/>
  <c r="F50"/>
  <c r="I50" s="1"/>
  <c r="F49"/>
  <c r="H49" s="1"/>
  <c r="F48"/>
  <c r="I48" s="1"/>
  <c r="F47"/>
  <c r="H47" s="1"/>
  <c r="F46"/>
  <c r="I46" s="1"/>
  <c r="H44"/>
  <c r="F43"/>
  <c r="H43" s="1"/>
  <c r="H42"/>
  <c r="F42"/>
  <c r="I42" s="1"/>
  <c r="H41"/>
  <c r="H40"/>
  <c r="F40"/>
  <c r="I40" s="1"/>
  <c r="F39"/>
  <c r="H39" s="1"/>
  <c r="I38"/>
  <c r="H38"/>
  <c r="H36"/>
  <c r="H35"/>
  <c r="H34"/>
  <c r="F34"/>
  <c r="I34" s="1"/>
  <c r="E34"/>
  <c r="H33"/>
  <c r="F33"/>
  <c r="I33" s="1"/>
  <c r="F32"/>
  <c r="H32" s="1"/>
  <c r="E32"/>
  <c r="F31"/>
  <c r="H31" s="1"/>
  <c r="H30"/>
  <c r="F30"/>
  <c r="I30" s="1"/>
  <c r="F27"/>
  <c r="H27" s="1"/>
  <c r="H26"/>
  <c r="F26"/>
  <c r="I26" s="1"/>
  <c r="H25"/>
  <c r="F25"/>
  <c r="H24"/>
  <c r="F24"/>
  <c r="H23"/>
  <c r="F23"/>
  <c r="H22"/>
  <c r="F22"/>
  <c r="F21"/>
  <c r="H21" s="1"/>
  <c r="H20"/>
  <c r="F20"/>
  <c r="I20" s="1"/>
  <c r="H19"/>
  <c r="F19"/>
  <c r="F18"/>
  <c r="H18" s="1"/>
  <c r="E18"/>
  <c r="F17"/>
  <c r="H17" s="1"/>
  <c r="H16"/>
  <c r="F16"/>
  <c r="I16" s="1"/>
  <c r="H89" i="31"/>
  <c r="I64"/>
  <c r="H90"/>
  <c r="F86"/>
  <c r="I86" s="1"/>
  <c r="F85"/>
  <c r="I85" s="1"/>
  <c r="F83"/>
  <c r="H83" s="1"/>
  <c r="H81"/>
  <c r="I79"/>
  <c r="F79"/>
  <c r="H79" s="1"/>
  <c r="I78"/>
  <c r="F78"/>
  <c r="H78" s="1"/>
  <c r="F77"/>
  <c r="H77" s="1"/>
  <c r="F76"/>
  <c r="H76" s="1"/>
  <c r="H75"/>
  <c r="F74"/>
  <c r="H74" s="1"/>
  <c r="E72"/>
  <c r="F72" s="1"/>
  <c r="I71"/>
  <c r="F71"/>
  <c r="H71" s="1"/>
  <c r="E70"/>
  <c r="F70" s="1"/>
  <c r="H70" s="1"/>
  <c r="F69"/>
  <c r="H69" s="1"/>
  <c r="F68"/>
  <c r="H68" s="1"/>
  <c r="F67"/>
  <c r="H67" s="1"/>
  <c r="F66"/>
  <c r="H66" s="1"/>
  <c r="F65"/>
  <c r="H65" s="1"/>
  <c r="F64"/>
  <c r="H64" s="1"/>
  <c r="H62"/>
  <c r="F61"/>
  <c r="I59"/>
  <c r="H59"/>
  <c r="F58"/>
  <c r="I58" s="1"/>
  <c r="I55"/>
  <c r="F55"/>
  <c r="H55" s="1"/>
  <c r="I54"/>
  <c r="H54"/>
  <c r="F53"/>
  <c r="H53" s="1"/>
  <c r="E52"/>
  <c r="F52" s="1"/>
  <c r="F51"/>
  <c r="I51" s="1"/>
  <c r="F50"/>
  <c r="I50" s="1"/>
  <c r="F49"/>
  <c r="I49" s="1"/>
  <c r="F48"/>
  <c r="I48" s="1"/>
  <c r="F47"/>
  <c r="I47" s="1"/>
  <c r="F46"/>
  <c r="I46" s="1"/>
  <c r="H44"/>
  <c r="F43"/>
  <c r="I43" s="1"/>
  <c r="F42"/>
  <c r="H42" s="1"/>
  <c r="H41"/>
  <c r="F40"/>
  <c r="H40" s="1"/>
  <c r="F39"/>
  <c r="I39" s="1"/>
  <c r="I38"/>
  <c r="H38"/>
  <c r="H36"/>
  <c r="H35"/>
  <c r="F34"/>
  <c r="H34" s="1"/>
  <c r="E34"/>
  <c r="F33"/>
  <c r="H33" s="1"/>
  <c r="E32"/>
  <c r="F32" s="1"/>
  <c r="F31"/>
  <c r="I31" s="1"/>
  <c r="F30"/>
  <c r="H30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64" i="30"/>
  <c r="H53" i="32" l="1"/>
  <c r="H86" i="31"/>
  <c r="H87" s="1"/>
  <c r="H50"/>
  <c r="H48" i="32"/>
  <c r="H82"/>
  <c r="H46"/>
  <c r="H50"/>
  <c r="I17"/>
  <c r="I18"/>
  <c r="I21"/>
  <c r="I27"/>
  <c r="I31"/>
  <c r="I32"/>
  <c r="I39"/>
  <c r="I47"/>
  <c r="I49"/>
  <c r="I51"/>
  <c r="I52"/>
  <c r="I72"/>
  <c r="I85"/>
  <c r="H58" i="31"/>
  <c r="H46"/>
  <c r="H48"/>
  <c r="I18"/>
  <c r="H18"/>
  <c r="I32"/>
  <c r="H32"/>
  <c r="I52"/>
  <c r="H52"/>
  <c r="I72"/>
  <c r="H72"/>
  <c r="I16"/>
  <c r="H17"/>
  <c r="I20"/>
  <c r="H21"/>
  <c r="I26"/>
  <c r="H27"/>
  <c r="I30"/>
  <c r="H31"/>
  <c r="I33"/>
  <c r="I34"/>
  <c r="H39"/>
  <c r="I40"/>
  <c r="I42"/>
  <c r="H43"/>
  <c r="H47"/>
  <c r="H49"/>
  <c r="H51"/>
  <c r="I53"/>
  <c r="I62"/>
  <c r="H85"/>
  <c r="H82" l="1"/>
  <c r="I99" i="32"/>
  <c r="I93" i="31"/>
  <c r="I89" i="30" l="1"/>
  <c r="H89"/>
  <c r="F86"/>
  <c r="I86" s="1"/>
  <c r="F85"/>
  <c r="H85" s="1"/>
  <c r="F83"/>
  <c r="H83" s="1"/>
  <c r="H81"/>
  <c r="I79"/>
  <c r="F79"/>
  <c r="H79" s="1"/>
  <c r="I78"/>
  <c r="F78"/>
  <c r="H78" s="1"/>
  <c r="F77"/>
  <c r="H77" s="1"/>
  <c r="F76"/>
  <c r="H76" s="1"/>
  <c r="H75"/>
  <c r="F74"/>
  <c r="H74" s="1"/>
  <c r="E72"/>
  <c r="F72" s="1"/>
  <c r="I71"/>
  <c r="F71"/>
  <c r="H71" s="1"/>
  <c r="E70"/>
  <c r="F70" s="1"/>
  <c r="H70" s="1"/>
  <c r="F69"/>
  <c r="H69" s="1"/>
  <c r="F68"/>
  <c r="H68" s="1"/>
  <c r="F67"/>
  <c r="H67" s="1"/>
  <c r="F66"/>
  <c r="H66" s="1"/>
  <c r="F65"/>
  <c r="H65" s="1"/>
  <c r="F64"/>
  <c r="H64" s="1"/>
  <c r="I62"/>
  <c r="F61"/>
  <c r="I59"/>
  <c r="H59"/>
  <c r="F58"/>
  <c r="I58" s="1"/>
  <c r="I55"/>
  <c r="F55"/>
  <c r="H55" s="1"/>
  <c r="I54"/>
  <c r="H54"/>
  <c r="F53"/>
  <c r="I53" s="1"/>
  <c r="E52"/>
  <c r="F52" s="1"/>
  <c r="F51"/>
  <c r="H51" s="1"/>
  <c r="F50"/>
  <c r="I50" s="1"/>
  <c r="F49"/>
  <c r="H49" s="1"/>
  <c r="F48"/>
  <c r="I48" s="1"/>
  <c r="F47"/>
  <c r="H47" s="1"/>
  <c r="F46"/>
  <c r="I46" s="1"/>
  <c r="I44"/>
  <c r="H44"/>
  <c r="F43"/>
  <c r="H43" s="1"/>
  <c r="F42"/>
  <c r="I42" s="1"/>
  <c r="H41"/>
  <c r="F40"/>
  <c r="I40" s="1"/>
  <c r="F39"/>
  <c r="H39" s="1"/>
  <c r="I38"/>
  <c r="H38"/>
  <c r="H36"/>
  <c r="H35"/>
  <c r="F34"/>
  <c r="I34" s="1"/>
  <c r="E34"/>
  <c r="F33"/>
  <c r="I33" s="1"/>
  <c r="E32"/>
  <c r="F32" s="1"/>
  <c r="F31"/>
  <c r="H31" s="1"/>
  <c r="F30"/>
  <c r="I30" s="1"/>
  <c r="F27"/>
  <c r="H27" s="1"/>
  <c r="F26"/>
  <c r="I26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F17"/>
  <c r="H17" s="1"/>
  <c r="F16"/>
  <c r="I16" s="1"/>
  <c r="H86" l="1"/>
  <c r="H87" s="1"/>
  <c r="H52"/>
  <c r="I52"/>
  <c r="H18"/>
  <c r="I18"/>
  <c r="H32"/>
  <c r="I32"/>
  <c r="H72"/>
  <c r="I72"/>
  <c r="H16"/>
  <c r="I17"/>
  <c r="H20"/>
  <c r="I21"/>
  <c r="H26"/>
  <c r="I27"/>
  <c r="H30"/>
  <c r="I31"/>
  <c r="H33"/>
  <c r="H34"/>
  <c r="I39"/>
  <c r="H40"/>
  <c r="H42"/>
  <c r="I43"/>
  <c r="H46"/>
  <c r="I47"/>
  <c r="H48"/>
  <c r="I49"/>
  <c r="H50"/>
  <c r="I51"/>
  <c r="H53"/>
  <c r="H58"/>
  <c r="H62"/>
  <c r="I85"/>
  <c r="I99" l="1"/>
  <c r="H82"/>
  <c r="I71" i="29" l="1"/>
  <c r="H90"/>
  <c r="H89"/>
  <c r="F86"/>
  <c r="I86" s="1"/>
  <c r="F85"/>
  <c r="H85" s="1"/>
  <c r="F83"/>
  <c r="H83" s="1"/>
  <c r="H81"/>
  <c r="I79"/>
  <c r="F79"/>
  <c r="H79" s="1"/>
  <c r="I78"/>
  <c r="F78"/>
  <c r="H78" s="1"/>
  <c r="F77"/>
  <c r="H77" s="1"/>
  <c r="F76"/>
  <c r="H76" s="1"/>
  <c r="H75"/>
  <c r="F74"/>
  <c r="H74" s="1"/>
  <c r="E72"/>
  <c r="F72" s="1"/>
  <c r="F71"/>
  <c r="H71" s="1"/>
  <c r="E70"/>
  <c r="F70" s="1"/>
  <c r="H70" s="1"/>
  <c r="F69"/>
  <c r="H69" s="1"/>
  <c r="F68"/>
  <c r="H68" s="1"/>
  <c r="F67"/>
  <c r="H67" s="1"/>
  <c r="F66"/>
  <c r="H66" s="1"/>
  <c r="F65"/>
  <c r="H65" s="1"/>
  <c r="F64"/>
  <c r="H64" s="1"/>
  <c r="H62"/>
  <c r="F61"/>
  <c r="I59"/>
  <c r="H59"/>
  <c r="F58"/>
  <c r="H58" s="1"/>
  <c r="I55"/>
  <c r="F55"/>
  <c r="H55" s="1"/>
  <c r="I54"/>
  <c r="H54"/>
  <c r="F53"/>
  <c r="H53" s="1"/>
  <c r="E52"/>
  <c r="F52" s="1"/>
  <c r="F51"/>
  <c r="I51" s="1"/>
  <c r="F50"/>
  <c r="H50" s="1"/>
  <c r="F49"/>
  <c r="I49" s="1"/>
  <c r="F48"/>
  <c r="H48" s="1"/>
  <c r="F47"/>
  <c r="I47" s="1"/>
  <c r="F46"/>
  <c r="H46" s="1"/>
  <c r="I44"/>
  <c r="H44"/>
  <c r="F43"/>
  <c r="I43" s="1"/>
  <c r="F42"/>
  <c r="H42" s="1"/>
  <c r="H41"/>
  <c r="F40"/>
  <c r="I40" s="1"/>
  <c r="F39"/>
  <c r="I39" s="1"/>
  <c r="I38"/>
  <c r="H38"/>
  <c r="H36"/>
  <c r="H35"/>
  <c r="F34"/>
  <c r="H34" s="1"/>
  <c r="E34"/>
  <c r="F33"/>
  <c r="H33" s="1"/>
  <c r="E32"/>
  <c r="F32" s="1"/>
  <c r="F31"/>
  <c r="I31" s="1"/>
  <c r="F30"/>
  <c r="H30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F92" i="28"/>
  <c r="H92" s="1"/>
  <c r="H91"/>
  <c r="I59"/>
  <c r="I90"/>
  <c r="H90"/>
  <c r="H89"/>
  <c r="F86"/>
  <c r="H86" s="1"/>
  <c r="H87" s="1"/>
  <c r="F85"/>
  <c r="I85" s="1"/>
  <c r="F83"/>
  <c r="H83" s="1"/>
  <c r="H81"/>
  <c r="I79"/>
  <c r="F79"/>
  <c r="H79" s="1"/>
  <c r="I78"/>
  <c r="F78"/>
  <c r="H78" s="1"/>
  <c r="F77"/>
  <c r="H77" s="1"/>
  <c r="F76"/>
  <c r="H76" s="1"/>
  <c r="H75"/>
  <c r="F74"/>
  <c r="H74" s="1"/>
  <c r="E72"/>
  <c r="F72" s="1"/>
  <c r="F71"/>
  <c r="H71" s="1"/>
  <c r="E70"/>
  <c r="F70" s="1"/>
  <c r="H70" s="1"/>
  <c r="F69"/>
  <c r="H69" s="1"/>
  <c r="F68"/>
  <c r="H68" s="1"/>
  <c r="F67"/>
  <c r="H67" s="1"/>
  <c r="F66"/>
  <c r="H66" s="1"/>
  <c r="F65"/>
  <c r="H65" s="1"/>
  <c r="F64"/>
  <c r="H64" s="1"/>
  <c r="I62"/>
  <c r="F61"/>
  <c r="H59"/>
  <c r="F58"/>
  <c r="H58" s="1"/>
  <c r="I55"/>
  <c r="F55"/>
  <c r="H55" s="1"/>
  <c r="I54"/>
  <c r="H54"/>
  <c r="F53"/>
  <c r="H53" s="1"/>
  <c r="E52"/>
  <c r="F52" s="1"/>
  <c r="F51"/>
  <c r="I51" s="1"/>
  <c r="F50"/>
  <c r="H50" s="1"/>
  <c r="F49"/>
  <c r="I49" s="1"/>
  <c r="F48"/>
  <c r="H48" s="1"/>
  <c r="F47"/>
  <c r="I47" s="1"/>
  <c r="F46"/>
  <c r="H46" s="1"/>
  <c r="I44"/>
  <c r="H44"/>
  <c r="F43"/>
  <c r="I43" s="1"/>
  <c r="F42"/>
  <c r="H42" s="1"/>
  <c r="H41"/>
  <c r="F40"/>
  <c r="H40" s="1"/>
  <c r="F39"/>
  <c r="I39" s="1"/>
  <c r="I38"/>
  <c r="H38"/>
  <c r="H36"/>
  <c r="H35"/>
  <c r="F34"/>
  <c r="H34" s="1"/>
  <c r="E34"/>
  <c r="F33"/>
  <c r="H33" s="1"/>
  <c r="E32"/>
  <c r="F32" s="1"/>
  <c r="F31"/>
  <c r="I31" s="1"/>
  <c r="F30"/>
  <c r="H30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90" i="27"/>
  <c r="H97"/>
  <c r="H91"/>
  <c r="H90"/>
  <c r="H89"/>
  <c r="F86"/>
  <c r="H86" s="1"/>
  <c r="F85"/>
  <c r="H85" s="1"/>
  <c r="F83"/>
  <c r="H83" s="1"/>
  <c r="H81"/>
  <c r="I79"/>
  <c r="I78"/>
  <c r="F79"/>
  <c r="H79" s="1"/>
  <c r="F78"/>
  <c r="H78" s="1"/>
  <c r="F77"/>
  <c r="H77" s="1"/>
  <c r="F76"/>
  <c r="H76" s="1"/>
  <c r="H75"/>
  <c r="F74"/>
  <c r="H74" s="1"/>
  <c r="E72"/>
  <c r="F72" s="1"/>
  <c r="H72" s="1"/>
  <c r="F71"/>
  <c r="H71" s="1"/>
  <c r="E70"/>
  <c r="F70" s="1"/>
  <c r="H70" s="1"/>
  <c r="F69"/>
  <c r="H69" s="1"/>
  <c r="F68"/>
  <c r="H68" s="1"/>
  <c r="F67"/>
  <c r="H67" s="1"/>
  <c r="F66"/>
  <c r="H66" s="1"/>
  <c r="F65"/>
  <c r="H65" s="1"/>
  <c r="F64"/>
  <c r="H64" s="1"/>
  <c r="H62"/>
  <c r="F61"/>
  <c r="H59"/>
  <c r="F58"/>
  <c r="H58" s="1"/>
  <c r="I54"/>
  <c r="F55"/>
  <c r="H55" s="1"/>
  <c r="H54"/>
  <c r="F53"/>
  <c r="H53" s="1"/>
  <c r="E52"/>
  <c r="F52" s="1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3"/>
  <c r="H43" s="1"/>
  <c r="F42"/>
  <c r="H42" s="1"/>
  <c r="H41"/>
  <c r="F40"/>
  <c r="H40" s="1"/>
  <c r="F39"/>
  <c r="I39" s="1"/>
  <c r="H38"/>
  <c r="H36"/>
  <c r="H35"/>
  <c r="F34"/>
  <c r="H34" s="1"/>
  <c r="E34"/>
  <c r="F33"/>
  <c r="H33" s="1"/>
  <c r="E32"/>
  <c r="F32" s="1"/>
  <c r="H32" s="1"/>
  <c r="F31"/>
  <c r="H31" s="1"/>
  <c r="F30"/>
  <c r="H30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I20" s="1"/>
  <c r="F19"/>
  <c r="H19" s="1"/>
  <c r="E18"/>
  <c r="F18" s="1"/>
  <c r="H18" s="1"/>
  <c r="F17"/>
  <c r="H17" s="1"/>
  <c r="F16"/>
  <c r="H16" s="1"/>
  <c r="H86" i="29" l="1"/>
  <c r="H87" s="1"/>
  <c r="H40"/>
  <c r="I18"/>
  <c r="H18"/>
  <c r="I32"/>
  <c r="H32"/>
  <c r="I52"/>
  <c r="H52"/>
  <c r="H72"/>
  <c r="I72"/>
  <c r="H82"/>
  <c r="I16"/>
  <c r="H17"/>
  <c r="I20"/>
  <c r="H21"/>
  <c r="I26"/>
  <c r="H27"/>
  <c r="I30"/>
  <c r="H31"/>
  <c r="I33"/>
  <c r="I34"/>
  <c r="H39"/>
  <c r="I42"/>
  <c r="H43"/>
  <c r="I46"/>
  <c r="H47"/>
  <c r="I48"/>
  <c r="H49"/>
  <c r="I50"/>
  <c r="H51"/>
  <c r="I53"/>
  <c r="I58"/>
  <c r="I62"/>
  <c r="I85"/>
  <c r="I18" i="28"/>
  <c r="H18"/>
  <c r="I32"/>
  <c r="H32"/>
  <c r="I72"/>
  <c r="H72"/>
  <c r="I52"/>
  <c r="H52"/>
  <c r="I16"/>
  <c r="H17"/>
  <c r="I20"/>
  <c r="H21"/>
  <c r="I26"/>
  <c r="H27"/>
  <c r="I30"/>
  <c r="H31"/>
  <c r="I33"/>
  <c r="I34"/>
  <c r="H39"/>
  <c r="I40"/>
  <c r="I42"/>
  <c r="H43"/>
  <c r="I46"/>
  <c r="H47"/>
  <c r="I48"/>
  <c r="H49"/>
  <c r="I50"/>
  <c r="H51"/>
  <c r="I53"/>
  <c r="I58"/>
  <c r="H62"/>
  <c r="H82" s="1"/>
  <c r="H85"/>
  <c r="I86"/>
  <c r="I72" i="27"/>
  <c r="H20"/>
  <c r="H21"/>
  <c r="I34"/>
  <c r="I27"/>
  <c r="I50"/>
  <c r="I48"/>
  <c r="I52"/>
  <c r="I53"/>
  <c r="I46"/>
  <c r="I49"/>
  <c r="I47"/>
  <c r="H39"/>
  <c r="I42"/>
  <c r="I43"/>
  <c r="I40"/>
  <c r="I93" i="29" l="1"/>
  <c r="I99" i="28"/>
  <c r="I85" i="27" l="1"/>
  <c r="I62"/>
  <c r="I55"/>
  <c r="I51"/>
  <c r="I38"/>
  <c r="I33"/>
  <c r="I32"/>
  <c r="I30"/>
  <c r="I17"/>
  <c r="H82" l="1"/>
  <c r="I18"/>
  <c r="I86"/>
  <c r="H87"/>
  <c r="I16"/>
  <c r="I26"/>
  <c r="I31"/>
  <c r="I58"/>
  <c r="I100" l="1"/>
</calcChain>
</file>

<file path=xl/sharedStrings.xml><?xml version="1.0" encoding="utf-8"?>
<sst xmlns="http://schemas.openxmlformats.org/spreadsheetml/2006/main" count="2831" uniqueCount="267">
  <si>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</si>
  <si>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</si>
  <si>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</si>
  <si>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</si>
  <si>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</si>
  <si>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</si>
  <si>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</si>
  <si>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</si>
  <si>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</si>
  <si>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</si>
  <si>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</si>
  <si>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</si>
  <si>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</si>
  <si>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</si>
  <si>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</si>
  <si>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</si>
  <si>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</si>
  <si>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</si>
  <si>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</si>
  <si>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</si>
  <si>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</si>
  <si>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</si>
  <si>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</si>
  <si>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</si>
  <si>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</si>
  <si>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</si>
  <si>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</si>
  <si>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</si>
  <si>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</si>
  <si>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</si>
  <si>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</si>
  <si>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</si>
  <si>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</si>
  <si>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</si>
  <si>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</si>
  <si>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</si>
  <si>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</si>
  <si>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</si>
  <si>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</si>
  <si>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</si>
  <si>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</si>
  <si>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</si>
  <si>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</si>
  <si>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</si>
  <si>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</si>
  <si>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</si>
  <si>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</si>
  <si>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</si>
  <si>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</si>
  <si>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</si>
  <si>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</si>
  <si>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</si>
  <si>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</si>
  <si>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</si>
  <si>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</si>
  <si>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</si>
  <si>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</si>
  <si>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</si>
  <si>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</si>
  <si>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</si>
  <si>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</si>
  <si>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</si>
  <si>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</si>
  <si>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</si>
  <si>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</si>
  <si>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</si>
  <si>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</si>
  <si>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</si>
  <si>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</si>
  <si>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</si>
  <si>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</si>
  <si>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</si>
  <si>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</si>
  <si>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</si>
  <si>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</si>
  <si>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Вода для промывки системы отопления</t>
  </si>
  <si>
    <t>Спуск воды после промывки системы отопления в канализацию</t>
  </si>
  <si>
    <t>Электроснабжение</t>
  </si>
  <si>
    <t>Смена ламп накаливания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</si>
  <si>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</si>
  <si>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</si>
  <si>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</si>
  <si>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</si>
  <si>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</si>
  <si>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Ремонт групповых щитков на лестничной клетке без ремонта автоматов</t>
  </si>
  <si>
    <t>Итого:</t>
  </si>
  <si>
    <t>Подключение и отключение сварочного аппарата</t>
  </si>
  <si>
    <t>Внеплановый осмотр электросетей, арматуры и электрооборудования на лестничных клетках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</si>
  <si>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</si>
  <si>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ООО «Жилсервис»</t>
  </si>
  <si>
    <t>Влажное подметание лестничных клеток 1 этажа</t>
  </si>
  <si>
    <t>Влажное подметание лестничных клеток 2-4 этажа</t>
  </si>
  <si>
    <t>Мытье лестничных  площадок и маршей 1-4 этаж.</t>
  </si>
  <si>
    <t>Смена арматуры - вентилей и клапанов обратных муфтовых диаметром до 20 мм</t>
  </si>
  <si>
    <t>генеральный директор Куканов Ю.Л.</t>
  </si>
  <si>
    <t>шт</t>
  </si>
  <si>
    <t>Дератизация</t>
  </si>
  <si>
    <t>10 м2</t>
  </si>
  <si>
    <t>Влажная протирка перил</t>
  </si>
  <si>
    <t>100м2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</si>
  <si>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</si>
  <si>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</si>
  <si>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</si>
  <si>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Снятие показаний эл.счетчика коммунального назначения</t>
  </si>
  <si>
    <t>1 шт</t>
  </si>
  <si>
    <t>Влажная протирка почтовых ящиков</t>
  </si>
  <si>
    <t>Влажная протирка шкафов для щитов и слаботочных устройств</t>
  </si>
  <si>
    <t>Мытье окон</t>
  </si>
  <si>
    <t>10м2</t>
  </si>
  <si>
    <t xml:space="preserve">1 раз в год     </t>
  </si>
  <si>
    <t>Уборка газонов</t>
  </si>
  <si>
    <t>1000м2</t>
  </si>
  <si>
    <t>Уборка контейнерной площадки (16 кв.м.)</t>
  </si>
  <si>
    <t xml:space="preserve">Пескопосыпка территории: крыльца и тротуары </t>
  </si>
  <si>
    <t>Осмотр шиферной кровли</t>
  </si>
  <si>
    <t>Осмотр электросетей, арматуры и электрооборудования на чердаках, подвалах и техэтажах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</si>
  <si>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</si>
  <si>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</si>
  <si>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100м3</t>
  </si>
  <si>
    <t>1000м3</t>
  </si>
  <si>
    <t>Техническое обслуживание наружных газопроводов</t>
  </si>
  <si>
    <t>ТО внутридомового газ.оборудования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</si>
  <si>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</si>
  <si>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</si>
  <si>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№17 по ул.Лермонтова пгт.Ярега
</t>
  </si>
  <si>
    <t>156 раз в год</t>
  </si>
  <si>
    <t>104 раза в год</t>
  </si>
  <si>
    <t>52 раза в сезон</t>
  </si>
  <si>
    <t>78 раз за сезон</t>
  </si>
  <si>
    <t>155 раз за сезон</t>
  </si>
  <si>
    <t>Смена плвкой вставки в электрощитке</t>
  </si>
  <si>
    <t>АКТ №1</t>
  </si>
  <si>
    <t xml:space="preserve"> </t>
  </si>
  <si>
    <t>Осмотр электросетей, арматуры и электооборудования на лестничных клетках</t>
  </si>
  <si>
    <t>Работа автовышки</t>
  </si>
  <si>
    <t>маш/час</t>
  </si>
  <si>
    <t>м</t>
  </si>
  <si>
    <t>Подметание территории с усовершенствованным покрытием асф.: крыльца, контейнерн пл., проезд, тротуар</t>
  </si>
  <si>
    <t>III. Проведение технических осмотров</t>
  </si>
  <si>
    <t>IV. Содержание общего имущества МКД</t>
  </si>
  <si>
    <t>V. Прочие услуги</t>
  </si>
  <si>
    <t>5 раз в год</t>
  </si>
  <si>
    <t>АКТ №2</t>
  </si>
  <si>
    <t>III. Содержание общего имущества МКД</t>
  </si>
  <si>
    <t>IV. Прочие услуги</t>
  </si>
  <si>
    <t>АКТ №7</t>
  </si>
  <si>
    <t>АКТ №8</t>
  </si>
  <si>
    <t>АКТ №9</t>
  </si>
  <si>
    <t>АКТ №10</t>
  </si>
  <si>
    <t xml:space="preserve">12 раз в год </t>
  </si>
  <si>
    <t>II. Уборка земельного участка</t>
  </si>
  <si>
    <t>Итого затраты за месяц</t>
  </si>
  <si>
    <r>
      <t xml:space="preserve">    Собственники помещений в многоквартирном доме, расположенном по адресу: пгт.Ярега, ул.Лермонтова, д.17,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27.06.2017г. стороны, и ООО «Жилсервис», именуемое в дальнейшем "Исполнитель", в лице генерального директора Куканова  Юрия 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</si>
  <si>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 xml:space="preserve">2 раза в год     </t>
  </si>
  <si>
    <t>182 раза</t>
  </si>
  <si>
    <t>Очистка урн от мусора</t>
  </si>
  <si>
    <t>18 раз за сезон</t>
  </si>
  <si>
    <t>Вывоз снега с придомовой территории</t>
  </si>
  <si>
    <t>1м3</t>
  </si>
  <si>
    <t>35 раз за сезон</t>
  </si>
  <si>
    <t>ТО внутренних сетей водопровода и канализации</t>
  </si>
  <si>
    <t>руб/м2 в мес.</t>
  </si>
  <si>
    <t>Смена светодиодных светильников в.о.</t>
  </si>
  <si>
    <t>1 шт.</t>
  </si>
  <si>
    <t>Стоимость светодиодного светильника</t>
  </si>
  <si>
    <t>руб.</t>
  </si>
  <si>
    <t>Снятие показаний с общедомовых приборов учёта электрической энергии и холодной воды</t>
  </si>
  <si>
    <t>Обслуживание общедомового прибора учета тепловой энергии</t>
  </si>
  <si>
    <t>1м</t>
  </si>
  <si>
    <t xml:space="preserve">Смена сгонов у трубопроводов диаметром до 20 мм </t>
  </si>
  <si>
    <t>1 сгон</t>
  </si>
  <si>
    <t>АКТ №11</t>
  </si>
  <si>
    <t>АКТ №12</t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</si>
  <si>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 № 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ул.Лермонтова, д.17</t>
    </r>
  </si>
  <si>
    <t>Очистка канализационной сети внутренней</t>
  </si>
  <si>
    <t>за период с 01.01.2018 г. по 31.01.2018 г.</t>
  </si>
  <si>
    <t>за период с 01.02.2018 г. по 28.02.2018 г.</t>
  </si>
  <si>
    <t>Установка счётчика горячей воды</t>
  </si>
  <si>
    <t>АКТ №3</t>
  </si>
  <si>
    <t>за период с 01.03.2018 г. по 31.03.2018 г.</t>
  </si>
  <si>
    <t>Смена арматуры - вентилей и клапанов обратных муфтовых диаметром до 32 мм</t>
  </si>
  <si>
    <t xml:space="preserve">Смена тройников у трубопроводов диаметром до 20 мм </t>
  </si>
  <si>
    <t xml:space="preserve">Вывертывание и ввертывание радиаторной пробки.   </t>
  </si>
  <si>
    <t>1 пробка</t>
  </si>
  <si>
    <t>Ниппель 1/2 НР</t>
  </si>
  <si>
    <t>по мере необходимости</t>
  </si>
  <si>
    <t>АКТ №5</t>
  </si>
  <si>
    <t>за период с 01.05.2018 г. по 31.05.2018 г.</t>
  </si>
  <si>
    <t>Внеплановый осмотр водопроводов, канализации, отопления в квартирах</t>
  </si>
  <si>
    <t>100 кв.</t>
  </si>
  <si>
    <t>АКТ №4</t>
  </si>
  <si>
    <t>за период с 01.04.2018 г. по 30.04.2018 г.</t>
  </si>
  <si>
    <t>Смена арматуры - смесителей без душевой сетки</t>
  </si>
  <si>
    <t>2. Всего за период с 01.02.2018 по 28.02.2018 выполнено работ (оказано услуг) на общую сумму: 137403,33 руб.</t>
  </si>
  <si>
    <t>(сто тридцать семь тысяч четыреста три рубля 33 копейки)</t>
  </si>
  <si>
    <t>*24</t>
  </si>
  <si>
    <t>*24-справочно</t>
  </si>
  <si>
    <t>*21</t>
  </si>
  <si>
    <t>2. Всего за период с 01.04.2018 по 30.04.2018 выполнено работ (оказано услуг) на общую сумму: 63777,99 руб.</t>
  </si>
  <si>
    <t>(шестьдесят три тысячи семьсот семьдесят семь рублей 99 копеек)</t>
  </si>
  <si>
    <t>*21-справочно</t>
  </si>
  <si>
    <t>*41</t>
  </si>
  <si>
    <t>2. Всего за период с 01.05.2018 по 31.05.2018 выполнено работ (оказано услуг) на общую сумму: 200335,47 руб.</t>
  </si>
  <si>
    <t>(двести тысяч триста тридцать пять рублей 47 копеек)</t>
  </si>
  <si>
    <t>*41-справочно</t>
  </si>
  <si>
    <t>АКТ №6</t>
  </si>
  <si>
    <t>за период с 01.06.2018 г. по 30.06.2018 г.</t>
  </si>
  <si>
    <t>Смена трубопроводов на полипропиленовые трубы PN 25Dу 20</t>
  </si>
  <si>
    <t>Вентиль(ш) Ду 15 мм</t>
  </si>
  <si>
    <t>Муфта разъемная 20*1/2 ВР</t>
  </si>
  <si>
    <t>Муфта разъемная 20*1/2 НР</t>
  </si>
  <si>
    <t>Муфта 20</t>
  </si>
  <si>
    <t>Тройник 20</t>
  </si>
  <si>
    <t>Колено 20-90</t>
  </si>
  <si>
    <t>Зачеканка раструбов канализационных труб д=до 100 мм</t>
  </si>
  <si>
    <t>(шестьдесят одна тысяча четыреста сорок четыре рубля 4 копейки)</t>
  </si>
  <si>
    <t>*16</t>
  </si>
  <si>
    <t>*16-справочно</t>
  </si>
  <si>
    <t>2. Всего за период с 01.06.2018 по 30.06.2018 выполнено работ (оказано услуг) на общую сумму: 61444,04 руб.</t>
  </si>
  <si>
    <t>ООО «Движение»</t>
  </si>
  <si>
    <t>за период с 01.07.2018 г. по 31.07.2018 г.</t>
  </si>
  <si>
    <r>
      <t xml:space="preserve">    Собственники помещений в многоквартирном доме, расположенном по адресу: пгт.Ярега, ул.Лермонтова, д.17,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27.06.2017г. стороны, и ООО «Движение», именуемое в дальнейшем "Исполнитель", в лице генерального директора Куканова  Юрия 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</si>
  <si>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Внеплановый осмотр кровель из штучных материалов</t>
  </si>
  <si>
    <t>*19</t>
  </si>
  <si>
    <t>*19-справочно</t>
  </si>
  <si>
    <t>2. Всего за период с 01.07.2018 по 31.07.2018 выполнено работ (оказано услуг) на общую сумму: 60951,53 руб.</t>
  </si>
  <si>
    <t>(шестьдесят тысяч девятьсот пятьдесят один рубль 53 копейки)</t>
  </si>
  <si>
    <t>2. Всего за период с 01.01.2018 по 31.01.2018 выполнено работ (оказано услуг) на общую сумму: 75086,69  руб.</t>
  </si>
  <si>
    <t>(семьдесят пять тысяч восемьдесят шесть рублей 69  копеек)</t>
  </si>
  <si>
    <t>*23</t>
  </si>
  <si>
    <t>*23-справочно</t>
  </si>
  <si>
    <t>2. Всего за период с 01.03.2018 по 31.03.2018 выполнено работ (оказано услуг) на общую сумму: 62206,60 руб.</t>
  </si>
  <si>
    <t>(шестьдесят две тысячи двести шесть рублей 60 копеек)</t>
  </si>
  <si>
    <t>за период с 01.08.2018 г. по 31.08.2018 г.</t>
  </si>
  <si>
    <t>Смена полипропиленовых канализационных труб Ду 50* 2м</t>
  </si>
  <si>
    <t>Отвод Ду 50*90</t>
  </si>
  <si>
    <t>Внеплановый осмотр водопроводов, канализации, отопления</t>
  </si>
  <si>
    <t>100 шт</t>
  </si>
  <si>
    <t>Спуск и наполнение воды системы отопления без осмотра системы</t>
  </si>
  <si>
    <t>1000мЗ  здания</t>
  </si>
  <si>
    <t>Установка хомута диаметром до 50 мм</t>
  </si>
  <si>
    <t>место</t>
  </si>
  <si>
    <t>*18</t>
  </si>
  <si>
    <t>*18-справочно</t>
  </si>
  <si>
    <t>2. Всего за период с 01.08.2018 по 31.08.2018 выполнено работ (оказано услуг) на общую сумму: 60397,78 руб.</t>
  </si>
  <si>
    <t>(шестьдесят тысяч триста девяносто семь рублей 78 копеек)</t>
  </si>
  <si>
    <t>за период с 01.09.2018 г. по 30.09.2018 г.</t>
  </si>
  <si>
    <t>Закрепили батарею в подъезде (1 под)</t>
  </si>
  <si>
    <t>*28</t>
  </si>
  <si>
    <t>2. Всего за период с 01.09.2018 по 30.09.2018 выполнено работ (оказано услуг) на общую сумму: 80759,75 руб.</t>
  </si>
  <si>
    <t>(восемьдесят тысяч семьсот пятьдесят девять рублей 75 копеек)</t>
  </si>
  <si>
    <t>за период с 01.10.2018 г. по 31.10.2018 г.</t>
  </si>
  <si>
    <t>Демонтаж секции радиатора</t>
  </si>
  <si>
    <t>радиатор</t>
  </si>
  <si>
    <t>Разборка гипсокартона для работ ВДИС</t>
  </si>
  <si>
    <t>2. Всего за период с 01.10.2018 по 31.10.2018 выполнено работ (оказано услуг) на общую сумму: 69238,20 руб.</t>
  </si>
  <si>
    <t>(шестьдесят девять тысяч двести тридцать восемь рублей 20 копеек)</t>
  </si>
  <si>
    <t>за период с 01.11.2018 г. по 30.11.2018 г.</t>
  </si>
  <si>
    <t>Очистка вручную от снега и наледи люков каналиационных и водопроводных колодцев</t>
  </si>
  <si>
    <t>2. Всего за период с 01.11.2018 по 30.11.2018 выполнено работ (оказано услуг) на общую сумму: 46475,98 руб.</t>
  </si>
  <si>
    <t>(сорок шесть тысяч четыреста семьдесят пять рублей 98 копеек)</t>
  </si>
  <si>
    <t>за период с 01.12.2018 г. по 31.12.2018 г.</t>
  </si>
  <si>
    <t>100шт</t>
  </si>
  <si>
    <t>Смена плавкой вставки</t>
  </si>
  <si>
    <t>Смена автомата на ток до 25А</t>
  </si>
  <si>
    <t>2. Всего за период с 01.12.2018 по 31.12.2018 выполнено работ (оказано услуг) на общую сумму: 58035,78 руб.</t>
  </si>
  <si>
    <t>(пятьдесят восемь тысяч тридцать пять рублей 78 копеек)</t>
  </si>
</sst>
</file>

<file path=xl/styles.xml><?xml version="1.0" encoding="utf-8"?>
<styleSheet xmlns="http://schemas.openxmlformats.org/spreadsheetml/2006/main">
  <numFmts count="1">
    <numFmt numFmtId="164" formatCode="#,##0.000"/>
  </numFmts>
  <fonts count="2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0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4" fontId="11" fillId="4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3" borderId="3" xfId="0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4" fontId="11" fillId="3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164" fontId="11" fillId="0" borderId="15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vertical="center"/>
    </xf>
    <xf numFmtId="4" fontId="17" fillId="0" borderId="9" xfId="0" applyNumberFormat="1" applyFont="1" applyFill="1" applyBorder="1" applyAlignment="1">
      <alignment horizontal="center" vertical="center" wrapText="1"/>
    </xf>
    <xf numFmtId="4" fontId="11" fillId="0" borderId="11" xfId="0" applyNumberFormat="1" applyFont="1" applyFill="1" applyBorder="1" applyAlignment="1">
      <alignment horizontal="center" vertical="center" wrapText="1"/>
    </xf>
    <xf numFmtId="4" fontId="11" fillId="0" borderId="17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164" fontId="11" fillId="0" borderId="17" xfId="0" applyNumberFormat="1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3" xfId="0" applyNumberFormat="1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 wrapText="1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/>
    </xf>
    <xf numFmtId="1" fontId="11" fillId="0" borderId="7" xfId="0" applyNumberFormat="1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center" vertical="center" wrapText="1"/>
    </xf>
    <xf numFmtId="4" fontId="11" fillId="0" borderId="19" xfId="0" applyNumberFormat="1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4" fontId="18" fillId="2" borderId="5" xfId="0" applyNumberFormat="1" applyFont="1" applyFill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left" vertical="center"/>
    </xf>
    <xf numFmtId="4" fontId="11" fillId="3" borderId="9" xfId="0" applyNumberFormat="1" applyFont="1" applyFill="1" applyBorder="1" applyAlignment="1">
      <alignment horizontal="center" vertical="center" wrapText="1"/>
    </xf>
    <xf numFmtId="4" fontId="11" fillId="2" borderId="15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/>
    </xf>
    <xf numFmtId="4" fontId="11" fillId="2" borderId="9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 wrapText="1"/>
    </xf>
    <xf numFmtId="4" fontId="11" fillId="2" borderId="18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4" fontId="11" fillId="2" borderId="17" xfId="0" applyNumberFormat="1" applyFont="1" applyFill="1" applyBorder="1" applyAlignment="1">
      <alignment horizontal="center" vertical="center"/>
    </xf>
    <xf numFmtId="0" fontId="14" fillId="0" borderId="0" xfId="0" applyFont="1"/>
    <xf numFmtId="0" fontId="11" fillId="4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center" wrapText="1"/>
    </xf>
    <xf numFmtId="4" fontId="11" fillId="2" borderId="0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/>
    </xf>
    <xf numFmtId="4" fontId="11" fillId="2" borderId="6" xfId="0" applyNumberFormat="1" applyFont="1" applyFill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/>
    </xf>
    <xf numFmtId="4" fontId="11" fillId="3" borderId="6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3" fillId="3" borderId="11" xfId="0" applyFont="1" applyFill="1" applyBorder="1" applyAlignment="1">
      <alignment horizontal="center" vertical="center" wrapText="1"/>
    </xf>
    <xf numFmtId="2" fontId="11" fillId="2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9" fillId="2" borderId="14" xfId="0" applyFont="1" applyFill="1" applyBorder="1" applyAlignment="1">
      <alignment horizontal="left" vertical="center" wrapText="1"/>
    </xf>
    <xf numFmtId="0" fontId="11" fillId="2" borderId="14" xfId="0" applyNumberFormat="1" applyFont="1" applyFill="1" applyBorder="1" applyAlignment="1" applyProtection="1">
      <alignment horizontal="left" vertical="center" wrapText="1"/>
    </xf>
    <xf numFmtId="0" fontId="11" fillId="2" borderId="14" xfId="0" applyNumberFormat="1" applyFont="1" applyFill="1" applyBorder="1" applyAlignment="1" applyProtection="1">
      <alignment horizontal="center" vertical="center"/>
    </xf>
    <xf numFmtId="4" fontId="11" fillId="2" borderId="14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1" fillId="0" borderId="6" xfId="0" applyFont="1" applyBorder="1" applyAlignment="1"/>
    <xf numFmtId="0" fontId="0" fillId="0" borderId="6" xfId="0" applyBorder="1" applyAlignme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5"/>
  <sheetViews>
    <sheetView workbookViewId="0">
      <selection activeCell="B96" sqref="B96:G9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89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82" t="s">
        <v>131</v>
      </c>
      <c r="B3" s="182"/>
      <c r="C3" s="182"/>
      <c r="D3" s="182"/>
      <c r="E3" s="182"/>
      <c r="F3" s="182"/>
      <c r="G3" s="182"/>
      <c r="H3" s="182"/>
      <c r="I3" s="182"/>
      <c r="J3" s="3"/>
      <c r="K3" s="3"/>
      <c r="L3" s="3"/>
    </row>
    <row r="4" spans="1:13" ht="31.5" customHeight="1">
      <c r="A4" s="183" t="s">
        <v>124</v>
      </c>
      <c r="B4" s="183"/>
      <c r="C4" s="183"/>
      <c r="D4" s="183"/>
      <c r="E4" s="183"/>
      <c r="F4" s="183"/>
      <c r="G4" s="183"/>
      <c r="H4" s="183"/>
      <c r="I4" s="183"/>
    </row>
    <row r="5" spans="1:13" ht="15.75" customHeight="1">
      <c r="A5" s="182" t="s">
        <v>175</v>
      </c>
      <c r="B5" s="184"/>
      <c r="C5" s="184"/>
      <c r="D5" s="184"/>
      <c r="E5" s="184"/>
      <c r="F5" s="184"/>
      <c r="G5" s="184"/>
      <c r="H5" s="184"/>
      <c r="I5" s="184"/>
      <c r="J5" s="2"/>
      <c r="K5" s="2"/>
      <c r="L5" s="2"/>
      <c r="M5" s="2"/>
    </row>
    <row r="6" spans="1:13" ht="15.75" customHeight="1">
      <c r="A6" s="2"/>
      <c r="B6" s="147"/>
      <c r="C6" s="147"/>
      <c r="D6" s="147"/>
      <c r="E6" s="147"/>
      <c r="F6" s="147"/>
      <c r="G6" s="147"/>
      <c r="H6" s="147"/>
      <c r="I6" s="30">
        <v>43131</v>
      </c>
      <c r="J6" s="2"/>
      <c r="K6" s="2"/>
      <c r="L6" s="2"/>
      <c r="M6" s="2"/>
    </row>
    <row r="7" spans="1:13" ht="15.75" customHeight="1">
      <c r="B7" s="145"/>
      <c r="C7" s="145"/>
      <c r="D7" s="14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85" t="s">
        <v>152</v>
      </c>
      <c r="B8" s="185"/>
      <c r="C8" s="185"/>
      <c r="D8" s="185"/>
      <c r="E8" s="185"/>
      <c r="F8" s="185"/>
      <c r="G8" s="185"/>
      <c r="H8" s="185"/>
      <c r="I8" s="18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86" t="s">
        <v>173</v>
      </c>
      <c r="B10" s="186"/>
      <c r="C10" s="186"/>
      <c r="D10" s="186"/>
      <c r="E10" s="186"/>
      <c r="F10" s="186"/>
      <c r="G10" s="186"/>
      <c r="H10" s="186"/>
      <c r="I10" s="18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7" t="s">
        <v>61</v>
      </c>
      <c r="B14" s="177"/>
      <c r="C14" s="177"/>
      <c r="D14" s="177"/>
      <c r="E14" s="177"/>
      <c r="F14" s="177"/>
      <c r="G14" s="177"/>
      <c r="H14" s="177"/>
      <c r="I14" s="177"/>
      <c r="J14" s="8"/>
      <c r="K14" s="8"/>
      <c r="L14" s="8"/>
      <c r="M14" s="8"/>
    </row>
    <row r="15" spans="1:13" ht="15.75" customHeight="1">
      <c r="A15" s="178" t="s">
        <v>4</v>
      </c>
      <c r="B15" s="178"/>
      <c r="C15" s="178"/>
      <c r="D15" s="178"/>
      <c r="E15" s="178"/>
      <c r="F15" s="178"/>
      <c r="G15" s="178"/>
      <c r="H15" s="178"/>
      <c r="I15" s="178"/>
      <c r="J15" s="8"/>
      <c r="K15" s="8"/>
      <c r="L15" s="8"/>
      <c r="M15" s="8"/>
    </row>
    <row r="16" spans="1:13" ht="15.75" customHeight="1">
      <c r="A16" s="29">
        <v>1</v>
      </c>
      <c r="B16" s="71" t="s">
        <v>90</v>
      </c>
      <c r="C16" s="72" t="s">
        <v>99</v>
      </c>
      <c r="D16" s="71" t="s">
        <v>125</v>
      </c>
      <c r="E16" s="73">
        <v>92.5</v>
      </c>
      <c r="F16" s="74">
        <f>SUM(E16*156/100)</f>
        <v>144.30000000000001</v>
      </c>
      <c r="G16" s="74">
        <v>230</v>
      </c>
      <c r="H16" s="78">
        <f t="shared" ref="H16:H25" si="0">SUM(F16*G16/1000)</f>
        <v>33.189</v>
      </c>
      <c r="I16" s="13">
        <f>F16/12*G16</f>
        <v>2765.75</v>
      </c>
      <c r="J16" s="8"/>
      <c r="K16" s="8"/>
      <c r="L16" s="8"/>
      <c r="M16" s="8"/>
    </row>
    <row r="17" spans="1:13" ht="15.75" customHeight="1">
      <c r="A17" s="29">
        <v>2</v>
      </c>
      <c r="B17" s="71" t="s">
        <v>91</v>
      </c>
      <c r="C17" s="72" t="s">
        <v>99</v>
      </c>
      <c r="D17" s="71" t="s">
        <v>126</v>
      </c>
      <c r="E17" s="73">
        <v>288.8</v>
      </c>
      <c r="F17" s="74">
        <f>SUM(E17*104/100)</f>
        <v>300.35200000000003</v>
      </c>
      <c r="G17" s="74">
        <v>230</v>
      </c>
      <c r="H17" s="78">
        <f t="shared" si="0"/>
        <v>69.080960000000005</v>
      </c>
      <c r="I17" s="13">
        <f>F17/12*G17</f>
        <v>5756.7466666666678</v>
      </c>
      <c r="J17" s="22"/>
      <c r="K17" s="8"/>
      <c r="L17" s="8"/>
      <c r="M17" s="8"/>
    </row>
    <row r="18" spans="1:13" ht="15.75" customHeight="1">
      <c r="A18" s="29">
        <v>3</v>
      </c>
      <c r="B18" s="71" t="s">
        <v>92</v>
      </c>
      <c r="C18" s="72" t="s">
        <v>99</v>
      </c>
      <c r="D18" s="71" t="s">
        <v>149</v>
      </c>
      <c r="E18" s="73">
        <f>SUM(E16+E17)</f>
        <v>381.3</v>
      </c>
      <c r="F18" s="74">
        <f>SUM(E18*12/100)</f>
        <v>45.756</v>
      </c>
      <c r="G18" s="74">
        <v>661.67</v>
      </c>
      <c r="H18" s="78">
        <f t="shared" si="0"/>
        <v>30.275372519999998</v>
      </c>
      <c r="I18" s="13">
        <f>F18/12*G18</f>
        <v>2522.9477099999999</v>
      </c>
      <c r="J18" s="22"/>
      <c r="K18" s="8"/>
      <c r="L18" s="8"/>
      <c r="M18" s="8"/>
    </row>
    <row r="19" spans="1:13" ht="15.75" hidden="1" customHeight="1">
      <c r="A19" s="29">
        <v>4</v>
      </c>
      <c r="B19" s="71" t="s">
        <v>107</v>
      </c>
      <c r="C19" s="72" t="s">
        <v>108</v>
      </c>
      <c r="D19" s="71" t="s">
        <v>109</v>
      </c>
      <c r="E19" s="73">
        <v>19.2</v>
      </c>
      <c r="F19" s="74">
        <f>SUM(E19/10)</f>
        <v>1.92</v>
      </c>
      <c r="G19" s="74">
        <v>223.17</v>
      </c>
      <c r="H19" s="78">
        <f t="shared" si="0"/>
        <v>0.42848639999999993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4</v>
      </c>
      <c r="B20" s="71" t="s">
        <v>98</v>
      </c>
      <c r="C20" s="72" t="s">
        <v>99</v>
      </c>
      <c r="D20" s="71" t="s">
        <v>153</v>
      </c>
      <c r="E20" s="73">
        <v>27.3</v>
      </c>
      <c r="F20" s="74">
        <f>SUM(E20*2/100)</f>
        <v>0.54600000000000004</v>
      </c>
      <c r="G20" s="74">
        <v>285.76</v>
      </c>
      <c r="H20" s="78">
        <f t="shared" si="0"/>
        <v>0.15602495999999999</v>
      </c>
      <c r="I20" s="13">
        <f>F20/2*G20</f>
        <v>78.012479999999996</v>
      </c>
      <c r="J20" s="22"/>
      <c r="K20" s="8"/>
      <c r="L20" s="8"/>
      <c r="M20" s="8"/>
    </row>
    <row r="21" spans="1:13" ht="15.75" hidden="1" customHeight="1">
      <c r="A21" s="29">
        <v>5</v>
      </c>
      <c r="B21" s="71" t="s">
        <v>105</v>
      </c>
      <c r="C21" s="72" t="s">
        <v>99</v>
      </c>
      <c r="D21" s="71" t="s">
        <v>153</v>
      </c>
      <c r="E21" s="73">
        <v>9.08</v>
      </c>
      <c r="F21" s="74">
        <f>SUM(E21*2/100)</f>
        <v>0.18160000000000001</v>
      </c>
      <c r="G21" s="74">
        <v>283.44</v>
      </c>
      <c r="H21" s="78">
        <f>SUM(F21*G21/1000)</f>
        <v>5.1472704000000001E-2</v>
      </c>
      <c r="I21" s="13">
        <f>F21/2*G21</f>
        <v>25.736352</v>
      </c>
      <c r="J21" s="22"/>
      <c r="K21" s="8"/>
      <c r="L21" s="8"/>
      <c r="M21" s="8"/>
    </row>
    <row r="22" spans="1:13" ht="15.75" hidden="1" customHeight="1">
      <c r="A22" s="29">
        <v>7</v>
      </c>
      <c r="B22" s="71" t="s">
        <v>100</v>
      </c>
      <c r="C22" s="72" t="s">
        <v>54</v>
      </c>
      <c r="D22" s="71" t="s">
        <v>109</v>
      </c>
      <c r="E22" s="76">
        <v>30</v>
      </c>
      <c r="F22" s="74">
        <f>SUM(E22/100)</f>
        <v>0.3</v>
      </c>
      <c r="G22" s="74">
        <v>58.08</v>
      </c>
      <c r="H22" s="78">
        <f t="shared" si="0"/>
        <v>1.7423999999999999E-2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6</v>
      </c>
      <c r="B23" s="71" t="s">
        <v>101</v>
      </c>
      <c r="C23" s="72" t="s">
        <v>54</v>
      </c>
      <c r="D23" s="71" t="s">
        <v>109</v>
      </c>
      <c r="E23" s="73">
        <v>20</v>
      </c>
      <c r="F23" s="74">
        <f>SUM(E23/100)</f>
        <v>0.2</v>
      </c>
      <c r="G23" s="74">
        <v>511.12</v>
      </c>
      <c r="H23" s="78">
        <f t="shared" si="0"/>
        <v>0.10222400000000001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71" t="s">
        <v>102</v>
      </c>
      <c r="C24" s="72" t="s">
        <v>54</v>
      </c>
      <c r="D24" s="71" t="s">
        <v>109</v>
      </c>
      <c r="E24" s="73">
        <v>8.5</v>
      </c>
      <c r="F24" s="74">
        <f>SUM(E24/100)</f>
        <v>8.5000000000000006E-2</v>
      </c>
      <c r="G24" s="74">
        <v>683.05</v>
      </c>
      <c r="H24" s="78">
        <f t="shared" si="0"/>
        <v>5.805925E-2</v>
      </c>
      <c r="I24" s="13">
        <v>0</v>
      </c>
      <c r="J24" s="22"/>
      <c r="K24" s="8"/>
      <c r="L24" s="8"/>
      <c r="M24" s="8"/>
    </row>
    <row r="25" spans="1:13" ht="15.75" hidden="1" customHeight="1">
      <c r="A25" s="94">
        <v>7</v>
      </c>
      <c r="B25" s="83" t="s">
        <v>106</v>
      </c>
      <c r="C25" s="84" t="s">
        <v>54</v>
      </c>
      <c r="D25" s="83" t="s">
        <v>55</v>
      </c>
      <c r="E25" s="81">
        <v>20</v>
      </c>
      <c r="F25" s="85">
        <f>SUM(E25/100)</f>
        <v>0.2</v>
      </c>
      <c r="G25" s="85">
        <v>283.44</v>
      </c>
      <c r="H25" s="82">
        <f t="shared" si="0"/>
        <v>5.6688000000000002E-2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4</v>
      </c>
      <c r="B26" s="34" t="s">
        <v>66</v>
      </c>
      <c r="C26" s="44" t="s">
        <v>33</v>
      </c>
      <c r="D26" s="34" t="s">
        <v>154</v>
      </c>
      <c r="E26" s="118">
        <v>0.05</v>
      </c>
      <c r="F26" s="33">
        <f>SUM(E26*182)</f>
        <v>9.1</v>
      </c>
      <c r="G26" s="33">
        <v>264.85000000000002</v>
      </c>
      <c r="H26" s="119">
        <f t="shared" ref="H26:H27" si="1">SUM(F26*G26/1000)</f>
        <v>2.4101350000000004</v>
      </c>
      <c r="I26" s="13">
        <f>F26/12*G26</f>
        <v>200.84458333333333</v>
      </c>
      <c r="J26" s="23"/>
    </row>
    <row r="27" spans="1:13" ht="15.75" customHeight="1">
      <c r="A27" s="29">
        <v>5</v>
      </c>
      <c r="B27" s="120" t="s">
        <v>23</v>
      </c>
      <c r="C27" s="44" t="s">
        <v>24</v>
      </c>
      <c r="D27" s="34"/>
      <c r="E27" s="121">
        <v>3053.4</v>
      </c>
      <c r="F27" s="33">
        <f>SUM(E27*12)</f>
        <v>36640.800000000003</v>
      </c>
      <c r="G27" s="33">
        <v>4.09</v>
      </c>
      <c r="H27" s="119">
        <f t="shared" si="1"/>
        <v>149.860872</v>
      </c>
      <c r="I27" s="13">
        <f>F27/12*G27</f>
        <v>12488.405999999999</v>
      </c>
      <c r="J27" s="23"/>
    </row>
    <row r="28" spans="1:13" ht="15.75" customHeight="1">
      <c r="A28" s="178" t="s">
        <v>150</v>
      </c>
      <c r="B28" s="178"/>
      <c r="C28" s="178"/>
      <c r="D28" s="178"/>
      <c r="E28" s="178"/>
      <c r="F28" s="178"/>
      <c r="G28" s="178"/>
      <c r="H28" s="178"/>
      <c r="I28" s="178"/>
      <c r="J28" s="22"/>
      <c r="K28" s="8"/>
      <c r="L28" s="8"/>
      <c r="M28" s="8"/>
    </row>
    <row r="29" spans="1:13" ht="15.75" hidden="1" customHeight="1">
      <c r="A29" s="96"/>
      <c r="B29" s="104" t="s">
        <v>28</v>
      </c>
      <c r="C29" s="98"/>
      <c r="D29" s="97"/>
      <c r="E29" s="99"/>
      <c r="F29" s="100"/>
      <c r="G29" s="100"/>
      <c r="H29" s="105"/>
      <c r="I29" s="106"/>
      <c r="J29" s="22"/>
      <c r="K29" s="8"/>
      <c r="L29" s="8"/>
      <c r="M29" s="8"/>
    </row>
    <row r="30" spans="1:13" ht="15.75" hidden="1" customHeight="1">
      <c r="A30" s="29">
        <v>6</v>
      </c>
      <c r="B30" s="71" t="s">
        <v>110</v>
      </c>
      <c r="C30" s="72" t="s">
        <v>111</v>
      </c>
      <c r="D30" s="71" t="s">
        <v>127</v>
      </c>
      <c r="E30" s="74">
        <v>317.7</v>
      </c>
      <c r="F30" s="74">
        <f>SUM(E30*52/1000)</f>
        <v>16.520399999999999</v>
      </c>
      <c r="G30" s="74">
        <v>204.44</v>
      </c>
      <c r="H30" s="78">
        <f t="shared" ref="H30:H36" si="2">SUM(F30*G30/1000)</f>
        <v>3.3774305759999996</v>
      </c>
      <c r="I30" s="13">
        <f t="shared" ref="I30:I34" si="3">F30/6*G30</f>
        <v>562.90509599999996</v>
      </c>
      <c r="J30" s="22"/>
      <c r="K30" s="8"/>
      <c r="L30" s="8"/>
      <c r="M30" s="8"/>
    </row>
    <row r="31" spans="1:13" ht="31.5" hidden="1" customHeight="1">
      <c r="A31" s="29">
        <v>7</v>
      </c>
      <c r="B31" s="71" t="s">
        <v>137</v>
      </c>
      <c r="C31" s="72" t="s">
        <v>111</v>
      </c>
      <c r="D31" s="71" t="s">
        <v>128</v>
      </c>
      <c r="E31" s="74">
        <v>146.1</v>
      </c>
      <c r="F31" s="74">
        <f>SUM(E31*78/1000)</f>
        <v>11.395799999999999</v>
      </c>
      <c r="G31" s="74">
        <v>339.21</v>
      </c>
      <c r="H31" s="78">
        <f t="shared" si="2"/>
        <v>3.8655693179999995</v>
      </c>
      <c r="I31" s="13">
        <f t="shared" si="3"/>
        <v>644.26155299999994</v>
      </c>
      <c r="J31" s="22"/>
      <c r="K31" s="8"/>
      <c r="L31" s="8"/>
      <c r="M31" s="8"/>
    </row>
    <row r="32" spans="1:13" ht="15.75" hidden="1" customHeight="1">
      <c r="A32" s="29">
        <v>11</v>
      </c>
      <c r="B32" s="71" t="s">
        <v>27</v>
      </c>
      <c r="C32" s="72" t="s">
        <v>111</v>
      </c>
      <c r="D32" s="71" t="s">
        <v>55</v>
      </c>
      <c r="E32" s="74">
        <f>E30</f>
        <v>317.7</v>
      </c>
      <c r="F32" s="74">
        <f>SUM(E32/1000)</f>
        <v>0.31769999999999998</v>
      </c>
      <c r="G32" s="74">
        <v>3961.23</v>
      </c>
      <c r="H32" s="78">
        <f t="shared" si="2"/>
        <v>1.2584827709999999</v>
      </c>
      <c r="I32" s="13">
        <f>F32*G32</f>
        <v>1258.482771</v>
      </c>
      <c r="J32" s="22"/>
      <c r="K32" s="8"/>
      <c r="L32" s="8"/>
      <c r="M32" s="8"/>
    </row>
    <row r="33" spans="1:14" ht="15.75" hidden="1" customHeight="1">
      <c r="A33" s="29">
        <v>8</v>
      </c>
      <c r="B33" s="71" t="s">
        <v>155</v>
      </c>
      <c r="C33" s="72" t="s">
        <v>41</v>
      </c>
      <c r="D33" s="71" t="s">
        <v>65</v>
      </c>
      <c r="E33" s="74">
        <v>5</v>
      </c>
      <c r="F33" s="74">
        <f>E33*155/100</f>
        <v>7.75</v>
      </c>
      <c r="G33" s="74">
        <v>1707.63</v>
      </c>
      <c r="H33" s="78">
        <f t="shared" si="2"/>
        <v>13.234132500000001</v>
      </c>
      <c r="I33" s="13">
        <f t="shared" si="3"/>
        <v>2205.6887500000003</v>
      </c>
      <c r="J33" s="22"/>
      <c r="K33" s="8"/>
      <c r="L33" s="8"/>
      <c r="M33" s="8"/>
    </row>
    <row r="34" spans="1:14" ht="15.75" hidden="1" customHeight="1">
      <c r="A34" s="29">
        <v>9</v>
      </c>
      <c r="B34" s="71" t="s">
        <v>112</v>
      </c>
      <c r="C34" s="72" t="s">
        <v>31</v>
      </c>
      <c r="D34" s="71" t="s">
        <v>65</v>
      </c>
      <c r="E34" s="80">
        <f>1/6</f>
        <v>0.16666666666666666</v>
      </c>
      <c r="F34" s="74">
        <f>155/6</f>
        <v>25.833333333333332</v>
      </c>
      <c r="G34" s="74">
        <v>74.349999999999994</v>
      </c>
      <c r="H34" s="78">
        <f t="shared" si="2"/>
        <v>1.920708333333333</v>
      </c>
      <c r="I34" s="13">
        <f t="shared" si="3"/>
        <v>320.11805555555554</v>
      </c>
      <c r="J34" s="22"/>
      <c r="K34" s="8"/>
      <c r="L34" s="8"/>
      <c r="M34" s="8"/>
    </row>
    <row r="35" spans="1:14" ht="15.75" hidden="1" customHeight="1">
      <c r="A35" s="29"/>
      <c r="B35" s="34" t="s">
        <v>67</v>
      </c>
      <c r="C35" s="44" t="s">
        <v>33</v>
      </c>
      <c r="D35" s="34" t="s">
        <v>69</v>
      </c>
      <c r="E35" s="121"/>
      <c r="F35" s="33">
        <v>2</v>
      </c>
      <c r="G35" s="33">
        <v>250.92</v>
      </c>
      <c r="H35" s="119">
        <f t="shared" si="2"/>
        <v>0.50183999999999995</v>
      </c>
      <c r="I35" s="13">
        <v>0</v>
      </c>
      <c r="J35" s="22"/>
      <c r="K35" s="8"/>
    </row>
    <row r="36" spans="1:14" ht="15.75" hidden="1" customHeight="1">
      <c r="A36" s="29"/>
      <c r="B36" s="34" t="s">
        <v>68</v>
      </c>
      <c r="C36" s="44" t="s">
        <v>32</v>
      </c>
      <c r="D36" s="34" t="s">
        <v>69</v>
      </c>
      <c r="E36" s="121"/>
      <c r="F36" s="33">
        <v>1</v>
      </c>
      <c r="G36" s="33">
        <v>1490.31</v>
      </c>
      <c r="H36" s="119">
        <f t="shared" si="2"/>
        <v>1.49031</v>
      </c>
      <c r="I36" s="13"/>
      <c r="J36" s="22"/>
      <c r="K36" s="8"/>
    </row>
    <row r="37" spans="1:14" ht="15.75" customHeight="1">
      <c r="A37" s="29"/>
      <c r="B37" s="93" t="s">
        <v>5</v>
      </c>
      <c r="C37" s="72"/>
      <c r="D37" s="71"/>
      <c r="E37" s="73"/>
      <c r="F37" s="74"/>
      <c r="G37" s="74"/>
      <c r="H37" s="78" t="s">
        <v>132</v>
      </c>
      <c r="I37" s="79"/>
      <c r="J37" s="23"/>
    </row>
    <row r="38" spans="1:14" ht="15.75" customHeight="1">
      <c r="A38" s="29">
        <v>9</v>
      </c>
      <c r="B38" s="71" t="s">
        <v>26</v>
      </c>
      <c r="C38" s="72" t="s">
        <v>32</v>
      </c>
      <c r="D38" s="71"/>
      <c r="E38" s="73"/>
      <c r="F38" s="74">
        <v>3</v>
      </c>
      <c r="G38" s="74">
        <v>2003</v>
      </c>
      <c r="H38" s="78">
        <f t="shared" ref="H38:H44" si="4">SUM(F38*G38/1000)</f>
        <v>6.0090000000000003</v>
      </c>
      <c r="I38" s="13">
        <f t="shared" ref="I38:I42" si="5">F38/6*G38</f>
        <v>1001.5</v>
      </c>
      <c r="J38" s="23"/>
    </row>
    <row r="39" spans="1:14" ht="15.75" customHeight="1">
      <c r="A39" s="29">
        <v>10</v>
      </c>
      <c r="B39" s="71" t="s">
        <v>70</v>
      </c>
      <c r="C39" s="72" t="s">
        <v>29</v>
      </c>
      <c r="D39" s="71" t="s">
        <v>156</v>
      </c>
      <c r="E39" s="74">
        <v>160.6</v>
      </c>
      <c r="F39" s="74">
        <f>SUM(E39*18/1000)</f>
        <v>2.8907999999999996</v>
      </c>
      <c r="G39" s="74">
        <v>2757.78</v>
      </c>
      <c r="H39" s="78">
        <f t="shared" si="4"/>
        <v>7.972190423999999</v>
      </c>
      <c r="I39" s="13">
        <f t="shared" si="5"/>
        <v>1328.698404</v>
      </c>
      <c r="J39" s="23"/>
    </row>
    <row r="40" spans="1:14" ht="15.75" customHeight="1">
      <c r="A40" s="29">
        <v>11</v>
      </c>
      <c r="B40" s="71" t="s">
        <v>71</v>
      </c>
      <c r="C40" s="72" t="s">
        <v>29</v>
      </c>
      <c r="D40" s="71" t="s">
        <v>129</v>
      </c>
      <c r="E40" s="73">
        <v>89.1</v>
      </c>
      <c r="F40" s="74">
        <f>SUM(E40*155/1000)</f>
        <v>13.810499999999999</v>
      </c>
      <c r="G40" s="74">
        <v>460.02</v>
      </c>
      <c r="H40" s="78">
        <f t="shared" si="4"/>
        <v>6.3531062099999991</v>
      </c>
      <c r="I40" s="13">
        <f t="shared" si="5"/>
        <v>1058.8510349999999</v>
      </c>
      <c r="J40" s="23"/>
    </row>
    <row r="41" spans="1:14" ht="15.75" hidden="1" customHeight="1">
      <c r="A41" s="29">
        <v>12</v>
      </c>
      <c r="B41" s="71" t="s">
        <v>157</v>
      </c>
      <c r="C41" s="72" t="s">
        <v>158</v>
      </c>
      <c r="D41" s="71" t="s">
        <v>69</v>
      </c>
      <c r="E41" s="73"/>
      <c r="F41" s="74">
        <v>39</v>
      </c>
      <c r="G41" s="74">
        <v>301.70999999999998</v>
      </c>
      <c r="H41" s="78">
        <f t="shared" si="4"/>
        <v>11.766689999999999</v>
      </c>
      <c r="I41" s="13">
        <v>0</v>
      </c>
      <c r="J41" s="23"/>
    </row>
    <row r="42" spans="1:14" ht="47.25" customHeight="1">
      <c r="A42" s="29">
        <v>12</v>
      </c>
      <c r="B42" s="71" t="s">
        <v>88</v>
      </c>
      <c r="C42" s="72" t="s">
        <v>111</v>
      </c>
      <c r="D42" s="71" t="s">
        <v>159</v>
      </c>
      <c r="E42" s="74">
        <v>46.5</v>
      </c>
      <c r="F42" s="74">
        <f>SUM(E42*35/1000)</f>
        <v>1.6274999999999999</v>
      </c>
      <c r="G42" s="74">
        <v>7611.16</v>
      </c>
      <c r="H42" s="78">
        <f t="shared" si="4"/>
        <v>12.3871629</v>
      </c>
      <c r="I42" s="13">
        <f t="shared" si="5"/>
        <v>2064.5271499999999</v>
      </c>
      <c r="J42" s="23"/>
      <c r="L42" s="19"/>
      <c r="M42" s="20"/>
      <c r="N42" s="21"/>
    </row>
    <row r="43" spans="1:14" ht="15.75" customHeight="1">
      <c r="A43" s="94">
        <v>13</v>
      </c>
      <c r="B43" s="83" t="s">
        <v>113</v>
      </c>
      <c r="C43" s="84" t="s">
        <v>111</v>
      </c>
      <c r="D43" s="83" t="s">
        <v>72</v>
      </c>
      <c r="E43" s="85">
        <v>89.1</v>
      </c>
      <c r="F43" s="85">
        <f>SUM(E43*45/1000)</f>
        <v>4.0094999999999992</v>
      </c>
      <c r="G43" s="85">
        <v>562.25</v>
      </c>
      <c r="H43" s="82">
        <f t="shared" si="4"/>
        <v>2.2543413749999996</v>
      </c>
      <c r="I43" s="95">
        <f>F43/7.5*G43</f>
        <v>300.57884999999993</v>
      </c>
      <c r="J43" s="23"/>
      <c r="L43" s="19"/>
      <c r="M43" s="20"/>
      <c r="N43" s="21"/>
    </row>
    <row r="44" spans="1:14" ht="15.75" customHeight="1">
      <c r="A44" s="29">
        <v>14</v>
      </c>
      <c r="B44" s="14" t="s">
        <v>73</v>
      </c>
      <c r="C44" s="16" t="s">
        <v>33</v>
      </c>
      <c r="D44" s="14"/>
      <c r="E44" s="18"/>
      <c r="F44" s="13">
        <v>0.9</v>
      </c>
      <c r="G44" s="13">
        <v>974.83</v>
      </c>
      <c r="H44" s="13">
        <f t="shared" si="4"/>
        <v>0.8773470000000001</v>
      </c>
      <c r="I44" s="95">
        <f>F44/7.5*G44</f>
        <v>116.97960000000002</v>
      </c>
      <c r="J44" s="23"/>
      <c r="L44" s="19"/>
      <c r="M44" s="20"/>
      <c r="N44" s="21"/>
    </row>
    <row r="45" spans="1:14" ht="15.75" customHeight="1">
      <c r="A45" s="179" t="s">
        <v>138</v>
      </c>
      <c r="B45" s="180"/>
      <c r="C45" s="180"/>
      <c r="D45" s="180"/>
      <c r="E45" s="180"/>
      <c r="F45" s="180"/>
      <c r="G45" s="180"/>
      <c r="H45" s="180"/>
      <c r="I45" s="181"/>
      <c r="J45" s="23"/>
      <c r="L45" s="19"/>
      <c r="M45" s="20"/>
      <c r="N45" s="21"/>
    </row>
    <row r="46" spans="1:14" ht="15.75" hidden="1" customHeight="1">
      <c r="A46" s="29">
        <v>12</v>
      </c>
      <c r="B46" s="39" t="s">
        <v>114</v>
      </c>
      <c r="C46" s="40" t="s">
        <v>111</v>
      </c>
      <c r="D46" s="39" t="s">
        <v>43</v>
      </c>
      <c r="E46" s="17">
        <v>1632.75</v>
      </c>
      <c r="F46" s="36">
        <f>SUM(E46*2/1000)</f>
        <v>3.2654999999999998</v>
      </c>
      <c r="G46" s="36">
        <v>1062</v>
      </c>
      <c r="H46" s="36">
        <f t="shared" ref="H46:H55" si="6">SUM(F46*G46/1000)</f>
        <v>3.4679609999999998</v>
      </c>
      <c r="I46" s="13">
        <f>F46/2*G46</f>
        <v>1733.9804999999999</v>
      </c>
      <c r="J46" s="23"/>
      <c r="L46" s="19"/>
      <c r="M46" s="20"/>
      <c r="N46" s="21"/>
    </row>
    <row r="47" spans="1:14" ht="15.75" hidden="1" customHeight="1">
      <c r="A47" s="29">
        <v>13</v>
      </c>
      <c r="B47" s="39" t="s">
        <v>36</v>
      </c>
      <c r="C47" s="40" t="s">
        <v>111</v>
      </c>
      <c r="D47" s="39" t="s">
        <v>43</v>
      </c>
      <c r="E47" s="17">
        <v>53.75</v>
      </c>
      <c r="F47" s="36">
        <f>SUM(E47*2/1000)</f>
        <v>0.1075</v>
      </c>
      <c r="G47" s="36">
        <v>759.98</v>
      </c>
      <c r="H47" s="36">
        <f t="shared" si="6"/>
        <v>8.1697850000000002E-2</v>
      </c>
      <c r="I47" s="13">
        <f t="shared" ref="I47:I54" si="7">F47/2*G47</f>
        <v>40.848925000000001</v>
      </c>
      <c r="J47" s="23"/>
      <c r="L47" s="19"/>
      <c r="M47" s="20"/>
      <c r="N47" s="21"/>
    </row>
    <row r="48" spans="1:14" ht="15.75" hidden="1" customHeight="1">
      <c r="A48" s="29">
        <v>14</v>
      </c>
      <c r="B48" s="39" t="s">
        <v>37</v>
      </c>
      <c r="C48" s="40" t="s">
        <v>111</v>
      </c>
      <c r="D48" s="39" t="s">
        <v>43</v>
      </c>
      <c r="E48" s="17">
        <v>2285.6</v>
      </c>
      <c r="F48" s="36">
        <f>SUM(E48*2/1000)</f>
        <v>4.5712000000000002</v>
      </c>
      <c r="G48" s="36">
        <v>759.98</v>
      </c>
      <c r="H48" s="36">
        <f t="shared" si="6"/>
        <v>3.4740205760000005</v>
      </c>
      <c r="I48" s="13">
        <f t="shared" si="7"/>
        <v>1737.0102880000002</v>
      </c>
      <c r="J48" s="23"/>
      <c r="L48" s="19"/>
      <c r="M48" s="20"/>
      <c r="N48" s="21"/>
    </row>
    <row r="49" spans="1:14" ht="15.75" hidden="1" customHeight="1">
      <c r="A49" s="29">
        <v>15</v>
      </c>
      <c r="B49" s="39" t="s">
        <v>38</v>
      </c>
      <c r="C49" s="40" t="s">
        <v>111</v>
      </c>
      <c r="D49" s="39" t="s">
        <v>43</v>
      </c>
      <c r="E49" s="17">
        <v>1860</v>
      </c>
      <c r="F49" s="36">
        <f>SUM(E49*2/1000)</f>
        <v>3.72</v>
      </c>
      <c r="G49" s="36">
        <v>795.82</v>
      </c>
      <c r="H49" s="36">
        <f t="shared" si="6"/>
        <v>2.9604504</v>
      </c>
      <c r="I49" s="13">
        <f t="shared" si="7"/>
        <v>1480.2252000000001</v>
      </c>
      <c r="J49" s="23"/>
      <c r="L49" s="19"/>
      <c r="M49" s="20"/>
      <c r="N49" s="21"/>
    </row>
    <row r="50" spans="1:14" ht="15.75" hidden="1" customHeight="1">
      <c r="A50" s="29">
        <v>16</v>
      </c>
      <c r="B50" s="39" t="s">
        <v>34</v>
      </c>
      <c r="C50" s="40" t="s">
        <v>35</v>
      </c>
      <c r="D50" s="39" t="s">
        <v>43</v>
      </c>
      <c r="E50" s="17">
        <v>120.5</v>
      </c>
      <c r="F50" s="36">
        <f>SUM(E50*2/100)</f>
        <v>2.41</v>
      </c>
      <c r="G50" s="36">
        <v>95.49</v>
      </c>
      <c r="H50" s="36">
        <f t="shared" si="6"/>
        <v>0.2301309</v>
      </c>
      <c r="I50" s="13">
        <f t="shared" si="7"/>
        <v>115.06545</v>
      </c>
      <c r="J50" s="23"/>
      <c r="L50" s="19"/>
      <c r="M50" s="20"/>
      <c r="N50" s="21"/>
    </row>
    <row r="51" spans="1:14" ht="15.75" customHeight="1">
      <c r="A51" s="29">
        <v>15</v>
      </c>
      <c r="B51" s="39" t="s">
        <v>58</v>
      </c>
      <c r="C51" s="40" t="s">
        <v>111</v>
      </c>
      <c r="D51" s="39" t="s">
        <v>141</v>
      </c>
      <c r="E51" s="17">
        <v>3053.4</v>
      </c>
      <c r="F51" s="36">
        <f>SUM(E51*5/1000)</f>
        <v>15.266999999999999</v>
      </c>
      <c r="G51" s="36">
        <v>1591.6</v>
      </c>
      <c r="H51" s="36">
        <f t="shared" si="6"/>
        <v>24.298957199999997</v>
      </c>
      <c r="I51" s="13">
        <f>F51/5*G51</f>
        <v>4859.79144</v>
      </c>
      <c r="J51" s="23"/>
      <c r="L51" s="19"/>
      <c r="M51" s="20"/>
      <c r="N51" s="21"/>
    </row>
    <row r="52" spans="1:14" ht="31.5" hidden="1" customHeight="1">
      <c r="A52" s="29">
        <v>16</v>
      </c>
      <c r="B52" s="39" t="s">
        <v>115</v>
      </c>
      <c r="C52" s="40" t="s">
        <v>111</v>
      </c>
      <c r="D52" s="39" t="s">
        <v>43</v>
      </c>
      <c r="E52" s="17">
        <f>E51</f>
        <v>3053.4</v>
      </c>
      <c r="F52" s="36">
        <f>SUM(E52*2/1000)</f>
        <v>6.1067999999999998</v>
      </c>
      <c r="G52" s="36">
        <v>1591.6</v>
      </c>
      <c r="H52" s="36">
        <f t="shared" si="6"/>
        <v>9.7195828800000008</v>
      </c>
      <c r="I52" s="13">
        <f t="shared" si="7"/>
        <v>4859.79144</v>
      </c>
      <c r="J52" s="23"/>
      <c r="L52" s="19"/>
      <c r="M52" s="20"/>
      <c r="N52" s="21"/>
    </row>
    <row r="53" spans="1:14" ht="31.5" hidden="1" customHeight="1">
      <c r="A53" s="29">
        <v>17</v>
      </c>
      <c r="B53" s="39" t="s">
        <v>133</v>
      </c>
      <c r="C53" s="40" t="s">
        <v>39</v>
      </c>
      <c r="D53" s="39" t="s">
        <v>43</v>
      </c>
      <c r="E53" s="17">
        <v>20</v>
      </c>
      <c r="F53" s="36">
        <f>SUM(E53*2/100)</f>
        <v>0.4</v>
      </c>
      <c r="G53" s="36">
        <v>3581.13</v>
      </c>
      <c r="H53" s="36">
        <f t="shared" si="6"/>
        <v>1.4324520000000003</v>
      </c>
      <c r="I53" s="13">
        <f t="shared" si="7"/>
        <v>716.22600000000011</v>
      </c>
      <c r="J53" s="23"/>
      <c r="L53" s="19"/>
      <c r="M53" s="20"/>
      <c r="N53" s="21"/>
    </row>
    <row r="54" spans="1:14" ht="15.75" hidden="1" customHeight="1">
      <c r="A54" s="29">
        <v>18</v>
      </c>
      <c r="B54" s="39" t="s">
        <v>40</v>
      </c>
      <c r="C54" s="40" t="s">
        <v>41</v>
      </c>
      <c r="D54" s="39" t="s">
        <v>43</v>
      </c>
      <c r="E54" s="17">
        <v>1</v>
      </c>
      <c r="F54" s="36">
        <v>0.02</v>
      </c>
      <c r="G54" s="36">
        <v>7412.92</v>
      </c>
      <c r="H54" s="36">
        <f t="shared" si="6"/>
        <v>0.14825839999999998</v>
      </c>
      <c r="I54" s="13">
        <f t="shared" si="7"/>
        <v>74.129199999999997</v>
      </c>
      <c r="J54" s="23"/>
      <c r="L54" s="19"/>
      <c r="M54" s="20"/>
      <c r="N54" s="21"/>
    </row>
    <row r="55" spans="1:14" ht="15.75" customHeight="1">
      <c r="A55" s="29">
        <v>16</v>
      </c>
      <c r="B55" s="39" t="s">
        <v>42</v>
      </c>
      <c r="C55" s="40" t="s">
        <v>95</v>
      </c>
      <c r="D55" s="39" t="s">
        <v>74</v>
      </c>
      <c r="E55" s="17">
        <v>128</v>
      </c>
      <c r="F55" s="36">
        <f>SUM(E55)*3</f>
        <v>384</v>
      </c>
      <c r="G55" s="37">
        <v>86.15</v>
      </c>
      <c r="H55" s="36">
        <f t="shared" si="6"/>
        <v>33.081600000000009</v>
      </c>
      <c r="I55" s="13">
        <f>E55*G55</f>
        <v>11027.2</v>
      </c>
      <c r="J55" s="23"/>
      <c r="L55" s="19"/>
      <c r="M55" s="20"/>
      <c r="N55" s="21"/>
    </row>
    <row r="56" spans="1:14" ht="15.75" customHeight="1">
      <c r="A56" s="179" t="s">
        <v>139</v>
      </c>
      <c r="B56" s="180"/>
      <c r="C56" s="180"/>
      <c r="D56" s="180"/>
      <c r="E56" s="180"/>
      <c r="F56" s="180"/>
      <c r="G56" s="180"/>
      <c r="H56" s="180"/>
      <c r="I56" s="181"/>
      <c r="J56" s="23"/>
      <c r="L56" s="19"/>
      <c r="M56" s="20"/>
      <c r="N56" s="21"/>
    </row>
    <row r="57" spans="1:14" ht="15.75" hidden="1" customHeight="1">
      <c r="A57" s="96"/>
      <c r="B57" s="104" t="s">
        <v>44</v>
      </c>
      <c r="C57" s="98"/>
      <c r="D57" s="97"/>
      <c r="E57" s="99"/>
      <c r="F57" s="100"/>
      <c r="G57" s="100"/>
      <c r="H57" s="105"/>
      <c r="I57" s="106"/>
      <c r="J57" s="23"/>
      <c r="L57" s="19"/>
      <c r="M57" s="20"/>
      <c r="N57" s="21"/>
    </row>
    <row r="58" spans="1:14" ht="31.5" hidden="1" customHeight="1">
      <c r="A58" s="29">
        <v>17</v>
      </c>
      <c r="B58" s="71" t="s">
        <v>116</v>
      </c>
      <c r="C58" s="72" t="s">
        <v>99</v>
      </c>
      <c r="D58" s="71" t="s">
        <v>117</v>
      </c>
      <c r="E58" s="73">
        <v>92.7</v>
      </c>
      <c r="F58" s="74">
        <f>SUM(E58*6/100)</f>
        <v>5.5620000000000003</v>
      </c>
      <c r="G58" s="13">
        <v>2431.1799999999998</v>
      </c>
      <c r="H58" s="78">
        <f>SUM(F58*G58/1000)</f>
        <v>13.522223159999999</v>
      </c>
      <c r="I58" s="13">
        <f>F58/6*G58</f>
        <v>2253.7038600000001</v>
      </c>
      <c r="J58" s="23"/>
      <c r="L58" s="19"/>
      <c r="M58" s="20"/>
      <c r="N58" s="21"/>
    </row>
    <row r="59" spans="1:14" ht="15.75" hidden="1" customHeight="1">
      <c r="A59" s="29"/>
      <c r="B59" s="71" t="s">
        <v>134</v>
      </c>
      <c r="C59" s="72" t="s">
        <v>135</v>
      </c>
      <c r="D59" s="14" t="s">
        <v>69</v>
      </c>
      <c r="E59" s="73"/>
      <c r="F59" s="74">
        <v>2</v>
      </c>
      <c r="G59" s="67">
        <v>1582.05</v>
      </c>
      <c r="H59" s="78">
        <f>SUM(F59*G59/1000)</f>
        <v>3.1640999999999999</v>
      </c>
      <c r="I59" s="13">
        <f>G59*2</f>
        <v>3164.1</v>
      </c>
      <c r="J59" s="23"/>
      <c r="L59" s="19"/>
      <c r="M59" s="20"/>
      <c r="N59" s="21"/>
    </row>
    <row r="60" spans="1:14" ht="15.75" customHeight="1">
      <c r="A60" s="29"/>
      <c r="B60" s="93" t="s">
        <v>45</v>
      </c>
      <c r="C60" s="72"/>
      <c r="D60" s="71"/>
      <c r="E60" s="73"/>
      <c r="F60" s="74"/>
      <c r="G60" s="74"/>
      <c r="H60" s="75" t="s">
        <v>132</v>
      </c>
      <c r="I60" s="79"/>
      <c r="J60" s="23"/>
      <c r="L60" s="19"/>
      <c r="M60" s="20"/>
      <c r="N60" s="21"/>
    </row>
    <row r="61" spans="1:14" ht="15.75" hidden="1" customHeight="1">
      <c r="A61" s="29"/>
      <c r="B61" s="34" t="s">
        <v>46</v>
      </c>
      <c r="C61" s="44" t="s">
        <v>99</v>
      </c>
      <c r="D61" s="34" t="s">
        <v>55</v>
      </c>
      <c r="E61" s="123">
        <v>145</v>
      </c>
      <c r="F61" s="33">
        <f>SUM(E61/100)</f>
        <v>1.45</v>
      </c>
      <c r="G61" s="36">
        <v>1040.8399999999999</v>
      </c>
      <c r="H61" s="124">
        <v>9.1679999999999993</v>
      </c>
      <c r="I61" s="13">
        <v>0</v>
      </c>
      <c r="J61" s="23"/>
      <c r="L61" s="19"/>
      <c r="M61" s="20"/>
      <c r="N61" s="21"/>
    </row>
    <row r="62" spans="1:14" ht="15.75" customHeight="1">
      <c r="A62" s="29">
        <v>17</v>
      </c>
      <c r="B62" s="125" t="s">
        <v>96</v>
      </c>
      <c r="C62" s="126" t="s">
        <v>25</v>
      </c>
      <c r="D62" s="125" t="s">
        <v>30</v>
      </c>
      <c r="E62" s="123">
        <v>200</v>
      </c>
      <c r="F62" s="33">
        <f>SUM(E62*12)</f>
        <v>2400</v>
      </c>
      <c r="G62" s="127">
        <v>1.2</v>
      </c>
      <c r="H62" s="128">
        <f>G62*F62/1000</f>
        <v>2.88</v>
      </c>
      <c r="I62" s="13">
        <f>F62/12*G62</f>
        <v>240</v>
      </c>
      <c r="J62" s="23"/>
      <c r="L62" s="19"/>
      <c r="M62" s="20"/>
      <c r="N62" s="21"/>
    </row>
    <row r="63" spans="1:14" ht="15.75" customHeight="1">
      <c r="A63" s="29"/>
      <c r="B63" s="102" t="s">
        <v>47</v>
      </c>
      <c r="C63" s="84"/>
      <c r="D63" s="83"/>
      <c r="E63" s="81"/>
      <c r="F63" s="85"/>
      <c r="G63" s="85"/>
      <c r="H63" s="86" t="s">
        <v>132</v>
      </c>
      <c r="I63" s="79"/>
      <c r="J63" s="23"/>
      <c r="L63" s="19"/>
      <c r="M63" s="20"/>
      <c r="N63" s="21"/>
    </row>
    <row r="64" spans="1:14" ht="15.75" hidden="1" customHeight="1">
      <c r="A64" s="29">
        <v>21</v>
      </c>
      <c r="B64" s="56" t="s">
        <v>48</v>
      </c>
      <c r="C64" s="40" t="s">
        <v>95</v>
      </c>
      <c r="D64" s="39" t="s">
        <v>69</v>
      </c>
      <c r="E64" s="17">
        <v>6</v>
      </c>
      <c r="F64" s="33">
        <f>SUM(E64)</f>
        <v>6</v>
      </c>
      <c r="G64" s="36">
        <v>291.68</v>
      </c>
      <c r="H64" s="114">
        <f t="shared" ref="H64:H72" si="8">SUM(F64*G64/1000)</f>
        <v>1.7500799999999999</v>
      </c>
      <c r="I64" s="13">
        <f>G64*3</f>
        <v>875.04</v>
      </c>
      <c r="J64" s="23"/>
      <c r="L64" s="19"/>
    </row>
    <row r="65" spans="1:22" ht="15.75" hidden="1" customHeight="1">
      <c r="A65" s="29"/>
      <c r="B65" s="56" t="s">
        <v>49</v>
      </c>
      <c r="C65" s="40" t="s">
        <v>95</v>
      </c>
      <c r="D65" s="39" t="s">
        <v>69</v>
      </c>
      <c r="E65" s="17">
        <v>4</v>
      </c>
      <c r="F65" s="33">
        <f>SUM(E65)</f>
        <v>4</v>
      </c>
      <c r="G65" s="36">
        <v>100.01</v>
      </c>
      <c r="H65" s="114">
        <f t="shared" si="8"/>
        <v>0.40004000000000001</v>
      </c>
      <c r="I65" s="13">
        <v>0</v>
      </c>
      <c r="J65" s="23"/>
      <c r="L65" s="19"/>
    </row>
    <row r="66" spans="1:22" ht="15.75" hidden="1" customHeight="1">
      <c r="A66" s="29"/>
      <c r="B66" s="56" t="s">
        <v>50</v>
      </c>
      <c r="C66" s="42" t="s">
        <v>118</v>
      </c>
      <c r="D66" s="39" t="s">
        <v>55</v>
      </c>
      <c r="E66" s="121">
        <v>15552</v>
      </c>
      <c r="F66" s="37">
        <f>SUM(E66/100)</f>
        <v>155.52000000000001</v>
      </c>
      <c r="G66" s="36">
        <v>278.24</v>
      </c>
      <c r="H66" s="114">
        <f t="shared" si="8"/>
        <v>43.271884800000009</v>
      </c>
      <c r="I66" s="13">
        <v>0</v>
      </c>
    </row>
    <row r="67" spans="1:22" ht="15.75" hidden="1" customHeight="1">
      <c r="A67" s="29"/>
      <c r="B67" s="56" t="s">
        <v>51</v>
      </c>
      <c r="C67" s="40" t="s">
        <v>119</v>
      </c>
      <c r="D67" s="39"/>
      <c r="E67" s="121">
        <v>15552</v>
      </c>
      <c r="F67" s="36">
        <f>SUM(E67/1000)</f>
        <v>15.552</v>
      </c>
      <c r="G67" s="36">
        <v>216.68</v>
      </c>
      <c r="H67" s="114">
        <f t="shared" si="8"/>
        <v>3.3698073600000003</v>
      </c>
      <c r="I67" s="13">
        <v>0</v>
      </c>
    </row>
    <row r="68" spans="1:22" ht="15.75" hidden="1" customHeight="1">
      <c r="A68" s="29"/>
      <c r="B68" s="56" t="s">
        <v>52</v>
      </c>
      <c r="C68" s="40" t="s">
        <v>81</v>
      </c>
      <c r="D68" s="39" t="s">
        <v>55</v>
      </c>
      <c r="E68" s="121">
        <v>2432</v>
      </c>
      <c r="F68" s="36">
        <f>SUM(E68/100)</f>
        <v>24.32</v>
      </c>
      <c r="G68" s="36">
        <v>2720.94</v>
      </c>
      <c r="H68" s="114">
        <f t="shared" si="8"/>
        <v>66.173260800000008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29"/>
      <c r="B69" s="53" t="s">
        <v>75</v>
      </c>
      <c r="C69" s="40" t="s">
        <v>33</v>
      </c>
      <c r="D69" s="39"/>
      <c r="E69" s="121">
        <v>14.8</v>
      </c>
      <c r="F69" s="36">
        <f>SUM(E69)</f>
        <v>14.8</v>
      </c>
      <c r="G69" s="36">
        <v>42.61</v>
      </c>
      <c r="H69" s="114">
        <f t="shared" si="8"/>
        <v>0.63062800000000008</v>
      </c>
      <c r="I69" s="13">
        <v>0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31.5" hidden="1" customHeight="1">
      <c r="A70" s="29"/>
      <c r="B70" s="53" t="s">
        <v>76</v>
      </c>
      <c r="C70" s="40" t="s">
        <v>33</v>
      </c>
      <c r="D70" s="39"/>
      <c r="E70" s="121">
        <f>E69</f>
        <v>14.8</v>
      </c>
      <c r="F70" s="36">
        <f>SUM(E70)</f>
        <v>14.8</v>
      </c>
      <c r="G70" s="36">
        <v>46.04</v>
      </c>
      <c r="H70" s="114">
        <f t="shared" si="8"/>
        <v>0.681392</v>
      </c>
      <c r="I70" s="13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hidden="1" customHeight="1">
      <c r="A71" s="29">
        <v>22</v>
      </c>
      <c r="B71" s="39" t="s">
        <v>59</v>
      </c>
      <c r="C71" s="40" t="s">
        <v>60</v>
      </c>
      <c r="D71" s="39" t="s">
        <v>55</v>
      </c>
      <c r="E71" s="17">
        <v>5</v>
      </c>
      <c r="F71" s="33">
        <f>SUM(E71)</f>
        <v>5</v>
      </c>
      <c r="G71" s="36">
        <v>65.42</v>
      </c>
      <c r="H71" s="114">
        <f t="shared" si="8"/>
        <v>0.3271</v>
      </c>
      <c r="I71" s="13">
        <f>G71*4</f>
        <v>261.68</v>
      </c>
      <c r="J71" s="5"/>
      <c r="K71" s="5"/>
      <c r="L71" s="5"/>
      <c r="M71" s="5"/>
      <c r="N71" s="5"/>
      <c r="O71" s="5"/>
      <c r="P71" s="5"/>
      <c r="Q71" s="5"/>
      <c r="R71" s="187"/>
      <c r="S71" s="187"/>
      <c r="T71" s="187"/>
      <c r="U71" s="187"/>
    </row>
    <row r="72" spans="1:22" ht="15.75" customHeight="1">
      <c r="A72" s="29">
        <v>18</v>
      </c>
      <c r="B72" s="39" t="s">
        <v>160</v>
      </c>
      <c r="C72" s="45" t="s">
        <v>161</v>
      </c>
      <c r="D72" s="39" t="s">
        <v>69</v>
      </c>
      <c r="E72" s="17">
        <f>E51</f>
        <v>3053.4</v>
      </c>
      <c r="F72" s="33">
        <f>SUM(E72*12)</f>
        <v>36640.800000000003</v>
      </c>
      <c r="G72" s="36">
        <v>2.2799999999999998</v>
      </c>
      <c r="H72" s="114">
        <f t="shared" si="8"/>
        <v>83.541024000000007</v>
      </c>
      <c r="I72" s="13">
        <f>F72/12*G72</f>
        <v>6961.7519999999995</v>
      </c>
      <c r="J72" s="5"/>
      <c r="K72" s="5"/>
      <c r="L72" s="5"/>
      <c r="M72" s="5"/>
      <c r="N72" s="5"/>
      <c r="O72" s="5"/>
      <c r="P72" s="5"/>
      <c r="Q72" s="5"/>
      <c r="R72" s="144"/>
      <c r="S72" s="144"/>
      <c r="T72" s="144"/>
      <c r="U72" s="144"/>
    </row>
    <row r="73" spans="1:22" ht="15.75" customHeight="1">
      <c r="A73" s="29"/>
      <c r="B73" s="146" t="s">
        <v>77</v>
      </c>
      <c r="C73" s="16"/>
      <c r="D73" s="14"/>
      <c r="E73" s="18"/>
      <c r="F73" s="13"/>
      <c r="G73" s="13"/>
      <c r="H73" s="87" t="s">
        <v>132</v>
      </c>
      <c r="I73" s="79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2" ht="15.75" hidden="1" customHeight="1">
      <c r="A74" s="29">
        <v>19</v>
      </c>
      <c r="B74" s="39" t="s">
        <v>162</v>
      </c>
      <c r="C74" s="40" t="s">
        <v>163</v>
      </c>
      <c r="D74" s="39" t="s">
        <v>69</v>
      </c>
      <c r="E74" s="17">
        <v>1</v>
      </c>
      <c r="F74" s="36">
        <f>E74</f>
        <v>1</v>
      </c>
      <c r="G74" s="36">
        <v>1029.1199999999999</v>
      </c>
      <c r="H74" s="113">
        <f t="shared" ref="H74:H75" si="9">SUM(F74*G74/1000)</f>
        <v>1.0291199999999998</v>
      </c>
      <c r="I74" s="13">
        <v>0</v>
      </c>
    </row>
    <row r="75" spans="1:22" ht="15.75" hidden="1" customHeight="1">
      <c r="A75" s="29"/>
      <c r="B75" s="39" t="s">
        <v>164</v>
      </c>
      <c r="C75" s="40" t="s">
        <v>165</v>
      </c>
      <c r="D75" s="129"/>
      <c r="E75" s="17">
        <v>1</v>
      </c>
      <c r="F75" s="36">
        <v>1</v>
      </c>
      <c r="G75" s="36">
        <v>735</v>
      </c>
      <c r="H75" s="113">
        <f t="shared" si="9"/>
        <v>0.73499999999999999</v>
      </c>
      <c r="I75" s="13">
        <v>0</v>
      </c>
    </row>
    <row r="76" spans="1:22" ht="15.75" hidden="1" customHeight="1">
      <c r="A76" s="29">
        <v>23</v>
      </c>
      <c r="B76" s="39" t="s">
        <v>78</v>
      </c>
      <c r="C76" s="40" t="s">
        <v>79</v>
      </c>
      <c r="D76" s="39" t="s">
        <v>69</v>
      </c>
      <c r="E76" s="17">
        <v>5</v>
      </c>
      <c r="F76" s="33">
        <f>SUM(E76/10)</f>
        <v>0.5</v>
      </c>
      <c r="G76" s="36">
        <v>657.87</v>
      </c>
      <c r="H76" s="113">
        <f>SUM(F76*G76/1000)</f>
        <v>0.32893499999999998</v>
      </c>
      <c r="I76" s="13">
        <f>G76*0.8</f>
        <v>526.29600000000005</v>
      </c>
    </row>
    <row r="77" spans="1:22" ht="15.75" hidden="1" customHeight="1">
      <c r="A77" s="29"/>
      <c r="B77" s="39" t="s">
        <v>130</v>
      </c>
      <c r="C77" s="40" t="s">
        <v>95</v>
      </c>
      <c r="D77" s="39" t="s">
        <v>69</v>
      </c>
      <c r="E77" s="17">
        <v>1</v>
      </c>
      <c r="F77" s="36">
        <f>E77</f>
        <v>1</v>
      </c>
      <c r="G77" s="36">
        <v>1118.72</v>
      </c>
      <c r="H77" s="113">
        <f>SUM(F77*G77/1000)</f>
        <v>1.1187199999999999</v>
      </c>
      <c r="I77" s="13">
        <v>0</v>
      </c>
    </row>
    <row r="78" spans="1:22" ht="15.75" customHeight="1">
      <c r="A78" s="29">
        <v>19</v>
      </c>
      <c r="B78" s="115" t="s">
        <v>166</v>
      </c>
      <c r="C78" s="116" t="s">
        <v>95</v>
      </c>
      <c r="D78" s="39" t="s">
        <v>69</v>
      </c>
      <c r="E78" s="17">
        <v>2</v>
      </c>
      <c r="F78" s="33">
        <f>E78*12</f>
        <v>24</v>
      </c>
      <c r="G78" s="36">
        <v>53.42</v>
      </c>
      <c r="H78" s="113">
        <f t="shared" ref="H78:H79" si="10">SUM(F78*G78/1000)</f>
        <v>1.2820799999999999</v>
      </c>
      <c r="I78" s="13">
        <f>G78*2</f>
        <v>106.84</v>
      </c>
    </row>
    <row r="79" spans="1:22" ht="31.5" customHeight="1">
      <c r="A79" s="29">
        <v>20</v>
      </c>
      <c r="B79" s="115" t="s">
        <v>167</v>
      </c>
      <c r="C79" s="116" t="s">
        <v>95</v>
      </c>
      <c r="D79" s="39" t="s">
        <v>30</v>
      </c>
      <c r="E79" s="17">
        <v>1</v>
      </c>
      <c r="F79" s="33">
        <f>E79*12</f>
        <v>12</v>
      </c>
      <c r="G79" s="36">
        <v>1194</v>
      </c>
      <c r="H79" s="113">
        <f t="shared" si="10"/>
        <v>14.327999999999999</v>
      </c>
      <c r="I79" s="13">
        <f>G79</f>
        <v>1194</v>
      </c>
    </row>
    <row r="80" spans="1:22" ht="15.75" hidden="1" customHeight="1">
      <c r="A80" s="29"/>
      <c r="B80" s="90" t="s">
        <v>80</v>
      </c>
      <c r="C80" s="16"/>
      <c r="D80" s="14"/>
      <c r="E80" s="18"/>
      <c r="F80" s="18"/>
      <c r="G80" s="18"/>
      <c r="H80" s="18"/>
      <c r="I80" s="79"/>
    </row>
    <row r="81" spans="1:9" ht="15.75" hidden="1" customHeight="1">
      <c r="A81" s="29"/>
      <c r="B81" s="41" t="s">
        <v>122</v>
      </c>
      <c r="C81" s="42" t="s">
        <v>81</v>
      </c>
      <c r="D81" s="56"/>
      <c r="E81" s="59"/>
      <c r="F81" s="37">
        <v>0.3</v>
      </c>
      <c r="G81" s="37">
        <v>3619.09</v>
      </c>
      <c r="H81" s="114">
        <f t="shared" ref="H81" si="11">SUM(F81*G81/1000)</f>
        <v>1.0857270000000001</v>
      </c>
      <c r="I81" s="13">
        <v>0</v>
      </c>
    </row>
    <row r="82" spans="1:9" ht="15.75" hidden="1" customHeight="1">
      <c r="A82" s="29"/>
      <c r="B82" s="146" t="s">
        <v>120</v>
      </c>
      <c r="C82" s="90"/>
      <c r="D82" s="31"/>
      <c r="E82" s="32"/>
      <c r="F82" s="91"/>
      <c r="G82" s="91"/>
      <c r="H82" s="92">
        <f>SUM(H58:H81)</f>
        <v>248.78712212000002</v>
      </c>
      <c r="I82" s="77"/>
    </row>
    <row r="83" spans="1:9" ht="15.75" hidden="1" customHeight="1">
      <c r="A83" s="94"/>
      <c r="B83" s="34" t="s">
        <v>121</v>
      </c>
      <c r="C83" s="130"/>
      <c r="D83" s="131"/>
      <c r="E83" s="132"/>
      <c r="F83" s="38">
        <f>232/10</f>
        <v>23.2</v>
      </c>
      <c r="G83" s="38">
        <v>12361.2</v>
      </c>
      <c r="H83" s="114">
        <f>G83*F83/1000</f>
        <v>286.77984000000004</v>
      </c>
      <c r="I83" s="95">
        <v>0</v>
      </c>
    </row>
    <row r="84" spans="1:9" ht="15.75" customHeight="1">
      <c r="A84" s="179" t="s">
        <v>140</v>
      </c>
      <c r="B84" s="180"/>
      <c r="C84" s="180"/>
      <c r="D84" s="180"/>
      <c r="E84" s="180"/>
      <c r="F84" s="180"/>
      <c r="G84" s="180"/>
      <c r="H84" s="180"/>
      <c r="I84" s="181"/>
    </row>
    <row r="85" spans="1:9" ht="15.75" customHeight="1">
      <c r="A85" s="96">
        <v>21</v>
      </c>
      <c r="B85" s="34" t="s">
        <v>123</v>
      </c>
      <c r="C85" s="40" t="s">
        <v>56</v>
      </c>
      <c r="D85" s="103" t="s">
        <v>57</v>
      </c>
      <c r="E85" s="36">
        <v>3053.4</v>
      </c>
      <c r="F85" s="36">
        <f>SUM(E85*12)</f>
        <v>36640.800000000003</v>
      </c>
      <c r="G85" s="36">
        <v>3.1</v>
      </c>
      <c r="H85" s="114">
        <f>SUM(F85*G85/1000)</f>
        <v>113.58648000000001</v>
      </c>
      <c r="I85" s="101">
        <f>F85/12*G85</f>
        <v>9465.5400000000009</v>
      </c>
    </row>
    <row r="86" spans="1:9" ht="31.5" customHeight="1">
      <c r="A86" s="29">
        <v>22</v>
      </c>
      <c r="B86" s="39" t="s">
        <v>82</v>
      </c>
      <c r="C86" s="40"/>
      <c r="D86" s="103" t="s">
        <v>57</v>
      </c>
      <c r="E86" s="121">
        <v>3053.4</v>
      </c>
      <c r="F86" s="36">
        <f>E86*12</f>
        <v>36640.800000000003</v>
      </c>
      <c r="G86" s="36">
        <v>3.5</v>
      </c>
      <c r="H86" s="114">
        <f>F86*G86/1000</f>
        <v>128.24280000000002</v>
      </c>
      <c r="I86" s="13">
        <f>F86/12*G86</f>
        <v>10686.9</v>
      </c>
    </row>
    <row r="87" spans="1:9" ht="15.75" customHeight="1">
      <c r="A87" s="29"/>
      <c r="B87" s="43" t="s">
        <v>85</v>
      </c>
      <c r="C87" s="90"/>
      <c r="D87" s="88"/>
      <c r="E87" s="91"/>
      <c r="F87" s="91"/>
      <c r="G87" s="91"/>
      <c r="H87" s="92">
        <f>SUM(H86)</f>
        <v>128.24280000000002</v>
      </c>
      <c r="I87" s="91">
        <f>I86+I85+I79+I78+I72+I62+I55+I51+I44+I43+I42+I40+I39+I38+I27+I26+I18+I17+I16</f>
        <v>74147.853439000013</v>
      </c>
    </row>
    <row r="88" spans="1:9" ht="15.75" customHeight="1">
      <c r="A88" s="188" t="s">
        <v>62</v>
      </c>
      <c r="B88" s="189"/>
      <c r="C88" s="189"/>
      <c r="D88" s="189"/>
      <c r="E88" s="189"/>
      <c r="F88" s="189"/>
      <c r="G88" s="189"/>
      <c r="H88" s="189"/>
      <c r="I88" s="190"/>
    </row>
    <row r="89" spans="1:9" ht="15.75" customHeight="1">
      <c r="A89" s="29">
        <v>23</v>
      </c>
      <c r="B89" s="57" t="s">
        <v>174</v>
      </c>
      <c r="C89" s="58" t="s">
        <v>168</v>
      </c>
      <c r="D89" s="14"/>
      <c r="E89" s="18"/>
      <c r="F89" s="13">
        <v>7</v>
      </c>
      <c r="G89" s="13">
        <v>134.12</v>
      </c>
      <c r="H89" s="89">
        <f>G89*F89/1000</f>
        <v>0.93884000000000001</v>
      </c>
      <c r="I89" s="95">
        <f>G89*7</f>
        <v>938.84</v>
      </c>
    </row>
    <row r="90" spans="1:9" ht="15.75" customHeight="1">
      <c r="A90" s="29" t="s">
        <v>195</v>
      </c>
      <c r="B90" s="57" t="s">
        <v>103</v>
      </c>
      <c r="C90" s="58" t="s">
        <v>95</v>
      </c>
      <c r="D90" s="52"/>
      <c r="E90" s="13"/>
      <c r="F90" s="13">
        <v>128</v>
      </c>
      <c r="G90" s="13">
        <v>55.55</v>
      </c>
      <c r="H90" s="89">
        <f t="shared" ref="H90" si="12">G90*F90/1000</f>
        <v>7.1103999999999994</v>
      </c>
      <c r="I90" s="13">
        <f>G90*64</f>
        <v>3555.2</v>
      </c>
    </row>
    <row r="91" spans="1:9" ht="15.75" customHeight="1">
      <c r="A91" s="29"/>
      <c r="B91" s="50" t="s">
        <v>53</v>
      </c>
      <c r="C91" s="46"/>
      <c r="D91" s="54"/>
      <c r="E91" s="46">
        <v>1</v>
      </c>
      <c r="F91" s="46"/>
      <c r="G91" s="46"/>
      <c r="H91" s="46"/>
      <c r="I91" s="32">
        <f>I89</f>
        <v>938.84</v>
      </c>
    </row>
    <row r="92" spans="1:9" ht="15.75" customHeight="1">
      <c r="A92" s="29"/>
      <c r="B92" s="52" t="s">
        <v>83</v>
      </c>
      <c r="C92" s="15"/>
      <c r="D92" s="15"/>
      <c r="E92" s="47"/>
      <c r="F92" s="47"/>
      <c r="G92" s="48"/>
      <c r="H92" s="48"/>
      <c r="I92" s="17">
        <v>0</v>
      </c>
    </row>
    <row r="93" spans="1:9" ht="15.75" customHeight="1">
      <c r="A93" s="55"/>
      <c r="B93" s="51" t="s">
        <v>151</v>
      </c>
      <c r="C93" s="35"/>
      <c r="D93" s="35"/>
      <c r="E93" s="35"/>
      <c r="F93" s="35"/>
      <c r="G93" s="35"/>
      <c r="H93" s="35"/>
      <c r="I93" s="49">
        <f>I87+I91</f>
        <v>75086.69343900001</v>
      </c>
    </row>
    <row r="94" spans="1:9" ht="15.75" customHeight="1">
      <c r="A94" s="199" t="s">
        <v>196</v>
      </c>
      <c r="B94" s="200"/>
      <c r="C94" s="200"/>
      <c r="D94" s="200"/>
      <c r="E94" s="200"/>
      <c r="F94" s="200"/>
      <c r="G94" s="200"/>
      <c r="H94" s="200"/>
      <c r="I94" s="200"/>
    </row>
    <row r="95" spans="1:9" ht="15.75">
      <c r="A95" s="191" t="s">
        <v>227</v>
      </c>
      <c r="B95" s="191"/>
      <c r="C95" s="191"/>
      <c r="D95" s="191"/>
      <c r="E95" s="191"/>
      <c r="F95" s="191"/>
      <c r="G95" s="191"/>
      <c r="H95" s="191"/>
      <c r="I95" s="191"/>
    </row>
    <row r="96" spans="1:9" ht="15.75">
      <c r="A96" s="62"/>
      <c r="B96" s="192" t="s">
        <v>228</v>
      </c>
      <c r="C96" s="192"/>
      <c r="D96" s="192"/>
      <c r="E96" s="192"/>
      <c r="F96" s="192"/>
      <c r="G96" s="192"/>
      <c r="H96" s="70"/>
      <c r="I96" s="3"/>
    </row>
    <row r="97" spans="1:9">
      <c r="A97" s="144"/>
      <c r="B97" s="193" t="s">
        <v>6</v>
      </c>
      <c r="C97" s="193"/>
      <c r="D97" s="193"/>
      <c r="E97" s="193"/>
      <c r="F97" s="193"/>
      <c r="G97" s="193"/>
      <c r="H97" s="24"/>
      <c r="I97" s="5"/>
    </row>
    <row r="98" spans="1:9" ht="15.75" customHeight="1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 customHeight="1">
      <c r="A99" s="194" t="s">
        <v>7</v>
      </c>
      <c r="B99" s="194"/>
      <c r="C99" s="194"/>
      <c r="D99" s="194"/>
      <c r="E99" s="194"/>
      <c r="F99" s="194"/>
      <c r="G99" s="194"/>
      <c r="H99" s="194"/>
      <c r="I99" s="194"/>
    </row>
    <row r="100" spans="1:9" ht="15.75" customHeight="1">
      <c r="A100" s="194" t="s">
        <v>8</v>
      </c>
      <c r="B100" s="194"/>
      <c r="C100" s="194"/>
      <c r="D100" s="194"/>
      <c r="E100" s="194"/>
      <c r="F100" s="194"/>
      <c r="G100" s="194"/>
      <c r="H100" s="194"/>
      <c r="I100" s="194"/>
    </row>
    <row r="101" spans="1:9" ht="15.75" customHeight="1">
      <c r="A101" s="195" t="s">
        <v>63</v>
      </c>
      <c r="B101" s="195"/>
      <c r="C101" s="195"/>
      <c r="D101" s="195"/>
      <c r="E101" s="195"/>
      <c r="F101" s="195"/>
      <c r="G101" s="195"/>
      <c r="H101" s="195"/>
      <c r="I101" s="195"/>
    </row>
    <row r="102" spans="1:9" ht="15.75" customHeight="1">
      <c r="A102" s="11"/>
    </row>
    <row r="103" spans="1:9" ht="15.75" customHeight="1">
      <c r="A103" s="196" t="s">
        <v>9</v>
      </c>
      <c r="B103" s="196"/>
      <c r="C103" s="196"/>
      <c r="D103" s="196"/>
      <c r="E103" s="196"/>
      <c r="F103" s="196"/>
      <c r="G103" s="196"/>
      <c r="H103" s="196"/>
      <c r="I103" s="196"/>
    </row>
    <row r="104" spans="1:9" ht="15.75" customHeight="1">
      <c r="A104" s="4"/>
    </row>
    <row r="105" spans="1:9" ht="15.75" customHeight="1">
      <c r="B105" s="145" t="s">
        <v>10</v>
      </c>
      <c r="C105" s="197" t="s">
        <v>94</v>
      </c>
      <c r="D105" s="197"/>
      <c r="E105" s="197"/>
      <c r="F105" s="68"/>
      <c r="I105" s="143"/>
    </row>
    <row r="106" spans="1:9" ht="15.75" customHeight="1">
      <c r="A106" s="144"/>
      <c r="C106" s="193" t="s">
        <v>11</v>
      </c>
      <c r="D106" s="193"/>
      <c r="E106" s="193"/>
      <c r="F106" s="24"/>
      <c r="I106" s="142" t="s">
        <v>12</v>
      </c>
    </row>
    <row r="107" spans="1:9" ht="15.75" customHeight="1">
      <c r="A107" s="25"/>
      <c r="C107" s="12"/>
      <c r="D107" s="12"/>
      <c r="G107" s="12"/>
      <c r="H107" s="12"/>
    </row>
    <row r="108" spans="1:9" ht="15.75" customHeight="1">
      <c r="B108" s="145" t="s">
        <v>13</v>
      </c>
      <c r="C108" s="198"/>
      <c r="D108" s="198"/>
      <c r="E108" s="198"/>
      <c r="F108" s="69"/>
      <c r="I108" s="143"/>
    </row>
    <row r="109" spans="1:9" ht="15.75" customHeight="1">
      <c r="A109" s="144"/>
      <c r="C109" s="187" t="s">
        <v>11</v>
      </c>
      <c r="D109" s="187"/>
      <c r="E109" s="187"/>
      <c r="F109" s="144"/>
      <c r="I109" s="142" t="s">
        <v>12</v>
      </c>
    </row>
    <row r="110" spans="1:9" ht="15.75" customHeight="1">
      <c r="A110" s="4" t="s">
        <v>14</v>
      </c>
    </row>
    <row r="111" spans="1:9">
      <c r="A111" s="201" t="s">
        <v>15</v>
      </c>
      <c r="B111" s="201"/>
      <c r="C111" s="201"/>
      <c r="D111" s="201"/>
      <c r="E111" s="201"/>
      <c r="F111" s="201"/>
      <c r="G111" s="201"/>
      <c r="H111" s="201"/>
      <c r="I111" s="201"/>
    </row>
    <row r="112" spans="1:9" ht="45" customHeight="1">
      <c r="A112" s="202" t="s">
        <v>16</v>
      </c>
      <c r="B112" s="202"/>
      <c r="C112" s="202"/>
      <c r="D112" s="202"/>
      <c r="E112" s="202"/>
      <c r="F112" s="202"/>
      <c r="G112" s="202"/>
      <c r="H112" s="202"/>
      <c r="I112" s="202"/>
    </row>
    <row r="113" spans="1:9" ht="30" customHeight="1">
      <c r="A113" s="202" t="s">
        <v>17</v>
      </c>
      <c r="B113" s="202"/>
      <c r="C113" s="202"/>
      <c r="D113" s="202"/>
      <c r="E113" s="202"/>
      <c r="F113" s="202"/>
      <c r="G113" s="202"/>
      <c r="H113" s="202"/>
      <c r="I113" s="202"/>
    </row>
    <row r="114" spans="1:9" ht="30" customHeight="1">
      <c r="A114" s="202" t="s">
        <v>21</v>
      </c>
      <c r="B114" s="202"/>
      <c r="C114" s="202"/>
      <c r="D114" s="202"/>
      <c r="E114" s="202"/>
      <c r="F114" s="202"/>
      <c r="G114" s="202"/>
      <c r="H114" s="202"/>
      <c r="I114" s="202"/>
    </row>
    <row r="115" spans="1:9" ht="15" customHeight="1">
      <c r="A115" s="202" t="s">
        <v>20</v>
      </c>
      <c r="B115" s="202"/>
      <c r="C115" s="202"/>
      <c r="D115" s="202"/>
      <c r="E115" s="202"/>
      <c r="F115" s="202"/>
      <c r="G115" s="202"/>
      <c r="H115" s="202"/>
      <c r="I115" s="202"/>
    </row>
  </sheetData>
  <autoFilter ref="I12:I66"/>
  <mergeCells count="30">
    <mergeCell ref="A111:I111"/>
    <mergeCell ref="A112:I112"/>
    <mergeCell ref="A113:I113"/>
    <mergeCell ref="A114:I114"/>
    <mergeCell ref="A115:I115"/>
    <mergeCell ref="R71:U71"/>
    <mergeCell ref="C109:E109"/>
    <mergeCell ref="A88:I88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84:I84"/>
    <mergeCell ref="A94:I94"/>
    <mergeCell ref="A3:I3"/>
    <mergeCell ref="A4:I4"/>
    <mergeCell ref="A5:I5"/>
    <mergeCell ref="A8:I8"/>
    <mergeCell ref="A10:I10"/>
    <mergeCell ref="A14:I14"/>
    <mergeCell ref="A15:I15"/>
    <mergeCell ref="A28:I28"/>
    <mergeCell ref="A45:I45"/>
    <mergeCell ref="A56:I5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21"/>
  <sheetViews>
    <sheetView topLeftCell="A52" workbookViewId="0">
      <selection activeCell="K101" sqref="K10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4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219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82" t="s">
        <v>148</v>
      </c>
      <c r="B3" s="182"/>
      <c r="C3" s="182"/>
      <c r="D3" s="182"/>
      <c r="E3" s="182"/>
      <c r="F3" s="182"/>
      <c r="G3" s="182"/>
      <c r="H3" s="182"/>
      <c r="I3" s="182"/>
      <c r="J3" s="3"/>
      <c r="K3" s="3"/>
      <c r="L3" s="3"/>
    </row>
    <row r="4" spans="1:13" ht="31.5" customHeight="1">
      <c r="A4" s="183" t="s">
        <v>124</v>
      </c>
      <c r="B4" s="183"/>
      <c r="C4" s="183"/>
      <c r="D4" s="183"/>
      <c r="E4" s="183"/>
      <c r="F4" s="183"/>
      <c r="G4" s="183"/>
      <c r="H4" s="183"/>
      <c r="I4" s="183"/>
    </row>
    <row r="5" spans="1:13" ht="15.75" customHeight="1">
      <c r="A5" s="182" t="s">
        <v>251</v>
      </c>
      <c r="B5" s="184"/>
      <c r="C5" s="184"/>
      <c r="D5" s="184"/>
      <c r="E5" s="184"/>
      <c r="F5" s="184"/>
      <c r="G5" s="184"/>
      <c r="H5" s="184"/>
      <c r="I5" s="184"/>
      <c r="J5" s="2"/>
      <c r="K5" s="2"/>
      <c r="L5" s="2"/>
      <c r="M5" s="2"/>
    </row>
    <row r="6" spans="1:13" ht="15.75" customHeight="1">
      <c r="A6" s="2"/>
      <c r="B6" s="65"/>
      <c r="C6" s="65"/>
      <c r="D6" s="65"/>
      <c r="E6" s="65"/>
      <c r="F6" s="65"/>
      <c r="G6" s="65"/>
      <c r="H6" s="65"/>
      <c r="I6" s="30">
        <v>43404</v>
      </c>
      <c r="J6" s="2"/>
      <c r="K6" s="2"/>
      <c r="L6" s="2"/>
      <c r="M6" s="2"/>
    </row>
    <row r="7" spans="1:13" ht="15.75" customHeight="1">
      <c r="B7" s="61"/>
      <c r="C7" s="61"/>
      <c r="D7" s="6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85" t="s">
        <v>221</v>
      </c>
      <c r="B8" s="185"/>
      <c r="C8" s="185"/>
      <c r="D8" s="185"/>
      <c r="E8" s="185"/>
      <c r="F8" s="185"/>
      <c r="G8" s="185"/>
      <c r="H8" s="185"/>
      <c r="I8" s="18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86" t="s">
        <v>173</v>
      </c>
      <c r="B10" s="186"/>
      <c r="C10" s="186"/>
      <c r="D10" s="186"/>
      <c r="E10" s="186"/>
      <c r="F10" s="186"/>
      <c r="G10" s="186"/>
      <c r="H10" s="186"/>
      <c r="I10" s="18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7" t="s">
        <v>61</v>
      </c>
      <c r="B14" s="177"/>
      <c r="C14" s="177"/>
      <c r="D14" s="177"/>
      <c r="E14" s="177"/>
      <c r="F14" s="177"/>
      <c r="G14" s="177"/>
      <c r="H14" s="177"/>
      <c r="I14" s="177"/>
      <c r="J14" s="8"/>
      <c r="K14" s="8"/>
      <c r="L14" s="8"/>
      <c r="M14" s="8"/>
    </row>
    <row r="15" spans="1:13" ht="15.75" customHeight="1">
      <c r="A15" s="178" t="s">
        <v>4</v>
      </c>
      <c r="B15" s="178"/>
      <c r="C15" s="178"/>
      <c r="D15" s="178"/>
      <c r="E15" s="178"/>
      <c r="F15" s="178"/>
      <c r="G15" s="178"/>
      <c r="H15" s="178"/>
      <c r="I15" s="178"/>
      <c r="J15" s="8"/>
      <c r="K15" s="8"/>
      <c r="L15" s="8"/>
      <c r="M15" s="8"/>
    </row>
    <row r="16" spans="1:13" ht="15.75" customHeight="1">
      <c r="A16" s="29">
        <v>1</v>
      </c>
      <c r="B16" s="71" t="s">
        <v>90</v>
      </c>
      <c r="C16" s="72" t="s">
        <v>99</v>
      </c>
      <c r="D16" s="71" t="s">
        <v>125</v>
      </c>
      <c r="E16" s="73">
        <v>92.5</v>
      </c>
      <c r="F16" s="74">
        <f>SUM(E16*156/100)</f>
        <v>144.30000000000001</v>
      </c>
      <c r="G16" s="74">
        <v>230</v>
      </c>
      <c r="H16" s="78">
        <f t="shared" ref="H16:H25" si="0">SUM(F16*G16/1000)</f>
        <v>33.189</v>
      </c>
      <c r="I16" s="13">
        <f>F16/12*G16</f>
        <v>2765.75</v>
      </c>
      <c r="J16" s="8"/>
      <c r="K16" s="8"/>
      <c r="L16" s="8"/>
      <c r="M16" s="8"/>
    </row>
    <row r="17" spans="1:13" ht="15.75" customHeight="1">
      <c r="A17" s="29">
        <v>2</v>
      </c>
      <c r="B17" s="71" t="s">
        <v>91</v>
      </c>
      <c r="C17" s="72" t="s">
        <v>99</v>
      </c>
      <c r="D17" s="71" t="s">
        <v>126</v>
      </c>
      <c r="E17" s="73">
        <v>288.8</v>
      </c>
      <c r="F17" s="74">
        <f>SUM(E17*104/100)</f>
        <v>300.35200000000003</v>
      </c>
      <c r="G17" s="74">
        <v>230</v>
      </c>
      <c r="H17" s="78">
        <f t="shared" si="0"/>
        <v>69.080960000000005</v>
      </c>
      <c r="I17" s="13">
        <f>F17/12*G17</f>
        <v>5756.7466666666678</v>
      </c>
      <c r="J17" s="22"/>
      <c r="K17" s="8"/>
      <c r="L17" s="8"/>
      <c r="M17" s="8"/>
    </row>
    <row r="18" spans="1:13" ht="15.75" customHeight="1">
      <c r="A18" s="29">
        <v>3</v>
      </c>
      <c r="B18" s="71" t="s">
        <v>92</v>
      </c>
      <c r="C18" s="72" t="s">
        <v>99</v>
      </c>
      <c r="D18" s="71" t="s">
        <v>149</v>
      </c>
      <c r="E18" s="73">
        <f>SUM(E16+E17)</f>
        <v>381.3</v>
      </c>
      <c r="F18" s="74">
        <f>SUM(E18*12/100)</f>
        <v>45.756</v>
      </c>
      <c r="G18" s="74">
        <v>661.67</v>
      </c>
      <c r="H18" s="78">
        <f t="shared" si="0"/>
        <v>30.275372519999998</v>
      </c>
      <c r="I18" s="13">
        <f>F18/12*G18</f>
        <v>2522.9477099999999</v>
      </c>
      <c r="J18" s="22"/>
      <c r="K18" s="8"/>
      <c r="L18" s="8"/>
      <c r="M18" s="8"/>
    </row>
    <row r="19" spans="1:13" ht="15.75" hidden="1" customHeight="1">
      <c r="A19" s="29">
        <v>4</v>
      </c>
      <c r="B19" s="71" t="s">
        <v>107</v>
      </c>
      <c r="C19" s="72" t="s">
        <v>108</v>
      </c>
      <c r="D19" s="71" t="s">
        <v>109</v>
      </c>
      <c r="E19" s="73">
        <v>19.2</v>
      </c>
      <c r="F19" s="74">
        <f>SUM(E19/10)</f>
        <v>1.92</v>
      </c>
      <c r="G19" s="74">
        <v>223.17</v>
      </c>
      <c r="H19" s="78">
        <f t="shared" si="0"/>
        <v>0.42848639999999993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4</v>
      </c>
      <c r="B20" s="71" t="s">
        <v>98</v>
      </c>
      <c r="C20" s="72" t="s">
        <v>99</v>
      </c>
      <c r="D20" s="71" t="s">
        <v>153</v>
      </c>
      <c r="E20" s="73">
        <v>27.3</v>
      </c>
      <c r="F20" s="74">
        <f>SUM(E20*2/100)</f>
        <v>0.54600000000000004</v>
      </c>
      <c r="G20" s="74">
        <v>285.76</v>
      </c>
      <c r="H20" s="78">
        <f t="shared" si="0"/>
        <v>0.15602495999999999</v>
      </c>
      <c r="I20" s="13">
        <f>F20/2*G20</f>
        <v>78.012479999999996</v>
      </c>
      <c r="J20" s="22"/>
      <c r="K20" s="8"/>
      <c r="L20" s="8"/>
      <c r="M20" s="8"/>
    </row>
    <row r="21" spans="1:13" ht="15.75" hidden="1" customHeight="1">
      <c r="A21" s="29">
        <v>5</v>
      </c>
      <c r="B21" s="71" t="s">
        <v>105</v>
      </c>
      <c r="C21" s="72" t="s">
        <v>99</v>
      </c>
      <c r="D21" s="71" t="s">
        <v>153</v>
      </c>
      <c r="E21" s="73">
        <v>9.08</v>
      </c>
      <c r="F21" s="74">
        <f>SUM(E21*2/100)</f>
        <v>0.18160000000000001</v>
      </c>
      <c r="G21" s="74">
        <v>283.44</v>
      </c>
      <c r="H21" s="78">
        <f>SUM(F21*G21/1000)</f>
        <v>5.1472704000000001E-2</v>
      </c>
      <c r="I21" s="13">
        <f>F21/2*G21</f>
        <v>25.736352</v>
      </c>
      <c r="J21" s="22"/>
      <c r="K21" s="8"/>
      <c r="L21" s="8"/>
      <c r="M21" s="8"/>
    </row>
    <row r="22" spans="1:13" ht="15.75" hidden="1" customHeight="1">
      <c r="A22" s="29">
        <v>7</v>
      </c>
      <c r="B22" s="71" t="s">
        <v>100</v>
      </c>
      <c r="C22" s="72" t="s">
        <v>54</v>
      </c>
      <c r="D22" s="71" t="s">
        <v>109</v>
      </c>
      <c r="E22" s="76">
        <v>30</v>
      </c>
      <c r="F22" s="74">
        <f>SUM(E22/100)</f>
        <v>0.3</v>
      </c>
      <c r="G22" s="74">
        <v>58.08</v>
      </c>
      <c r="H22" s="78">
        <f t="shared" si="0"/>
        <v>1.7423999999999999E-2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6</v>
      </c>
      <c r="B23" s="71" t="s">
        <v>101</v>
      </c>
      <c r="C23" s="72" t="s">
        <v>54</v>
      </c>
      <c r="D23" s="71" t="s">
        <v>109</v>
      </c>
      <c r="E23" s="73">
        <v>20</v>
      </c>
      <c r="F23" s="74">
        <f>SUM(E23/100)</f>
        <v>0.2</v>
      </c>
      <c r="G23" s="74">
        <v>511.12</v>
      </c>
      <c r="H23" s="78">
        <f t="shared" si="0"/>
        <v>0.10222400000000001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71" t="s">
        <v>102</v>
      </c>
      <c r="C24" s="72" t="s">
        <v>54</v>
      </c>
      <c r="D24" s="71" t="s">
        <v>109</v>
      </c>
      <c r="E24" s="73">
        <v>8.5</v>
      </c>
      <c r="F24" s="74">
        <f>SUM(E24/100)</f>
        <v>8.5000000000000006E-2</v>
      </c>
      <c r="G24" s="74">
        <v>683.05</v>
      </c>
      <c r="H24" s="78">
        <f t="shared" si="0"/>
        <v>5.805925E-2</v>
      </c>
      <c r="I24" s="13">
        <v>0</v>
      </c>
      <c r="J24" s="22"/>
      <c r="K24" s="8"/>
      <c r="L24" s="8"/>
      <c r="M24" s="8"/>
    </row>
    <row r="25" spans="1:13" ht="15.75" hidden="1" customHeight="1">
      <c r="A25" s="94">
        <v>7</v>
      </c>
      <c r="B25" s="83" t="s">
        <v>106</v>
      </c>
      <c r="C25" s="84" t="s">
        <v>54</v>
      </c>
      <c r="D25" s="83" t="s">
        <v>55</v>
      </c>
      <c r="E25" s="81">
        <v>20</v>
      </c>
      <c r="F25" s="85">
        <f>SUM(E25/100)</f>
        <v>0.2</v>
      </c>
      <c r="G25" s="85">
        <v>283.44</v>
      </c>
      <c r="H25" s="82">
        <f t="shared" si="0"/>
        <v>5.6688000000000002E-2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4</v>
      </c>
      <c r="B26" s="34" t="s">
        <v>66</v>
      </c>
      <c r="C26" s="44" t="s">
        <v>33</v>
      </c>
      <c r="D26" s="34" t="s">
        <v>154</v>
      </c>
      <c r="E26" s="118">
        <v>0.05</v>
      </c>
      <c r="F26" s="33">
        <f>SUM(E26*182)</f>
        <v>9.1</v>
      </c>
      <c r="G26" s="33">
        <v>264.85000000000002</v>
      </c>
      <c r="H26" s="119">
        <f t="shared" ref="H26:H27" si="1">SUM(F26*G26/1000)</f>
        <v>2.4101350000000004</v>
      </c>
      <c r="I26" s="13">
        <f>F26/12*G26</f>
        <v>200.84458333333333</v>
      </c>
      <c r="J26" s="23"/>
    </row>
    <row r="27" spans="1:13" ht="15.75" customHeight="1">
      <c r="A27" s="29">
        <v>5</v>
      </c>
      <c r="B27" s="120" t="s">
        <v>23</v>
      </c>
      <c r="C27" s="44" t="s">
        <v>24</v>
      </c>
      <c r="D27" s="34"/>
      <c r="E27" s="121">
        <v>3053.4</v>
      </c>
      <c r="F27" s="33">
        <f>SUM(E27*12)</f>
        <v>36640.800000000003</v>
      </c>
      <c r="G27" s="33">
        <v>4.09</v>
      </c>
      <c r="H27" s="119">
        <f t="shared" si="1"/>
        <v>149.860872</v>
      </c>
      <c r="I27" s="13">
        <f>F27/12*G27</f>
        <v>12488.405999999999</v>
      </c>
      <c r="J27" s="23"/>
    </row>
    <row r="28" spans="1:13" ht="15.75" customHeight="1">
      <c r="A28" s="178" t="s">
        <v>150</v>
      </c>
      <c r="B28" s="178"/>
      <c r="C28" s="178"/>
      <c r="D28" s="178"/>
      <c r="E28" s="178"/>
      <c r="F28" s="178"/>
      <c r="G28" s="178"/>
      <c r="H28" s="178"/>
      <c r="I28" s="178"/>
      <c r="J28" s="22"/>
      <c r="K28" s="8"/>
      <c r="L28" s="8"/>
      <c r="M28" s="8"/>
    </row>
    <row r="29" spans="1:13" ht="15.75" customHeight="1">
      <c r="A29" s="96"/>
      <c r="B29" s="104" t="s">
        <v>28</v>
      </c>
      <c r="C29" s="98"/>
      <c r="D29" s="97"/>
      <c r="E29" s="99"/>
      <c r="F29" s="100"/>
      <c r="G29" s="100"/>
      <c r="H29" s="105"/>
      <c r="I29" s="106"/>
      <c r="J29" s="22"/>
      <c r="K29" s="8"/>
      <c r="L29" s="8"/>
      <c r="M29" s="8"/>
    </row>
    <row r="30" spans="1:13" ht="15.75" customHeight="1">
      <c r="A30" s="29">
        <v>6</v>
      </c>
      <c r="B30" s="71" t="s">
        <v>110</v>
      </c>
      <c r="C30" s="72" t="s">
        <v>111</v>
      </c>
      <c r="D30" s="71" t="s">
        <v>127</v>
      </c>
      <c r="E30" s="74">
        <v>317.7</v>
      </c>
      <c r="F30" s="74">
        <f>SUM(E30*52/1000)</f>
        <v>16.520399999999999</v>
      </c>
      <c r="G30" s="74">
        <v>204.44</v>
      </c>
      <c r="H30" s="78">
        <f t="shared" ref="H30:H36" si="2">SUM(F30*G30/1000)</f>
        <v>3.3774305759999996</v>
      </c>
      <c r="I30" s="13">
        <f t="shared" ref="I30:I34" si="3">F30/6*G30</f>
        <v>562.90509599999996</v>
      </c>
      <c r="J30" s="22"/>
      <c r="K30" s="8"/>
      <c r="L30" s="8"/>
      <c r="M30" s="8"/>
    </row>
    <row r="31" spans="1:13" ht="31.5" customHeight="1">
      <c r="A31" s="29">
        <v>7</v>
      </c>
      <c r="B31" s="71" t="s">
        <v>137</v>
      </c>
      <c r="C31" s="72" t="s">
        <v>111</v>
      </c>
      <c r="D31" s="71" t="s">
        <v>128</v>
      </c>
      <c r="E31" s="74">
        <v>146.1</v>
      </c>
      <c r="F31" s="74">
        <f>SUM(E31*78/1000)</f>
        <v>11.395799999999999</v>
      </c>
      <c r="G31" s="74">
        <v>339.21</v>
      </c>
      <c r="H31" s="78">
        <f t="shared" si="2"/>
        <v>3.8655693179999995</v>
      </c>
      <c r="I31" s="13">
        <f t="shared" si="3"/>
        <v>644.26155299999994</v>
      </c>
      <c r="J31" s="22"/>
      <c r="K31" s="8"/>
      <c r="L31" s="8"/>
      <c r="M31" s="8"/>
    </row>
    <row r="32" spans="1:13" ht="15.75" hidden="1" customHeight="1">
      <c r="A32" s="29">
        <v>11</v>
      </c>
      <c r="B32" s="71" t="s">
        <v>27</v>
      </c>
      <c r="C32" s="72" t="s">
        <v>111</v>
      </c>
      <c r="D32" s="71" t="s">
        <v>55</v>
      </c>
      <c r="E32" s="74">
        <f>E30</f>
        <v>317.7</v>
      </c>
      <c r="F32" s="74">
        <f>SUM(E32/1000)</f>
        <v>0.31769999999999998</v>
      </c>
      <c r="G32" s="74">
        <v>3961.23</v>
      </c>
      <c r="H32" s="78">
        <f t="shared" si="2"/>
        <v>1.2584827709999999</v>
      </c>
      <c r="I32" s="13">
        <f>F32*G32</f>
        <v>1258.482771</v>
      </c>
      <c r="J32" s="22"/>
      <c r="K32" s="8"/>
      <c r="L32" s="8"/>
      <c r="M32" s="8"/>
    </row>
    <row r="33" spans="1:14" ht="15.75" customHeight="1">
      <c r="A33" s="29">
        <v>8</v>
      </c>
      <c r="B33" s="71" t="s">
        <v>155</v>
      </c>
      <c r="C33" s="72" t="s">
        <v>41</v>
      </c>
      <c r="D33" s="71" t="s">
        <v>65</v>
      </c>
      <c r="E33" s="74">
        <v>5</v>
      </c>
      <c r="F33" s="74">
        <f>E33*155/100</f>
        <v>7.75</v>
      </c>
      <c r="G33" s="74">
        <v>1707.63</v>
      </c>
      <c r="H33" s="78">
        <f t="shared" si="2"/>
        <v>13.234132500000001</v>
      </c>
      <c r="I33" s="13">
        <f t="shared" si="3"/>
        <v>2205.6887500000003</v>
      </c>
      <c r="J33" s="22"/>
      <c r="K33" s="8"/>
      <c r="L33" s="8"/>
      <c r="M33" s="8"/>
    </row>
    <row r="34" spans="1:14" ht="15.75" customHeight="1">
      <c r="A34" s="29">
        <v>9</v>
      </c>
      <c r="B34" s="71" t="s">
        <v>112</v>
      </c>
      <c r="C34" s="72" t="s">
        <v>31</v>
      </c>
      <c r="D34" s="71" t="s">
        <v>65</v>
      </c>
      <c r="E34" s="80">
        <f>1/6</f>
        <v>0.16666666666666666</v>
      </c>
      <c r="F34" s="74">
        <f>155/6</f>
        <v>25.833333333333332</v>
      </c>
      <c r="G34" s="74">
        <v>74.349999999999994</v>
      </c>
      <c r="H34" s="78">
        <f t="shared" si="2"/>
        <v>1.920708333333333</v>
      </c>
      <c r="I34" s="13">
        <f t="shared" si="3"/>
        <v>320.11805555555554</v>
      </c>
      <c r="J34" s="22"/>
      <c r="K34" s="8"/>
      <c r="L34" s="8"/>
      <c r="M34" s="8"/>
    </row>
    <row r="35" spans="1:14" ht="15.75" hidden="1" customHeight="1">
      <c r="A35" s="29"/>
      <c r="B35" s="34" t="s">
        <v>67</v>
      </c>
      <c r="C35" s="44" t="s">
        <v>33</v>
      </c>
      <c r="D35" s="34" t="s">
        <v>69</v>
      </c>
      <c r="E35" s="121"/>
      <c r="F35" s="33">
        <v>2</v>
      </c>
      <c r="G35" s="33">
        <v>250.92</v>
      </c>
      <c r="H35" s="119">
        <f t="shared" si="2"/>
        <v>0.50183999999999995</v>
      </c>
      <c r="I35" s="13">
        <v>0</v>
      </c>
      <c r="J35" s="22"/>
      <c r="K35" s="8"/>
    </row>
    <row r="36" spans="1:14" ht="15.75" hidden="1" customHeight="1">
      <c r="A36" s="29"/>
      <c r="B36" s="34" t="s">
        <v>68</v>
      </c>
      <c r="C36" s="44" t="s">
        <v>32</v>
      </c>
      <c r="D36" s="34" t="s">
        <v>69</v>
      </c>
      <c r="E36" s="121"/>
      <c r="F36" s="33">
        <v>1</v>
      </c>
      <c r="G36" s="33">
        <v>1490.31</v>
      </c>
      <c r="H36" s="119">
        <f t="shared" si="2"/>
        <v>1.49031</v>
      </c>
      <c r="I36" s="13"/>
      <c r="J36" s="22"/>
      <c r="K36" s="8"/>
    </row>
    <row r="37" spans="1:14" ht="15.75" hidden="1" customHeight="1">
      <c r="A37" s="29"/>
      <c r="B37" s="93" t="s">
        <v>5</v>
      </c>
      <c r="C37" s="72"/>
      <c r="D37" s="71"/>
      <c r="E37" s="73"/>
      <c r="F37" s="74"/>
      <c r="G37" s="74"/>
      <c r="H37" s="78" t="s">
        <v>132</v>
      </c>
      <c r="I37" s="79"/>
      <c r="J37" s="23"/>
    </row>
    <row r="38" spans="1:14" ht="15.75" hidden="1" customHeight="1">
      <c r="A38" s="29">
        <v>9</v>
      </c>
      <c r="B38" s="71" t="s">
        <v>26</v>
      </c>
      <c r="C38" s="72" t="s">
        <v>32</v>
      </c>
      <c r="D38" s="71"/>
      <c r="E38" s="73"/>
      <c r="F38" s="74">
        <v>3</v>
      </c>
      <c r="G38" s="74">
        <v>2003</v>
      </c>
      <c r="H38" s="78">
        <f t="shared" ref="H38:H44" si="4">SUM(F38*G38/1000)</f>
        <v>6.0090000000000003</v>
      </c>
      <c r="I38" s="13">
        <f t="shared" ref="I38:I44" si="5">F38/6*G38</f>
        <v>1001.5</v>
      </c>
      <c r="J38" s="23"/>
    </row>
    <row r="39" spans="1:14" ht="15.75" hidden="1" customHeight="1">
      <c r="A39" s="29">
        <v>10</v>
      </c>
      <c r="B39" s="71" t="s">
        <v>70</v>
      </c>
      <c r="C39" s="72" t="s">
        <v>29</v>
      </c>
      <c r="D39" s="71" t="s">
        <v>156</v>
      </c>
      <c r="E39" s="74">
        <v>160.6</v>
      </c>
      <c r="F39" s="74">
        <f>SUM(E39*18/1000)</f>
        <v>2.8907999999999996</v>
      </c>
      <c r="G39" s="74">
        <v>2757.78</v>
      </c>
      <c r="H39" s="78">
        <f t="shared" si="4"/>
        <v>7.972190423999999</v>
      </c>
      <c r="I39" s="13">
        <f t="shared" si="5"/>
        <v>1328.698404</v>
      </c>
      <c r="J39" s="23"/>
    </row>
    <row r="40" spans="1:14" ht="15.75" hidden="1" customHeight="1">
      <c r="A40" s="29">
        <v>11</v>
      </c>
      <c r="B40" s="71" t="s">
        <v>71</v>
      </c>
      <c r="C40" s="72" t="s">
        <v>29</v>
      </c>
      <c r="D40" s="71" t="s">
        <v>129</v>
      </c>
      <c r="E40" s="73">
        <v>89.1</v>
      </c>
      <c r="F40" s="74">
        <f>SUM(E40*155/1000)</f>
        <v>13.810499999999999</v>
      </c>
      <c r="G40" s="74">
        <v>460.02</v>
      </c>
      <c r="H40" s="78">
        <f t="shared" si="4"/>
        <v>6.3531062099999991</v>
      </c>
      <c r="I40" s="13">
        <f t="shared" si="5"/>
        <v>1058.8510349999999</v>
      </c>
      <c r="J40" s="23"/>
    </row>
    <row r="41" spans="1:14" ht="15.75" hidden="1" customHeight="1">
      <c r="A41" s="29">
        <v>12</v>
      </c>
      <c r="B41" s="71" t="s">
        <v>157</v>
      </c>
      <c r="C41" s="72" t="s">
        <v>158</v>
      </c>
      <c r="D41" s="71" t="s">
        <v>69</v>
      </c>
      <c r="E41" s="73"/>
      <c r="F41" s="74">
        <v>39</v>
      </c>
      <c r="G41" s="74">
        <v>301.70999999999998</v>
      </c>
      <c r="H41" s="78">
        <f t="shared" si="4"/>
        <v>11.766689999999999</v>
      </c>
      <c r="I41" s="13">
        <v>0</v>
      </c>
      <c r="J41" s="23"/>
    </row>
    <row r="42" spans="1:14" ht="47.25" hidden="1" customHeight="1">
      <c r="A42" s="29">
        <v>13</v>
      </c>
      <c r="B42" s="71" t="s">
        <v>88</v>
      </c>
      <c r="C42" s="72" t="s">
        <v>111</v>
      </c>
      <c r="D42" s="71" t="s">
        <v>159</v>
      </c>
      <c r="E42" s="74">
        <v>46.5</v>
      </c>
      <c r="F42" s="74">
        <f>SUM(E42*35/1000)</f>
        <v>1.6274999999999999</v>
      </c>
      <c r="G42" s="74">
        <v>7611.16</v>
      </c>
      <c r="H42" s="78">
        <f t="shared" si="4"/>
        <v>12.3871629</v>
      </c>
      <c r="I42" s="13">
        <f t="shared" si="5"/>
        <v>2064.5271499999999</v>
      </c>
      <c r="J42" s="23"/>
      <c r="L42" s="19"/>
      <c r="M42" s="20"/>
      <c r="N42" s="21"/>
    </row>
    <row r="43" spans="1:14" ht="15.75" hidden="1" customHeight="1">
      <c r="A43" s="94">
        <v>14</v>
      </c>
      <c r="B43" s="71" t="s">
        <v>113</v>
      </c>
      <c r="C43" s="72" t="s">
        <v>111</v>
      </c>
      <c r="D43" s="71" t="s">
        <v>72</v>
      </c>
      <c r="E43" s="74">
        <v>89.1</v>
      </c>
      <c r="F43" s="74">
        <f>SUM(E43*45/1000)</f>
        <v>4.0094999999999992</v>
      </c>
      <c r="G43" s="74">
        <v>562.25</v>
      </c>
      <c r="H43" s="78">
        <f t="shared" si="4"/>
        <v>2.2543413749999996</v>
      </c>
      <c r="I43" s="13">
        <f t="shared" si="5"/>
        <v>375.72356249999996</v>
      </c>
      <c r="J43" s="23"/>
      <c r="L43" s="19"/>
      <c r="M43" s="20"/>
      <c r="N43" s="21"/>
    </row>
    <row r="44" spans="1:14" ht="15.75" hidden="1" customHeight="1">
      <c r="A44" s="122"/>
      <c r="B44" s="71" t="s">
        <v>73</v>
      </c>
      <c r="C44" s="72" t="s">
        <v>33</v>
      </c>
      <c r="D44" s="71"/>
      <c r="E44" s="73"/>
      <c r="F44" s="74">
        <v>0.9</v>
      </c>
      <c r="G44" s="74">
        <v>974.83</v>
      </c>
      <c r="H44" s="78">
        <f t="shared" si="4"/>
        <v>0.8773470000000001</v>
      </c>
      <c r="I44" s="13">
        <f t="shared" si="5"/>
        <v>146.22450000000001</v>
      </c>
      <c r="J44" s="23"/>
      <c r="L44" s="19"/>
      <c r="M44" s="20"/>
      <c r="N44" s="21"/>
    </row>
    <row r="45" spans="1:14" ht="15" customHeight="1">
      <c r="A45" s="179" t="s">
        <v>138</v>
      </c>
      <c r="B45" s="180"/>
      <c r="C45" s="180"/>
      <c r="D45" s="180"/>
      <c r="E45" s="180"/>
      <c r="F45" s="180"/>
      <c r="G45" s="180"/>
      <c r="H45" s="180"/>
      <c r="I45" s="181"/>
      <c r="J45" s="23"/>
      <c r="L45" s="19"/>
      <c r="M45" s="20"/>
      <c r="N45" s="21"/>
    </row>
    <row r="46" spans="1:14" ht="25.5" hidden="1" customHeight="1">
      <c r="A46" s="96">
        <v>12</v>
      </c>
      <c r="B46" s="34" t="s">
        <v>114</v>
      </c>
      <c r="C46" s="44" t="s">
        <v>111</v>
      </c>
      <c r="D46" s="34" t="s">
        <v>43</v>
      </c>
      <c r="E46" s="121">
        <v>1632.75</v>
      </c>
      <c r="F46" s="33">
        <f>SUM(E46*2/1000)</f>
        <v>3.2654999999999998</v>
      </c>
      <c r="G46" s="36">
        <v>1062</v>
      </c>
      <c r="H46" s="119">
        <f t="shared" ref="H46:H55" si="6">SUM(F46*G46/1000)</f>
        <v>3.4679609999999998</v>
      </c>
      <c r="I46" s="13">
        <f>F46/2*G46</f>
        <v>1733.9804999999999</v>
      </c>
      <c r="J46" s="23"/>
      <c r="L46" s="19"/>
      <c r="M46" s="20"/>
      <c r="N46" s="21"/>
    </row>
    <row r="47" spans="1:14" ht="29.25" hidden="1" customHeight="1">
      <c r="A47" s="29">
        <v>13</v>
      </c>
      <c r="B47" s="34" t="s">
        <v>36</v>
      </c>
      <c r="C47" s="44" t="s">
        <v>111</v>
      </c>
      <c r="D47" s="34" t="s">
        <v>43</v>
      </c>
      <c r="E47" s="121">
        <v>53.75</v>
      </c>
      <c r="F47" s="33">
        <f>SUM(E47*2/1000)</f>
        <v>0.1075</v>
      </c>
      <c r="G47" s="36">
        <v>759.98</v>
      </c>
      <c r="H47" s="119">
        <f t="shared" si="6"/>
        <v>8.1697850000000002E-2</v>
      </c>
      <c r="I47" s="13">
        <f t="shared" ref="I47:I54" si="7">F47/2*G47</f>
        <v>40.848925000000001</v>
      </c>
      <c r="J47" s="23"/>
      <c r="L47" s="19"/>
      <c r="M47" s="20"/>
      <c r="N47" s="21"/>
    </row>
    <row r="48" spans="1:14" ht="30" hidden="1" customHeight="1">
      <c r="A48" s="29">
        <v>14</v>
      </c>
      <c r="B48" s="34" t="s">
        <v>37</v>
      </c>
      <c r="C48" s="44" t="s">
        <v>111</v>
      </c>
      <c r="D48" s="34" t="s">
        <v>43</v>
      </c>
      <c r="E48" s="121">
        <v>2285.6</v>
      </c>
      <c r="F48" s="33">
        <f>SUM(E48*2/1000)</f>
        <v>4.5712000000000002</v>
      </c>
      <c r="G48" s="36">
        <v>759.98</v>
      </c>
      <c r="H48" s="119">
        <f t="shared" si="6"/>
        <v>3.4740205760000005</v>
      </c>
      <c r="I48" s="13">
        <f t="shared" si="7"/>
        <v>1737.0102880000002</v>
      </c>
      <c r="J48" s="23"/>
      <c r="L48" s="19"/>
      <c r="M48" s="20"/>
      <c r="N48" s="21"/>
    </row>
    <row r="49" spans="1:14" ht="31.5" hidden="1" customHeight="1">
      <c r="A49" s="29">
        <v>15</v>
      </c>
      <c r="B49" s="34" t="s">
        <v>38</v>
      </c>
      <c r="C49" s="44" t="s">
        <v>111</v>
      </c>
      <c r="D49" s="34" t="s">
        <v>43</v>
      </c>
      <c r="E49" s="121">
        <v>1860</v>
      </c>
      <c r="F49" s="33">
        <f>SUM(E49*2/1000)</f>
        <v>3.72</v>
      </c>
      <c r="G49" s="36">
        <v>795.82</v>
      </c>
      <c r="H49" s="119">
        <f t="shared" si="6"/>
        <v>2.9604504</v>
      </c>
      <c r="I49" s="13">
        <f t="shared" si="7"/>
        <v>1480.2252000000001</v>
      </c>
      <c r="J49" s="23"/>
      <c r="L49" s="19"/>
      <c r="M49" s="20"/>
      <c r="N49" s="21"/>
    </row>
    <row r="50" spans="1:14" ht="30" hidden="1" customHeight="1">
      <c r="A50" s="29">
        <v>16</v>
      </c>
      <c r="B50" s="34" t="s">
        <v>34</v>
      </c>
      <c r="C50" s="44" t="s">
        <v>35</v>
      </c>
      <c r="D50" s="34" t="s">
        <v>43</v>
      </c>
      <c r="E50" s="121">
        <v>120.5</v>
      </c>
      <c r="F50" s="33">
        <f>SUM(E50*2/100)</f>
        <v>2.41</v>
      </c>
      <c r="G50" s="36">
        <v>95.49</v>
      </c>
      <c r="H50" s="119">
        <f t="shared" si="6"/>
        <v>0.2301309</v>
      </c>
      <c r="I50" s="13">
        <f t="shared" si="7"/>
        <v>115.06545</v>
      </c>
      <c r="J50" s="23"/>
      <c r="L50" s="19"/>
      <c r="M50" s="20"/>
      <c r="N50" s="21"/>
    </row>
    <row r="51" spans="1:14" ht="32.25" hidden="1" customHeight="1">
      <c r="A51" s="29">
        <v>17</v>
      </c>
      <c r="B51" s="34" t="s">
        <v>58</v>
      </c>
      <c r="C51" s="44" t="s">
        <v>111</v>
      </c>
      <c r="D51" s="34" t="s">
        <v>141</v>
      </c>
      <c r="E51" s="121">
        <v>3053.4</v>
      </c>
      <c r="F51" s="33">
        <f>SUM(E51*5/1000)</f>
        <v>15.266999999999999</v>
      </c>
      <c r="G51" s="36">
        <v>1591.6</v>
      </c>
      <c r="H51" s="119">
        <f t="shared" si="6"/>
        <v>24.298957199999997</v>
      </c>
      <c r="I51" s="13">
        <f>F51/5*G51</f>
        <v>4859.79144</v>
      </c>
      <c r="J51" s="23"/>
      <c r="L51" s="19"/>
      <c r="M51" s="20"/>
      <c r="N51" s="21"/>
    </row>
    <row r="52" spans="1:14" ht="33" customHeight="1">
      <c r="A52" s="29">
        <v>10</v>
      </c>
      <c r="B52" s="34" t="s">
        <v>115</v>
      </c>
      <c r="C52" s="44" t="s">
        <v>111</v>
      </c>
      <c r="D52" s="34" t="s">
        <v>43</v>
      </c>
      <c r="E52" s="121">
        <f>E51</f>
        <v>3053.4</v>
      </c>
      <c r="F52" s="33">
        <f>SUM(E52*2/1000)</f>
        <v>6.1067999999999998</v>
      </c>
      <c r="G52" s="36">
        <v>1591.6</v>
      </c>
      <c r="H52" s="119">
        <f t="shared" si="6"/>
        <v>9.7195828800000008</v>
      </c>
      <c r="I52" s="13">
        <f t="shared" si="7"/>
        <v>4859.79144</v>
      </c>
      <c r="J52" s="23"/>
      <c r="L52" s="19"/>
      <c r="M52" s="20"/>
      <c r="N52" s="21"/>
    </row>
    <row r="53" spans="1:14" ht="32.25" customHeight="1">
      <c r="A53" s="29">
        <v>11</v>
      </c>
      <c r="B53" s="34" t="s">
        <v>133</v>
      </c>
      <c r="C53" s="44" t="s">
        <v>39</v>
      </c>
      <c r="D53" s="34" t="s">
        <v>43</v>
      </c>
      <c r="E53" s="121">
        <v>20</v>
      </c>
      <c r="F53" s="33">
        <f>SUM(E53*2/100)</f>
        <v>0.4</v>
      </c>
      <c r="G53" s="36">
        <v>3581.13</v>
      </c>
      <c r="H53" s="119">
        <f t="shared" si="6"/>
        <v>1.4324520000000003</v>
      </c>
      <c r="I53" s="13">
        <f t="shared" si="7"/>
        <v>716.22600000000011</v>
      </c>
      <c r="J53" s="23"/>
      <c r="L53" s="19"/>
      <c r="M53" s="20"/>
      <c r="N53" s="21"/>
    </row>
    <row r="54" spans="1:14" ht="16.5" customHeight="1">
      <c r="A54" s="29">
        <v>12</v>
      </c>
      <c r="B54" s="34" t="s">
        <v>40</v>
      </c>
      <c r="C54" s="44" t="s">
        <v>41</v>
      </c>
      <c r="D54" s="34" t="s">
        <v>43</v>
      </c>
      <c r="E54" s="121">
        <v>1</v>
      </c>
      <c r="F54" s="33">
        <v>0.02</v>
      </c>
      <c r="G54" s="36">
        <v>7412.92</v>
      </c>
      <c r="H54" s="119">
        <f t="shared" si="6"/>
        <v>0.14825839999999998</v>
      </c>
      <c r="I54" s="13">
        <f t="shared" si="7"/>
        <v>74.129199999999997</v>
      </c>
      <c r="J54" s="23"/>
      <c r="L54" s="19"/>
      <c r="M54" s="20"/>
      <c r="N54" s="21"/>
    </row>
    <row r="55" spans="1:14" ht="28.5" hidden="1" customHeight="1">
      <c r="A55" s="29">
        <v>18</v>
      </c>
      <c r="B55" s="34" t="s">
        <v>42</v>
      </c>
      <c r="C55" s="44" t="s">
        <v>95</v>
      </c>
      <c r="D55" s="34" t="s">
        <v>74</v>
      </c>
      <c r="E55" s="121">
        <v>128</v>
      </c>
      <c r="F55" s="33">
        <f>SUM(E55)*3</f>
        <v>384</v>
      </c>
      <c r="G55" s="37">
        <v>86.15</v>
      </c>
      <c r="H55" s="119">
        <f t="shared" si="6"/>
        <v>33.081600000000009</v>
      </c>
      <c r="I55" s="13">
        <f>E55*G55</f>
        <v>11027.2</v>
      </c>
      <c r="J55" s="23"/>
      <c r="L55" s="19"/>
      <c r="M55" s="20"/>
      <c r="N55" s="21"/>
    </row>
    <row r="56" spans="1:14" ht="15.75" customHeight="1">
      <c r="A56" s="203" t="s">
        <v>139</v>
      </c>
      <c r="B56" s="204"/>
      <c r="C56" s="204"/>
      <c r="D56" s="204"/>
      <c r="E56" s="204"/>
      <c r="F56" s="204"/>
      <c r="G56" s="204"/>
      <c r="H56" s="204"/>
      <c r="I56" s="205"/>
      <c r="J56" s="23"/>
      <c r="L56" s="19"/>
      <c r="M56" s="20"/>
      <c r="N56" s="21"/>
    </row>
    <row r="57" spans="1:14" ht="15.75" hidden="1" customHeight="1">
      <c r="A57" s="29"/>
      <c r="B57" s="93" t="s">
        <v>44</v>
      </c>
      <c r="C57" s="72"/>
      <c r="D57" s="71"/>
      <c r="E57" s="73"/>
      <c r="F57" s="74"/>
      <c r="G57" s="74"/>
      <c r="H57" s="78"/>
      <c r="I57" s="79"/>
      <c r="J57" s="23"/>
      <c r="L57" s="19"/>
      <c r="M57" s="20"/>
      <c r="N57" s="21"/>
    </row>
    <row r="58" spans="1:14" ht="31.5" hidden="1" customHeight="1">
      <c r="A58" s="29">
        <v>17</v>
      </c>
      <c r="B58" s="71" t="s">
        <v>116</v>
      </c>
      <c r="C58" s="72" t="s">
        <v>99</v>
      </c>
      <c r="D58" s="71" t="s">
        <v>117</v>
      </c>
      <c r="E58" s="73">
        <v>92.7</v>
      </c>
      <c r="F58" s="74">
        <f>SUM(E58*6/100)</f>
        <v>5.5620000000000003</v>
      </c>
      <c r="G58" s="13">
        <v>2431.1799999999998</v>
      </c>
      <c r="H58" s="78">
        <f>SUM(F58*G58/1000)</f>
        <v>13.522223159999999</v>
      </c>
      <c r="I58" s="13">
        <f>F58/6*G58</f>
        <v>2253.7038600000001</v>
      </c>
      <c r="J58" s="23"/>
      <c r="L58" s="19"/>
      <c r="M58" s="20"/>
      <c r="N58" s="21"/>
    </row>
    <row r="59" spans="1:14" ht="15.75" hidden="1" customHeight="1">
      <c r="A59" s="29">
        <v>19</v>
      </c>
      <c r="B59" s="71" t="s">
        <v>134</v>
      </c>
      <c r="C59" s="72" t="s">
        <v>135</v>
      </c>
      <c r="D59" s="14" t="s">
        <v>69</v>
      </c>
      <c r="E59" s="73"/>
      <c r="F59" s="74">
        <v>2</v>
      </c>
      <c r="G59" s="67">
        <v>1582.05</v>
      </c>
      <c r="H59" s="78">
        <f>SUM(F59*G59/1000)</f>
        <v>3.1640999999999999</v>
      </c>
      <c r="I59" s="13">
        <f>G59*2</f>
        <v>3164.1</v>
      </c>
      <c r="J59" s="23"/>
      <c r="L59" s="19"/>
      <c r="M59" s="20"/>
      <c r="N59" s="21"/>
    </row>
    <row r="60" spans="1:14" ht="15.75" customHeight="1">
      <c r="A60" s="29"/>
      <c r="B60" s="93" t="s">
        <v>45</v>
      </c>
      <c r="C60" s="72"/>
      <c r="D60" s="71"/>
      <c r="E60" s="73"/>
      <c r="F60" s="74"/>
      <c r="G60" s="74"/>
      <c r="H60" s="75" t="s">
        <v>132</v>
      </c>
      <c r="I60" s="79"/>
      <c r="J60" s="23"/>
      <c r="L60" s="19"/>
      <c r="M60" s="20"/>
      <c r="N60" s="21"/>
    </row>
    <row r="61" spans="1:14" ht="15.75" hidden="1" customHeight="1">
      <c r="A61" s="29"/>
      <c r="B61" s="34" t="s">
        <v>46</v>
      </c>
      <c r="C61" s="44" t="s">
        <v>99</v>
      </c>
      <c r="D61" s="34" t="s">
        <v>55</v>
      </c>
      <c r="E61" s="123">
        <v>145</v>
      </c>
      <c r="F61" s="33">
        <f>SUM(E61/100)</f>
        <v>1.45</v>
      </c>
      <c r="G61" s="36">
        <v>1040.8399999999999</v>
      </c>
      <c r="H61" s="124">
        <v>9.1679999999999993</v>
      </c>
      <c r="I61" s="13">
        <v>0</v>
      </c>
      <c r="J61" s="23"/>
      <c r="L61" s="19"/>
      <c r="M61" s="20"/>
      <c r="N61" s="21"/>
    </row>
    <row r="62" spans="1:14" ht="15.75" customHeight="1">
      <c r="A62" s="29">
        <v>13</v>
      </c>
      <c r="B62" s="125" t="s">
        <v>96</v>
      </c>
      <c r="C62" s="126" t="s">
        <v>25</v>
      </c>
      <c r="D62" s="125" t="s">
        <v>30</v>
      </c>
      <c r="E62" s="123">
        <v>255.2</v>
      </c>
      <c r="F62" s="33">
        <v>2400</v>
      </c>
      <c r="G62" s="127">
        <v>1.2</v>
      </c>
      <c r="H62" s="128">
        <f>G62*F62/1000</f>
        <v>2.88</v>
      </c>
      <c r="I62" s="13">
        <f>F62/12*G62</f>
        <v>240</v>
      </c>
      <c r="J62" s="23"/>
      <c r="L62" s="19"/>
      <c r="M62" s="20"/>
      <c r="N62" s="21"/>
    </row>
    <row r="63" spans="1:14" ht="15.75" customHeight="1">
      <c r="A63" s="29"/>
      <c r="B63" s="102" t="s">
        <v>47</v>
      </c>
      <c r="C63" s="84"/>
      <c r="D63" s="83"/>
      <c r="E63" s="81"/>
      <c r="F63" s="85"/>
      <c r="G63" s="85"/>
      <c r="H63" s="86" t="s">
        <v>132</v>
      </c>
      <c r="I63" s="79"/>
      <c r="J63" s="23"/>
      <c r="L63" s="19"/>
      <c r="M63" s="20"/>
      <c r="N63" s="21"/>
    </row>
    <row r="64" spans="1:14" ht="15.75" customHeight="1">
      <c r="A64" s="29">
        <v>14</v>
      </c>
      <c r="B64" s="56" t="s">
        <v>48</v>
      </c>
      <c r="C64" s="40" t="s">
        <v>95</v>
      </c>
      <c r="D64" s="39" t="s">
        <v>69</v>
      </c>
      <c r="E64" s="17">
        <v>6</v>
      </c>
      <c r="F64" s="33">
        <f>SUM(E64)</f>
        <v>6</v>
      </c>
      <c r="G64" s="36">
        <v>291.68</v>
      </c>
      <c r="H64" s="114">
        <f t="shared" ref="H64:H72" si="8">SUM(F64*G64/1000)</f>
        <v>1.7500799999999999</v>
      </c>
      <c r="I64" s="13">
        <f>G64</f>
        <v>291.68</v>
      </c>
      <c r="J64" s="23"/>
      <c r="L64" s="19"/>
    </row>
    <row r="65" spans="1:22" ht="15.75" hidden="1" customHeight="1">
      <c r="A65" s="29"/>
      <c r="B65" s="56" t="s">
        <v>49</v>
      </c>
      <c r="C65" s="40" t="s">
        <v>95</v>
      </c>
      <c r="D65" s="39" t="s">
        <v>69</v>
      </c>
      <c r="E65" s="17">
        <v>4</v>
      </c>
      <c r="F65" s="33">
        <f>SUM(E65)</f>
        <v>4</v>
      </c>
      <c r="G65" s="36">
        <v>100.01</v>
      </c>
      <c r="H65" s="114">
        <f t="shared" si="8"/>
        <v>0.40004000000000001</v>
      </c>
      <c r="I65" s="13">
        <v>0</v>
      </c>
      <c r="J65" s="23"/>
      <c r="L65" s="19"/>
    </row>
    <row r="66" spans="1:22" ht="15.75" hidden="1" customHeight="1">
      <c r="A66" s="29"/>
      <c r="B66" s="56" t="s">
        <v>50</v>
      </c>
      <c r="C66" s="42" t="s">
        <v>118</v>
      </c>
      <c r="D66" s="39" t="s">
        <v>55</v>
      </c>
      <c r="E66" s="121">
        <v>15552</v>
      </c>
      <c r="F66" s="37">
        <f>SUM(E66/100)</f>
        <v>155.52000000000001</v>
      </c>
      <c r="G66" s="36">
        <v>278.24</v>
      </c>
      <c r="H66" s="114">
        <f t="shared" si="8"/>
        <v>43.271884800000009</v>
      </c>
      <c r="I66" s="13">
        <v>0</v>
      </c>
    </row>
    <row r="67" spans="1:22" ht="15.75" hidden="1" customHeight="1">
      <c r="A67" s="29"/>
      <c r="B67" s="56" t="s">
        <v>51</v>
      </c>
      <c r="C67" s="40" t="s">
        <v>119</v>
      </c>
      <c r="D67" s="39"/>
      <c r="E67" s="121">
        <v>15552</v>
      </c>
      <c r="F67" s="36">
        <f>SUM(E67/1000)</f>
        <v>15.552</v>
      </c>
      <c r="G67" s="36">
        <v>216.68</v>
      </c>
      <c r="H67" s="114">
        <f t="shared" si="8"/>
        <v>3.3698073600000003</v>
      </c>
      <c r="I67" s="13">
        <v>0</v>
      </c>
    </row>
    <row r="68" spans="1:22" ht="15.75" hidden="1" customHeight="1">
      <c r="A68" s="29"/>
      <c r="B68" s="56" t="s">
        <v>52</v>
      </c>
      <c r="C68" s="40" t="s">
        <v>81</v>
      </c>
      <c r="D68" s="39" t="s">
        <v>55</v>
      </c>
      <c r="E68" s="121">
        <v>2432</v>
      </c>
      <c r="F68" s="36">
        <f>SUM(E68/100)</f>
        <v>24.32</v>
      </c>
      <c r="G68" s="36">
        <v>2720.94</v>
      </c>
      <c r="H68" s="114">
        <f t="shared" si="8"/>
        <v>66.173260800000008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29"/>
      <c r="B69" s="53" t="s">
        <v>75</v>
      </c>
      <c r="C69" s="40" t="s">
        <v>33</v>
      </c>
      <c r="D69" s="39"/>
      <c r="E69" s="121">
        <v>14.8</v>
      </c>
      <c r="F69" s="36">
        <f>SUM(E69)</f>
        <v>14.8</v>
      </c>
      <c r="G69" s="36">
        <v>42.61</v>
      </c>
      <c r="H69" s="114">
        <f t="shared" si="8"/>
        <v>0.63062800000000008</v>
      </c>
      <c r="I69" s="13">
        <v>0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31.5" hidden="1" customHeight="1">
      <c r="A70" s="29"/>
      <c r="B70" s="53" t="s">
        <v>76</v>
      </c>
      <c r="C70" s="40" t="s">
        <v>33</v>
      </c>
      <c r="D70" s="39"/>
      <c r="E70" s="121">
        <f>E69</f>
        <v>14.8</v>
      </c>
      <c r="F70" s="36">
        <f>SUM(E70)</f>
        <v>14.8</v>
      </c>
      <c r="G70" s="36">
        <v>46.04</v>
      </c>
      <c r="H70" s="114">
        <f t="shared" si="8"/>
        <v>0.681392</v>
      </c>
      <c r="I70" s="13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hidden="1" customHeight="1">
      <c r="A71" s="29">
        <v>22</v>
      </c>
      <c r="B71" s="39" t="s">
        <v>59</v>
      </c>
      <c r="C71" s="40" t="s">
        <v>60</v>
      </c>
      <c r="D71" s="39" t="s">
        <v>55</v>
      </c>
      <c r="E71" s="17">
        <v>5</v>
      </c>
      <c r="F71" s="33">
        <f>SUM(E71)</f>
        <v>5</v>
      </c>
      <c r="G71" s="36">
        <v>65.42</v>
      </c>
      <c r="H71" s="114">
        <f t="shared" si="8"/>
        <v>0.3271</v>
      </c>
      <c r="I71" s="13">
        <f>G71*4</f>
        <v>261.68</v>
      </c>
      <c r="J71" s="5"/>
      <c r="K71" s="5"/>
      <c r="L71" s="5"/>
      <c r="M71" s="5"/>
      <c r="N71" s="5"/>
      <c r="O71" s="5"/>
      <c r="P71" s="5"/>
      <c r="Q71" s="5"/>
      <c r="R71" s="187"/>
      <c r="S71" s="187"/>
      <c r="T71" s="187"/>
      <c r="U71" s="187"/>
    </row>
    <row r="72" spans="1:22" ht="15.75" customHeight="1">
      <c r="A72" s="29">
        <v>15</v>
      </c>
      <c r="B72" s="39" t="s">
        <v>160</v>
      </c>
      <c r="C72" s="45" t="s">
        <v>161</v>
      </c>
      <c r="D72" s="39" t="s">
        <v>69</v>
      </c>
      <c r="E72" s="17">
        <f>E51</f>
        <v>3053.4</v>
      </c>
      <c r="F72" s="33">
        <f>SUM(E72*12)</f>
        <v>36640.800000000003</v>
      </c>
      <c r="G72" s="36">
        <v>2.2799999999999998</v>
      </c>
      <c r="H72" s="114">
        <f t="shared" si="8"/>
        <v>83.541024000000007</v>
      </c>
      <c r="I72" s="13">
        <f>F72/12*G72</f>
        <v>6961.7519999999995</v>
      </c>
      <c r="J72" s="5"/>
      <c r="K72" s="5"/>
      <c r="L72" s="5"/>
      <c r="M72" s="5"/>
      <c r="N72" s="5"/>
      <c r="O72" s="5"/>
      <c r="P72" s="5"/>
      <c r="Q72" s="5"/>
      <c r="R72" s="60"/>
      <c r="S72" s="60"/>
      <c r="T72" s="60"/>
      <c r="U72" s="60"/>
    </row>
    <row r="73" spans="1:22" ht="15.75" customHeight="1">
      <c r="A73" s="29"/>
      <c r="B73" s="66" t="s">
        <v>77</v>
      </c>
      <c r="C73" s="16"/>
      <c r="D73" s="14"/>
      <c r="E73" s="18"/>
      <c r="F73" s="13"/>
      <c r="G73" s="13"/>
      <c r="H73" s="87" t="s">
        <v>132</v>
      </c>
      <c r="I73" s="79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2" ht="15.75" hidden="1" customHeight="1">
      <c r="A74" s="29">
        <v>19</v>
      </c>
      <c r="B74" s="39" t="s">
        <v>162</v>
      </c>
      <c r="C74" s="40" t="s">
        <v>163</v>
      </c>
      <c r="D74" s="39" t="s">
        <v>69</v>
      </c>
      <c r="E74" s="17">
        <v>1</v>
      </c>
      <c r="F74" s="36">
        <f>E74</f>
        <v>1</v>
      </c>
      <c r="G74" s="36">
        <v>1029.1199999999999</v>
      </c>
      <c r="H74" s="113">
        <f t="shared" ref="H74:H75" si="9">SUM(F74*G74/1000)</f>
        <v>1.0291199999999998</v>
      </c>
      <c r="I74" s="13">
        <v>0</v>
      </c>
    </row>
    <row r="75" spans="1:22" ht="15.75" hidden="1" customHeight="1">
      <c r="A75" s="29"/>
      <c r="B75" s="39" t="s">
        <v>164</v>
      </c>
      <c r="C75" s="40" t="s">
        <v>165</v>
      </c>
      <c r="D75" s="129"/>
      <c r="E75" s="17">
        <v>1</v>
      </c>
      <c r="F75" s="36">
        <v>1</v>
      </c>
      <c r="G75" s="36">
        <v>735</v>
      </c>
      <c r="H75" s="113">
        <f t="shared" si="9"/>
        <v>0.73499999999999999</v>
      </c>
      <c r="I75" s="13">
        <v>0</v>
      </c>
    </row>
    <row r="76" spans="1:22" ht="15" customHeight="1">
      <c r="A76" s="29">
        <v>16</v>
      </c>
      <c r="B76" s="39" t="s">
        <v>78</v>
      </c>
      <c r="C76" s="40" t="s">
        <v>79</v>
      </c>
      <c r="D76" s="39" t="s">
        <v>69</v>
      </c>
      <c r="E76" s="17">
        <v>5</v>
      </c>
      <c r="F76" s="33">
        <f>SUM(E76/10)</f>
        <v>0.5</v>
      </c>
      <c r="G76" s="36">
        <v>657.87</v>
      </c>
      <c r="H76" s="113">
        <f>SUM(F76*G76/1000)</f>
        <v>0.32893499999999998</v>
      </c>
      <c r="I76" s="13">
        <f>G76*0.9</f>
        <v>592.08299999999997</v>
      </c>
    </row>
    <row r="77" spans="1:22" ht="17.25" hidden="1" customHeight="1">
      <c r="A77" s="29"/>
      <c r="B77" s="39" t="s">
        <v>130</v>
      </c>
      <c r="C77" s="40" t="s">
        <v>95</v>
      </c>
      <c r="D77" s="39" t="s">
        <v>69</v>
      </c>
      <c r="E77" s="17">
        <v>1</v>
      </c>
      <c r="F77" s="36">
        <f>E77</f>
        <v>1</v>
      </c>
      <c r="G77" s="36">
        <v>1118.72</v>
      </c>
      <c r="H77" s="113">
        <f>SUM(F77*G77/1000)</f>
        <v>1.1187199999999999</v>
      </c>
      <c r="I77" s="13">
        <v>0</v>
      </c>
    </row>
    <row r="78" spans="1:22" ht="15.75" customHeight="1">
      <c r="A78" s="29">
        <v>17</v>
      </c>
      <c r="B78" s="115" t="s">
        <v>166</v>
      </c>
      <c r="C78" s="116" t="s">
        <v>95</v>
      </c>
      <c r="D78" s="39" t="s">
        <v>69</v>
      </c>
      <c r="E78" s="17">
        <v>2</v>
      </c>
      <c r="F78" s="33">
        <f>E78*12</f>
        <v>24</v>
      </c>
      <c r="G78" s="36">
        <v>53.42</v>
      </c>
      <c r="H78" s="113">
        <f t="shared" ref="H78:H79" si="10">SUM(F78*G78/1000)</f>
        <v>1.2820799999999999</v>
      </c>
      <c r="I78" s="13">
        <f>G78*2</f>
        <v>106.84</v>
      </c>
    </row>
    <row r="79" spans="1:22" ht="31.5" customHeight="1">
      <c r="A79" s="29">
        <v>17</v>
      </c>
      <c r="B79" s="115" t="s">
        <v>167</v>
      </c>
      <c r="C79" s="116" t="s">
        <v>95</v>
      </c>
      <c r="D79" s="39" t="s">
        <v>30</v>
      </c>
      <c r="E79" s="17">
        <v>1</v>
      </c>
      <c r="F79" s="33">
        <f>E79*12</f>
        <v>12</v>
      </c>
      <c r="G79" s="36">
        <v>1194</v>
      </c>
      <c r="H79" s="113">
        <f t="shared" si="10"/>
        <v>14.327999999999999</v>
      </c>
      <c r="I79" s="13">
        <f>G79</f>
        <v>1194</v>
      </c>
    </row>
    <row r="80" spans="1:22" ht="15.75" hidden="1" customHeight="1">
      <c r="A80" s="29"/>
      <c r="B80" s="90" t="s">
        <v>80</v>
      </c>
      <c r="C80" s="16"/>
      <c r="D80" s="14"/>
      <c r="E80" s="18"/>
      <c r="F80" s="18"/>
      <c r="G80" s="18"/>
      <c r="H80" s="18"/>
      <c r="I80" s="79"/>
    </row>
    <row r="81" spans="1:9" ht="15.75" hidden="1" customHeight="1">
      <c r="A81" s="29"/>
      <c r="B81" s="41" t="s">
        <v>122</v>
      </c>
      <c r="C81" s="42" t="s">
        <v>81</v>
      </c>
      <c r="D81" s="56"/>
      <c r="E81" s="59"/>
      <c r="F81" s="37">
        <v>0.3</v>
      </c>
      <c r="G81" s="37">
        <v>3619.09</v>
      </c>
      <c r="H81" s="114">
        <f t="shared" ref="H81" si="11">SUM(F81*G81/1000)</f>
        <v>1.0857270000000001</v>
      </c>
      <c r="I81" s="13">
        <v>0</v>
      </c>
    </row>
    <row r="82" spans="1:9" ht="15.75" hidden="1" customHeight="1">
      <c r="A82" s="29"/>
      <c r="B82" s="66" t="s">
        <v>120</v>
      </c>
      <c r="C82" s="90"/>
      <c r="D82" s="31"/>
      <c r="E82" s="32"/>
      <c r="F82" s="91"/>
      <c r="G82" s="91"/>
      <c r="H82" s="92">
        <f>SUM(H58:H81)</f>
        <v>248.78712212000002</v>
      </c>
      <c r="I82" s="77"/>
    </row>
    <row r="83" spans="1:9" ht="15.75" hidden="1" customHeight="1">
      <c r="A83" s="94"/>
      <c r="B83" s="34" t="s">
        <v>121</v>
      </c>
      <c r="C83" s="130"/>
      <c r="D83" s="131"/>
      <c r="E83" s="132"/>
      <c r="F83" s="38">
        <f>232/10</f>
        <v>23.2</v>
      </c>
      <c r="G83" s="38">
        <v>12361.2</v>
      </c>
      <c r="H83" s="114">
        <f>G83*F83/1000</f>
        <v>286.77984000000004</v>
      </c>
      <c r="I83" s="95">
        <v>0</v>
      </c>
    </row>
    <row r="84" spans="1:9" ht="15.75" customHeight="1">
      <c r="A84" s="179" t="s">
        <v>140</v>
      </c>
      <c r="B84" s="180"/>
      <c r="C84" s="180"/>
      <c r="D84" s="180"/>
      <c r="E84" s="180"/>
      <c r="F84" s="180"/>
      <c r="G84" s="180"/>
      <c r="H84" s="180"/>
      <c r="I84" s="181"/>
    </row>
    <row r="85" spans="1:9" ht="15.75" customHeight="1">
      <c r="A85" s="96">
        <v>19</v>
      </c>
      <c r="B85" s="34" t="s">
        <v>123</v>
      </c>
      <c r="C85" s="40" t="s">
        <v>56</v>
      </c>
      <c r="D85" s="103" t="s">
        <v>57</v>
      </c>
      <c r="E85" s="36">
        <v>3053.4</v>
      </c>
      <c r="F85" s="36">
        <f>SUM(E85*12)</f>
        <v>36640.800000000003</v>
      </c>
      <c r="G85" s="36">
        <v>3.1</v>
      </c>
      <c r="H85" s="114">
        <f>SUM(F85*G85/1000)</f>
        <v>113.58648000000001</v>
      </c>
      <c r="I85" s="101">
        <f>F85/12*G85</f>
        <v>9465.5400000000009</v>
      </c>
    </row>
    <row r="86" spans="1:9" ht="31.5" customHeight="1">
      <c r="A86" s="29">
        <v>20</v>
      </c>
      <c r="B86" s="39" t="s">
        <v>82</v>
      </c>
      <c r="C86" s="40"/>
      <c r="D86" s="103" t="s">
        <v>57</v>
      </c>
      <c r="E86" s="121">
        <v>3053.4</v>
      </c>
      <c r="F86" s="36">
        <f>E86*12</f>
        <v>36640.800000000003</v>
      </c>
      <c r="G86" s="36">
        <v>3.5</v>
      </c>
      <c r="H86" s="114">
        <f>F86*G86/1000</f>
        <v>128.24280000000002</v>
      </c>
      <c r="I86" s="13">
        <f>F86/12*G86</f>
        <v>10686.9</v>
      </c>
    </row>
    <row r="87" spans="1:9" ht="15.75" customHeight="1">
      <c r="A87" s="29"/>
      <c r="B87" s="43" t="s">
        <v>85</v>
      </c>
      <c r="C87" s="90"/>
      <c r="D87" s="88"/>
      <c r="E87" s="91"/>
      <c r="F87" s="91"/>
      <c r="G87" s="91"/>
      <c r="H87" s="92">
        <f>SUM(H86)</f>
        <v>128.24280000000002</v>
      </c>
      <c r="I87" s="91">
        <f>I86+I85+I79+I78+I76+I72+I64+I62+I54+I53+I52+I34+I33+I31+I30+I27+I26+I18+I17+I16</f>
        <v>62656.610054555546</v>
      </c>
    </row>
    <row r="88" spans="1:9" ht="15.75" customHeight="1">
      <c r="A88" s="188" t="s">
        <v>62</v>
      </c>
      <c r="B88" s="189"/>
      <c r="C88" s="189"/>
      <c r="D88" s="189"/>
      <c r="E88" s="189"/>
      <c r="F88" s="189"/>
      <c r="G88" s="189"/>
      <c r="H88" s="189"/>
      <c r="I88" s="190"/>
    </row>
    <row r="89" spans="1:9" ht="15.75" customHeight="1">
      <c r="A89" s="29" t="s">
        <v>197</v>
      </c>
      <c r="B89" s="115" t="s">
        <v>103</v>
      </c>
      <c r="C89" s="116" t="s">
        <v>95</v>
      </c>
      <c r="D89" s="52"/>
      <c r="E89" s="36"/>
      <c r="F89" s="36">
        <v>128</v>
      </c>
      <c r="G89" s="36">
        <v>55.55</v>
      </c>
      <c r="H89" s="114">
        <f t="shared" ref="H89" si="12">F89*G89/1000</f>
        <v>7.1103999999999994</v>
      </c>
      <c r="I89" s="13">
        <f>G89*64</f>
        <v>3555.2</v>
      </c>
    </row>
    <row r="90" spans="1:9" ht="15.75" customHeight="1">
      <c r="A90" s="29">
        <v>22</v>
      </c>
      <c r="B90" s="115" t="s">
        <v>174</v>
      </c>
      <c r="C90" s="116" t="s">
        <v>168</v>
      </c>
      <c r="D90" s="52"/>
      <c r="E90" s="36"/>
      <c r="F90" s="36"/>
      <c r="G90" s="36">
        <v>134.12</v>
      </c>
      <c r="H90" s="114"/>
      <c r="I90" s="13">
        <f>G90*26</f>
        <v>3487.12</v>
      </c>
    </row>
    <row r="91" spans="1:9" ht="15.75" customHeight="1">
      <c r="A91" s="29">
        <v>23</v>
      </c>
      <c r="B91" s="115" t="s">
        <v>252</v>
      </c>
      <c r="C91" s="116" t="s">
        <v>253</v>
      </c>
      <c r="D91" s="52"/>
      <c r="E91" s="36"/>
      <c r="F91" s="36"/>
      <c r="G91" s="36">
        <v>1456.06</v>
      </c>
      <c r="H91" s="114"/>
      <c r="I91" s="13">
        <f>G91*1</f>
        <v>1456.06</v>
      </c>
    </row>
    <row r="92" spans="1:9" ht="29.25" customHeight="1">
      <c r="A92" s="29">
        <v>24</v>
      </c>
      <c r="B92" s="57" t="s">
        <v>93</v>
      </c>
      <c r="C92" s="58" t="s">
        <v>104</v>
      </c>
      <c r="D92" s="52"/>
      <c r="E92" s="36"/>
      <c r="F92" s="36"/>
      <c r="G92" s="36">
        <v>613.44000000000005</v>
      </c>
      <c r="H92" s="114"/>
      <c r="I92" s="13">
        <f>G92*1</f>
        <v>613.44000000000005</v>
      </c>
    </row>
    <row r="93" spans="1:9" ht="15.75" customHeight="1">
      <c r="A93" s="29">
        <v>25</v>
      </c>
      <c r="B93" s="173" t="s">
        <v>254</v>
      </c>
      <c r="C93" s="45" t="s">
        <v>97</v>
      </c>
      <c r="D93" s="52"/>
      <c r="E93" s="36"/>
      <c r="F93" s="36"/>
      <c r="G93" s="36">
        <v>396.32</v>
      </c>
      <c r="H93" s="114"/>
      <c r="I93" s="13">
        <f>G93*0.02</f>
        <v>7.9264000000000001</v>
      </c>
    </row>
    <row r="94" spans="1:9" ht="15.75" customHeight="1">
      <c r="A94" s="29">
        <v>26</v>
      </c>
      <c r="B94" s="57" t="s">
        <v>86</v>
      </c>
      <c r="C94" s="58" t="s">
        <v>95</v>
      </c>
      <c r="D94" s="52"/>
      <c r="E94" s="36"/>
      <c r="F94" s="36"/>
      <c r="G94" s="36">
        <v>197.48</v>
      </c>
      <c r="H94" s="114"/>
      <c r="I94" s="13">
        <f>G94*1</f>
        <v>197.48</v>
      </c>
    </row>
    <row r="95" spans="1:9" ht="15.75" customHeight="1">
      <c r="A95" s="29">
        <v>27</v>
      </c>
      <c r="B95" s="174" t="s">
        <v>182</v>
      </c>
      <c r="C95" s="175" t="s">
        <v>183</v>
      </c>
      <c r="D95" s="52"/>
      <c r="E95" s="36"/>
      <c r="F95" s="36"/>
      <c r="G95" s="176">
        <v>161.49</v>
      </c>
      <c r="H95" s="114"/>
      <c r="I95" s="13">
        <f>G95*2</f>
        <v>322.98</v>
      </c>
    </row>
    <row r="96" spans="1:9" ht="30.75" customHeight="1">
      <c r="A96" s="29">
        <v>28</v>
      </c>
      <c r="B96" s="115" t="s">
        <v>236</v>
      </c>
      <c r="C96" s="116" t="s">
        <v>237</v>
      </c>
      <c r="D96" s="52"/>
      <c r="E96" s="36"/>
      <c r="F96" s="36"/>
      <c r="G96" s="166">
        <v>24829.08</v>
      </c>
      <c r="H96" s="114"/>
      <c r="I96" s="13">
        <f>G96*0.02</f>
        <v>496.58160000000004</v>
      </c>
    </row>
    <row r="97" spans="1:9" ht="15.75" customHeight="1">
      <c r="A97" s="29"/>
      <c r="B97" s="50" t="s">
        <v>53</v>
      </c>
      <c r="C97" s="46"/>
      <c r="D97" s="54"/>
      <c r="E97" s="46">
        <v>1</v>
      </c>
      <c r="F97" s="46"/>
      <c r="G97" s="46"/>
      <c r="H97" s="46"/>
      <c r="I97" s="32">
        <f>SUM(I90:I96)</f>
        <v>6581.5880000000006</v>
      </c>
    </row>
    <row r="98" spans="1:9" ht="15.75" customHeight="1">
      <c r="A98" s="29"/>
      <c r="B98" s="52" t="s">
        <v>83</v>
      </c>
      <c r="C98" s="15"/>
      <c r="D98" s="15"/>
      <c r="E98" s="47"/>
      <c r="F98" s="47"/>
      <c r="G98" s="48"/>
      <c r="H98" s="48"/>
      <c r="I98" s="17">
        <v>0</v>
      </c>
    </row>
    <row r="99" spans="1:9" ht="15.75" customHeight="1">
      <c r="A99" s="55"/>
      <c r="B99" s="51" t="s">
        <v>151</v>
      </c>
      <c r="C99" s="35"/>
      <c r="D99" s="35"/>
      <c r="E99" s="35"/>
      <c r="F99" s="35"/>
      <c r="G99" s="35"/>
      <c r="H99" s="35"/>
      <c r="I99" s="49">
        <f>I87+I97</f>
        <v>69238.198054555542</v>
      </c>
    </row>
    <row r="100" spans="1:9" ht="15.75" customHeight="1">
      <c r="A100" s="199" t="s">
        <v>200</v>
      </c>
      <c r="B100" s="200"/>
      <c r="C100" s="200"/>
      <c r="D100" s="200"/>
      <c r="E100" s="200"/>
      <c r="F100" s="200"/>
      <c r="G100" s="200"/>
      <c r="H100" s="200"/>
      <c r="I100" s="200"/>
    </row>
    <row r="101" spans="1:9" ht="15.75">
      <c r="A101" s="191" t="s">
        <v>255</v>
      </c>
      <c r="B101" s="191"/>
      <c r="C101" s="191"/>
      <c r="D101" s="191"/>
      <c r="E101" s="191"/>
      <c r="F101" s="191"/>
      <c r="G101" s="191"/>
      <c r="H101" s="191"/>
      <c r="I101" s="191"/>
    </row>
    <row r="102" spans="1:9" ht="15.75">
      <c r="A102" s="62"/>
      <c r="B102" s="192" t="s">
        <v>256</v>
      </c>
      <c r="C102" s="192"/>
      <c r="D102" s="192"/>
      <c r="E102" s="192"/>
      <c r="F102" s="192"/>
      <c r="G102" s="192"/>
      <c r="H102" s="70"/>
      <c r="I102" s="3"/>
    </row>
    <row r="103" spans="1:9">
      <c r="A103" s="60"/>
      <c r="B103" s="193" t="s">
        <v>6</v>
      </c>
      <c r="C103" s="193"/>
      <c r="D103" s="193"/>
      <c r="E103" s="193"/>
      <c r="F103" s="193"/>
      <c r="G103" s="193"/>
      <c r="H103" s="24"/>
      <c r="I103" s="5"/>
    </row>
    <row r="104" spans="1:9" ht="15.75" customHeight="1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ht="15.75" customHeight="1">
      <c r="A105" s="194" t="s">
        <v>7</v>
      </c>
      <c r="B105" s="194"/>
      <c r="C105" s="194"/>
      <c r="D105" s="194"/>
      <c r="E105" s="194"/>
      <c r="F105" s="194"/>
      <c r="G105" s="194"/>
      <c r="H105" s="194"/>
      <c r="I105" s="194"/>
    </row>
    <row r="106" spans="1:9" ht="15.75" customHeight="1">
      <c r="A106" s="194" t="s">
        <v>8</v>
      </c>
      <c r="B106" s="194"/>
      <c r="C106" s="194"/>
      <c r="D106" s="194"/>
      <c r="E106" s="194"/>
      <c r="F106" s="194"/>
      <c r="G106" s="194"/>
      <c r="H106" s="194"/>
      <c r="I106" s="194"/>
    </row>
    <row r="107" spans="1:9" ht="15.75" customHeight="1">
      <c r="A107" s="195" t="s">
        <v>63</v>
      </c>
      <c r="B107" s="195"/>
      <c r="C107" s="195"/>
      <c r="D107" s="195"/>
      <c r="E107" s="195"/>
      <c r="F107" s="195"/>
      <c r="G107" s="195"/>
      <c r="H107" s="195"/>
      <c r="I107" s="195"/>
    </row>
    <row r="108" spans="1:9" ht="15.75" customHeight="1">
      <c r="A108" s="11"/>
    </row>
    <row r="109" spans="1:9" ht="15.75" customHeight="1">
      <c r="A109" s="196" t="s">
        <v>9</v>
      </c>
      <c r="B109" s="196"/>
      <c r="C109" s="196"/>
      <c r="D109" s="196"/>
      <c r="E109" s="196"/>
      <c r="F109" s="196"/>
      <c r="G109" s="196"/>
      <c r="H109" s="196"/>
      <c r="I109" s="196"/>
    </row>
    <row r="110" spans="1:9" ht="15.75" customHeight="1">
      <c r="A110" s="4"/>
    </row>
    <row r="111" spans="1:9" ht="15.75" customHeight="1">
      <c r="B111" s="61" t="s">
        <v>10</v>
      </c>
      <c r="C111" s="197" t="s">
        <v>94</v>
      </c>
      <c r="D111" s="197"/>
      <c r="E111" s="197"/>
      <c r="F111" s="68"/>
      <c r="I111" s="64"/>
    </row>
    <row r="112" spans="1:9" ht="15.75" customHeight="1">
      <c r="A112" s="60"/>
      <c r="C112" s="193" t="s">
        <v>11</v>
      </c>
      <c r="D112" s="193"/>
      <c r="E112" s="193"/>
      <c r="F112" s="24"/>
      <c r="I112" s="63" t="s">
        <v>12</v>
      </c>
    </row>
    <row r="113" spans="1:9" ht="15.75" customHeight="1">
      <c r="A113" s="25"/>
      <c r="C113" s="12"/>
      <c r="D113" s="12"/>
      <c r="G113" s="12"/>
      <c r="H113" s="12"/>
    </row>
    <row r="114" spans="1:9" ht="15.75" customHeight="1">
      <c r="B114" s="61" t="s">
        <v>13</v>
      </c>
      <c r="C114" s="198"/>
      <c r="D114" s="198"/>
      <c r="E114" s="198"/>
      <c r="F114" s="69"/>
      <c r="I114" s="64"/>
    </row>
    <row r="115" spans="1:9" ht="15.75" customHeight="1">
      <c r="A115" s="60"/>
      <c r="C115" s="187" t="s">
        <v>11</v>
      </c>
      <c r="D115" s="187"/>
      <c r="E115" s="187"/>
      <c r="F115" s="60"/>
      <c r="I115" s="63" t="s">
        <v>12</v>
      </c>
    </row>
    <row r="116" spans="1:9" ht="15.75" customHeight="1">
      <c r="A116" s="4" t="s">
        <v>14</v>
      </c>
    </row>
    <row r="117" spans="1:9">
      <c r="A117" s="201" t="s">
        <v>15</v>
      </c>
      <c r="B117" s="201"/>
      <c r="C117" s="201"/>
      <c r="D117" s="201"/>
      <c r="E117" s="201"/>
      <c r="F117" s="201"/>
      <c r="G117" s="201"/>
      <c r="H117" s="201"/>
      <c r="I117" s="201"/>
    </row>
    <row r="118" spans="1:9" ht="45" customHeight="1">
      <c r="A118" s="202" t="s">
        <v>16</v>
      </c>
      <c r="B118" s="202"/>
      <c r="C118" s="202"/>
      <c r="D118" s="202"/>
      <c r="E118" s="202"/>
      <c r="F118" s="202"/>
      <c r="G118" s="202"/>
      <c r="H118" s="202"/>
      <c r="I118" s="202"/>
    </row>
    <row r="119" spans="1:9" ht="30" customHeight="1">
      <c r="A119" s="202" t="s">
        <v>17</v>
      </c>
      <c r="B119" s="202"/>
      <c r="C119" s="202"/>
      <c r="D119" s="202"/>
      <c r="E119" s="202"/>
      <c r="F119" s="202"/>
      <c r="G119" s="202"/>
      <c r="H119" s="202"/>
      <c r="I119" s="202"/>
    </row>
    <row r="120" spans="1:9" ht="30" customHeight="1">
      <c r="A120" s="202" t="s">
        <v>21</v>
      </c>
      <c r="B120" s="202"/>
      <c r="C120" s="202"/>
      <c r="D120" s="202"/>
      <c r="E120" s="202"/>
      <c r="F120" s="202"/>
      <c r="G120" s="202"/>
      <c r="H120" s="202"/>
      <c r="I120" s="202"/>
    </row>
    <row r="121" spans="1:9" ht="15" customHeight="1">
      <c r="A121" s="202" t="s">
        <v>20</v>
      </c>
      <c r="B121" s="202"/>
      <c r="C121" s="202"/>
      <c r="D121" s="202"/>
      <c r="E121" s="202"/>
      <c r="F121" s="202"/>
      <c r="G121" s="202"/>
      <c r="H121" s="202"/>
      <c r="I121" s="202"/>
    </row>
  </sheetData>
  <autoFilter ref="I12:I66"/>
  <mergeCells count="30">
    <mergeCell ref="A14:I14"/>
    <mergeCell ref="A15:I15"/>
    <mergeCell ref="A28:I28"/>
    <mergeCell ref="A45:I45"/>
    <mergeCell ref="A56:I56"/>
    <mergeCell ref="A3:I3"/>
    <mergeCell ref="A4:I4"/>
    <mergeCell ref="A5:I5"/>
    <mergeCell ref="A8:I8"/>
    <mergeCell ref="A10:I10"/>
    <mergeCell ref="R71:U71"/>
    <mergeCell ref="C115:E115"/>
    <mergeCell ref="A88:I88"/>
    <mergeCell ref="A101:I101"/>
    <mergeCell ref="B102:G102"/>
    <mergeCell ref="B103:G103"/>
    <mergeCell ref="A105:I105"/>
    <mergeCell ref="A106:I106"/>
    <mergeCell ref="A107:I107"/>
    <mergeCell ref="A109:I109"/>
    <mergeCell ref="C111:E111"/>
    <mergeCell ref="C112:E112"/>
    <mergeCell ref="C114:E114"/>
    <mergeCell ref="A84:I84"/>
    <mergeCell ref="A100:I100"/>
    <mergeCell ref="A117:I117"/>
    <mergeCell ref="A118:I118"/>
    <mergeCell ref="A119:I119"/>
    <mergeCell ref="A120:I120"/>
    <mergeCell ref="A121:I121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  <ignoredErrors>
    <ignoredError sqref="I93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4"/>
  <sheetViews>
    <sheetView topLeftCell="A44" workbookViewId="0">
      <selection activeCell="B62" sqref="B62:I6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4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219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82" t="s">
        <v>171</v>
      </c>
      <c r="B3" s="182"/>
      <c r="C3" s="182"/>
      <c r="D3" s="182"/>
      <c r="E3" s="182"/>
      <c r="F3" s="182"/>
      <c r="G3" s="182"/>
      <c r="H3" s="182"/>
      <c r="I3" s="182"/>
      <c r="J3" s="3"/>
      <c r="K3" s="3"/>
      <c r="L3" s="3"/>
    </row>
    <row r="4" spans="1:13" ht="31.5" customHeight="1">
      <c r="A4" s="183" t="s">
        <v>124</v>
      </c>
      <c r="B4" s="183"/>
      <c r="C4" s="183"/>
      <c r="D4" s="183"/>
      <c r="E4" s="183"/>
      <c r="F4" s="183"/>
      <c r="G4" s="183"/>
      <c r="H4" s="183"/>
      <c r="I4" s="183"/>
    </row>
    <row r="5" spans="1:13" ht="15.75" customHeight="1">
      <c r="A5" s="182" t="s">
        <v>257</v>
      </c>
      <c r="B5" s="184"/>
      <c r="C5" s="184"/>
      <c r="D5" s="184"/>
      <c r="E5" s="184"/>
      <c r="F5" s="184"/>
      <c r="G5" s="184"/>
      <c r="H5" s="184"/>
      <c r="I5" s="184"/>
      <c r="J5" s="2"/>
      <c r="K5" s="2"/>
      <c r="L5" s="2"/>
      <c r="M5" s="2"/>
    </row>
    <row r="6" spans="1:13" ht="15.75" customHeight="1">
      <c r="A6" s="2"/>
      <c r="B6" s="111"/>
      <c r="C6" s="111"/>
      <c r="D6" s="111"/>
      <c r="E6" s="111"/>
      <c r="F6" s="111"/>
      <c r="G6" s="111"/>
      <c r="H6" s="111"/>
      <c r="I6" s="30">
        <v>43434</v>
      </c>
      <c r="J6" s="2"/>
      <c r="K6" s="2"/>
      <c r="L6" s="2"/>
      <c r="M6" s="2"/>
    </row>
    <row r="7" spans="1:13" ht="15.75" customHeight="1">
      <c r="B7" s="110"/>
      <c r="C7" s="110"/>
      <c r="D7" s="11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85" t="s">
        <v>221</v>
      </c>
      <c r="B8" s="185"/>
      <c r="C8" s="185"/>
      <c r="D8" s="185"/>
      <c r="E8" s="185"/>
      <c r="F8" s="185"/>
      <c r="G8" s="185"/>
      <c r="H8" s="185"/>
      <c r="I8" s="18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86" t="s">
        <v>173</v>
      </c>
      <c r="B10" s="186"/>
      <c r="C10" s="186"/>
      <c r="D10" s="186"/>
      <c r="E10" s="186"/>
      <c r="F10" s="186"/>
      <c r="G10" s="186"/>
      <c r="H10" s="186"/>
      <c r="I10" s="18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7" t="s">
        <v>61</v>
      </c>
      <c r="B14" s="177"/>
      <c r="C14" s="177"/>
      <c r="D14" s="177"/>
      <c r="E14" s="177"/>
      <c r="F14" s="177"/>
      <c r="G14" s="177"/>
      <c r="H14" s="177"/>
      <c r="I14" s="177"/>
      <c r="J14" s="8"/>
      <c r="K14" s="8"/>
      <c r="L14" s="8"/>
      <c r="M14" s="8"/>
    </row>
    <row r="15" spans="1:13" ht="15.75" customHeight="1">
      <c r="A15" s="178" t="s">
        <v>4</v>
      </c>
      <c r="B15" s="178"/>
      <c r="C15" s="178"/>
      <c r="D15" s="178"/>
      <c r="E15" s="178"/>
      <c r="F15" s="178"/>
      <c r="G15" s="178"/>
      <c r="H15" s="178"/>
      <c r="I15" s="178"/>
      <c r="J15" s="8"/>
      <c r="K15" s="8"/>
      <c r="L15" s="8"/>
      <c r="M15" s="8"/>
    </row>
    <row r="16" spans="1:13" ht="15.75" customHeight="1">
      <c r="A16" s="29">
        <v>1</v>
      </c>
      <c r="B16" s="71" t="s">
        <v>90</v>
      </c>
      <c r="C16" s="72" t="s">
        <v>99</v>
      </c>
      <c r="D16" s="71" t="s">
        <v>125</v>
      </c>
      <c r="E16" s="73">
        <v>92.5</v>
      </c>
      <c r="F16" s="74">
        <f>SUM(E16*156/100)</f>
        <v>144.30000000000001</v>
      </c>
      <c r="G16" s="74">
        <v>230</v>
      </c>
      <c r="H16" s="78">
        <f t="shared" ref="H16:H25" si="0">SUM(F16*G16/1000)</f>
        <v>33.189</v>
      </c>
      <c r="I16" s="13">
        <f>F16/12*G16</f>
        <v>2765.75</v>
      </c>
      <c r="J16" s="8"/>
      <c r="K16" s="8"/>
      <c r="L16" s="8"/>
      <c r="M16" s="8"/>
    </row>
    <row r="17" spans="1:13" ht="15.75" customHeight="1">
      <c r="A17" s="29">
        <v>2</v>
      </c>
      <c r="B17" s="71" t="s">
        <v>91</v>
      </c>
      <c r="C17" s="72" t="s">
        <v>99</v>
      </c>
      <c r="D17" s="71" t="s">
        <v>126</v>
      </c>
      <c r="E17" s="73">
        <v>288.8</v>
      </c>
      <c r="F17" s="74">
        <f>SUM(E17*104/100)</f>
        <v>300.35200000000003</v>
      </c>
      <c r="G17" s="74">
        <v>230</v>
      </c>
      <c r="H17" s="78">
        <f t="shared" si="0"/>
        <v>69.080960000000005</v>
      </c>
      <c r="I17" s="13">
        <f>F17/12*G17</f>
        <v>5756.7466666666678</v>
      </c>
      <c r="J17" s="22"/>
      <c r="K17" s="8"/>
      <c r="L17" s="8"/>
      <c r="M17" s="8"/>
    </row>
    <row r="18" spans="1:13" ht="15.75" customHeight="1">
      <c r="A18" s="29">
        <v>3</v>
      </c>
      <c r="B18" s="71" t="s">
        <v>92</v>
      </c>
      <c r="C18" s="72" t="s">
        <v>99</v>
      </c>
      <c r="D18" s="71" t="s">
        <v>149</v>
      </c>
      <c r="E18" s="73">
        <f>SUM(E16+E17)</f>
        <v>381.3</v>
      </c>
      <c r="F18" s="74">
        <f>SUM(E18*12/100)</f>
        <v>45.756</v>
      </c>
      <c r="G18" s="74">
        <v>661.67</v>
      </c>
      <c r="H18" s="78">
        <f t="shared" si="0"/>
        <v>30.275372519999998</v>
      </c>
      <c r="I18" s="13">
        <f>F18/12*G18</f>
        <v>2522.9477099999999</v>
      </c>
      <c r="J18" s="22"/>
      <c r="K18" s="8"/>
      <c r="L18" s="8"/>
      <c r="M18" s="8"/>
    </row>
    <row r="19" spans="1:13" ht="15.75" hidden="1" customHeight="1">
      <c r="A19" s="29">
        <v>4</v>
      </c>
      <c r="B19" s="71" t="s">
        <v>107</v>
      </c>
      <c r="C19" s="72" t="s">
        <v>108</v>
      </c>
      <c r="D19" s="71" t="s">
        <v>109</v>
      </c>
      <c r="E19" s="73">
        <v>19.2</v>
      </c>
      <c r="F19" s="74">
        <f>SUM(E19/10)</f>
        <v>1.92</v>
      </c>
      <c r="G19" s="74">
        <v>223.17</v>
      </c>
      <c r="H19" s="78">
        <f t="shared" si="0"/>
        <v>0.42848639999999993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4</v>
      </c>
      <c r="B20" s="71" t="s">
        <v>98</v>
      </c>
      <c r="C20" s="72" t="s">
        <v>99</v>
      </c>
      <c r="D20" s="71" t="s">
        <v>153</v>
      </c>
      <c r="E20" s="73">
        <v>27.3</v>
      </c>
      <c r="F20" s="74">
        <f>SUM(E20*2/100)</f>
        <v>0.54600000000000004</v>
      </c>
      <c r="G20" s="74">
        <v>285.76</v>
      </c>
      <c r="H20" s="78">
        <f t="shared" si="0"/>
        <v>0.15602495999999999</v>
      </c>
      <c r="I20" s="13">
        <f>F20/2*G20</f>
        <v>78.012479999999996</v>
      </c>
      <c r="J20" s="22"/>
      <c r="K20" s="8"/>
      <c r="L20" s="8"/>
      <c r="M20" s="8"/>
    </row>
    <row r="21" spans="1:13" ht="15.75" hidden="1" customHeight="1">
      <c r="A21" s="29">
        <v>5</v>
      </c>
      <c r="B21" s="71" t="s">
        <v>105</v>
      </c>
      <c r="C21" s="72" t="s">
        <v>99</v>
      </c>
      <c r="D21" s="71" t="s">
        <v>153</v>
      </c>
      <c r="E21" s="73">
        <v>9.08</v>
      </c>
      <c r="F21" s="74">
        <f>SUM(E21*2/100)</f>
        <v>0.18160000000000001</v>
      </c>
      <c r="G21" s="74">
        <v>283.44</v>
      </c>
      <c r="H21" s="78">
        <f>SUM(F21*G21/1000)</f>
        <v>5.1472704000000001E-2</v>
      </c>
      <c r="I21" s="13">
        <f>F21/2*G21</f>
        <v>25.736352</v>
      </c>
      <c r="J21" s="22"/>
      <c r="K21" s="8"/>
      <c r="L21" s="8"/>
      <c r="M21" s="8"/>
    </row>
    <row r="22" spans="1:13" ht="15.75" hidden="1" customHeight="1">
      <c r="A22" s="29">
        <v>7</v>
      </c>
      <c r="B22" s="71" t="s">
        <v>100</v>
      </c>
      <c r="C22" s="72" t="s">
        <v>54</v>
      </c>
      <c r="D22" s="71" t="s">
        <v>109</v>
      </c>
      <c r="E22" s="76">
        <v>30</v>
      </c>
      <c r="F22" s="74">
        <f>SUM(E22/100)</f>
        <v>0.3</v>
      </c>
      <c r="G22" s="74">
        <v>58.08</v>
      </c>
      <c r="H22" s="78">
        <f t="shared" si="0"/>
        <v>1.7423999999999999E-2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6</v>
      </c>
      <c r="B23" s="71" t="s">
        <v>101</v>
      </c>
      <c r="C23" s="72" t="s">
        <v>54</v>
      </c>
      <c r="D23" s="71" t="s">
        <v>109</v>
      </c>
      <c r="E23" s="73">
        <v>20</v>
      </c>
      <c r="F23" s="74">
        <f>SUM(E23/100)</f>
        <v>0.2</v>
      </c>
      <c r="G23" s="74">
        <v>511.12</v>
      </c>
      <c r="H23" s="78">
        <f t="shared" si="0"/>
        <v>0.10222400000000001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71" t="s">
        <v>102</v>
      </c>
      <c r="C24" s="72" t="s">
        <v>54</v>
      </c>
      <c r="D24" s="71" t="s">
        <v>109</v>
      </c>
      <c r="E24" s="73">
        <v>8.5</v>
      </c>
      <c r="F24" s="74">
        <f>SUM(E24/100)</f>
        <v>8.5000000000000006E-2</v>
      </c>
      <c r="G24" s="74">
        <v>683.05</v>
      </c>
      <c r="H24" s="78">
        <f t="shared" si="0"/>
        <v>5.805925E-2</v>
      </c>
      <c r="I24" s="13">
        <v>0</v>
      </c>
      <c r="J24" s="22"/>
      <c r="K24" s="8"/>
      <c r="L24" s="8"/>
      <c r="M24" s="8"/>
    </row>
    <row r="25" spans="1:13" ht="15.75" hidden="1" customHeight="1">
      <c r="A25" s="94">
        <v>7</v>
      </c>
      <c r="B25" s="83" t="s">
        <v>106</v>
      </c>
      <c r="C25" s="84" t="s">
        <v>54</v>
      </c>
      <c r="D25" s="83" t="s">
        <v>55</v>
      </c>
      <c r="E25" s="81">
        <v>20</v>
      </c>
      <c r="F25" s="85">
        <f>SUM(E25/100)</f>
        <v>0.2</v>
      </c>
      <c r="G25" s="85">
        <v>283.44</v>
      </c>
      <c r="H25" s="82">
        <f t="shared" si="0"/>
        <v>5.6688000000000002E-2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4</v>
      </c>
      <c r="B26" s="34" t="s">
        <v>66</v>
      </c>
      <c r="C26" s="44" t="s">
        <v>33</v>
      </c>
      <c r="D26" s="34" t="s">
        <v>154</v>
      </c>
      <c r="E26" s="118">
        <v>0.05</v>
      </c>
      <c r="F26" s="33">
        <f>SUM(E26*182)</f>
        <v>9.1</v>
      </c>
      <c r="G26" s="33">
        <v>264.85000000000002</v>
      </c>
      <c r="H26" s="119">
        <f t="shared" ref="H26:H27" si="1">SUM(F26*G26/1000)</f>
        <v>2.4101350000000004</v>
      </c>
      <c r="I26" s="13">
        <f>F26/12*G26</f>
        <v>200.84458333333333</v>
      </c>
      <c r="J26" s="23"/>
    </row>
    <row r="27" spans="1:13" ht="15.75" hidden="1" customHeight="1">
      <c r="A27" s="29">
        <v>5</v>
      </c>
      <c r="B27" s="120" t="s">
        <v>23</v>
      </c>
      <c r="C27" s="44" t="s">
        <v>24</v>
      </c>
      <c r="D27" s="34"/>
      <c r="E27" s="121">
        <v>3053.4</v>
      </c>
      <c r="F27" s="33">
        <f>SUM(E27*12)</f>
        <v>36640.800000000003</v>
      </c>
      <c r="G27" s="33">
        <v>4.09</v>
      </c>
      <c r="H27" s="119">
        <f t="shared" si="1"/>
        <v>149.860872</v>
      </c>
      <c r="I27" s="13">
        <f>F27/12*G27</f>
        <v>12488.405999999999</v>
      </c>
      <c r="J27" s="23"/>
    </row>
    <row r="28" spans="1:13" ht="15.75" customHeight="1">
      <c r="A28" s="178" t="s">
        <v>150</v>
      </c>
      <c r="B28" s="178"/>
      <c r="C28" s="178"/>
      <c r="D28" s="178"/>
      <c r="E28" s="178"/>
      <c r="F28" s="178"/>
      <c r="G28" s="178"/>
      <c r="H28" s="178"/>
      <c r="I28" s="178"/>
      <c r="J28" s="22"/>
      <c r="K28" s="8"/>
      <c r="L28" s="8"/>
      <c r="M28" s="8"/>
    </row>
    <row r="29" spans="1:13" ht="15.75" hidden="1" customHeight="1">
      <c r="A29" s="96"/>
      <c r="B29" s="104" t="s">
        <v>28</v>
      </c>
      <c r="C29" s="98"/>
      <c r="D29" s="97"/>
      <c r="E29" s="99"/>
      <c r="F29" s="100"/>
      <c r="G29" s="100"/>
      <c r="H29" s="105"/>
      <c r="I29" s="106"/>
      <c r="J29" s="22"/>
      <c r="K29" s="8"/>
      <c r="L29" s="8"/>
      <c r="M29" s="8"/>
    </row>
    <row r="30" spans="1:13" ht="15.75" hidden="1" customHeight="1">
      <c r="A30" s="29">
        <v>6</v>
      </c>
      <c r="B30" s="71" t="s">
        <v>110</v>
      </c>
      <c r="C30" s="72" t="s">
        <v>111</v>
      </c>
      <c r="D30" s="71" t="s">
        <v>127</v>
      </c>
      <c r="E30" s="74">
        <v>317.7</v>
      </c>
      <c r="F30" s="74">
        <f>SUM(E30*52/1000)</f>
        <v>16.520399999999999</v>
      </c>
      <c r="G30" s="74">
        <v>204.44</v>
      </c>
      <c r="H30" s="78">
        <f t="shared" ref="H30:H36" si="2">SUM(F30*G30/1000)</f>
        <v>3.3774305759999996</v>
      </c>
      <c r="I30" s="13">
        <f t="shared" ref="I30:I34" si="3">F30/6*G30</f>
        <v>562.90509599999996</v>
      </c>
      <c r="J30" s="22"/>
      <c r="K30" s="8"/>
      <c r="L30" s="8"/>
      <c r="M30" s="8"/>
    </row>
    <row r="31" spans="1:13" ht="31.5" hidden="1" customHeight="1">
      <c r="A31" s="29">
        <v>7</v>
      </c>
      <c r="B31" s="71" t="s">
        <v>137</v>
      </c>
      <c r="C31" s="72" t="s">
        <v>111</v>
      </c>
      <c r="D31" s="71" t="s">
        <v>128</v>
      </c>
      <c r="E31" s="74">
        <v>146.1</v>
      </c>
      <c r="F31" s="74">
        <f>SUM(E31*78/1000)</f>
        <v>11.395799999999999</v>
      </c>
      <c r="G31" s="74">
        <v>339.21</v>
      </c>
      <c r="H31" s="78">
        <f t="shared" si="2"/>
        <v>3.8655693179999995</v>
      </c>
      <c r="I31" s="13">
        <f t="shared" si="3"/>
        <v>644.26155299999994</v>
      </c>
      <c r="J31" s="22"/>
      <c r="K31" s="8"/>
      <c r="L31" s="8"/>
      <c r="M31" s="8"/>
    </row>
    <row r="32" spans="1:13" ht="15.75" hidden="1" customHeight="1">
      <c r="A32" s="29">
        <v>11</v>
      </c>
      <c r="B32" s="71" t="s">
        <v>27</v>
      </c>
      <c r="C32" s="72" t="s">
        <v>111</v>
      </c>
      <c r="D32" s="71" t="s">
        <v>55</v>
      </c>
      <c r="E32" s="74">
        <f>E30</f>
        <v>317.7</v>
      </c>
      <c r="F32" s="74">
        <f>SUM(E32/1000)</f>
        <v>0.31769999999999998</v>
      </c>
      <c r="G32" s="74">
        <v>3961.23</v>
      </c>
      <c r="H32" s="78">
        <f t="shared" si="2"/>
        <v>1.2584827709999999</v>
      </c>
      <c r="I32" s="13">
        <f>F32*G32</f>
        <v>1258.482771</v>
      </c>
      <c r="J32" s="22"/>
      <c r="K32" s="8"/>
      <c r="L32" s="8"/>
      <c r="M32" s="8"/>
    </row>
    <row r="33" spans="1:14" ht="15.75" hidden="1" customHeight="1">
      <c r="A33" s="29">
        <v>8</v>
      </c>
      <c r="B33" s="71" t="s">
        <v>155</v>
      </c>
      <c r="C33" s="72" t="s">
        <v>41</v>
      </c>
      <c r="D33" s="71" t="s">
        <v>65</v>
      </c>
      <c r="E33" s="74">
        <v>5</v>
      </c>
      <c r="F33" s="74">
        <f>E33*155/100</f>
        <v>7.75</v>
      </c>
      <c r="G33" s="74">
        <v>1707.63</v>
      </c>
      <c r="H33" s="78">
        <f t="shared" si="2"/>
        <v>13.234132500000001</v>
      </c>
      <c r="I33" s="13">
        <f t="shared" si="3"/>
        <v>2205.6887500000003</v>
      </c>
      <c r="J33" s="22"/>
      <c r="K33" s="8"/>
      <c r="L33" s="8"/>
      <c r="M33" s="8"/>
    </row>
    <row r="34" spans="1:14" ht="15.75" hidden="1" customHeight="1">
      <c r="A34" s="29">
        <v>9</v>
      </c>
      <c r="B34" s="71" t="s">
        <v>112</v>
      </c>
      <c r="C34" s="72" t="s">
        <v>31</v>
      </c>
      <c r="D34" s="71" t="s">
        <v>65</v>
      </c>
      <c r="E34" s="80">
        <f>1/6</f>
        <v>0.16666666666666666</v>
      </c>
      <c r="F34" s="74">
        <f>155/6</f>
        <v>25.833333333333332</v>
      </c>
      <c r="G34" s="74">
        <v>74.349999999999994</v>
      </c>
      <c r="H34" s="78">
        <f t="shared" si="2"/>
        <v>1.920708333333333</v>
      </c>
      <c r="I34" s="13">
        <f t="shared" si="3"/>
        <v>320.11805555555554</v>
      </c>
      <c r="J34" s="22"/>
      <c r="K34" s="8"/>
      <c r="L34" s="8"/>
      <c r="M34" s="8"/>
    </row>
    <row r="35" spans="1:14" ht="15.75" hidden="1" customHeight="1">
      <c r="A35" s="29"/>
      <c r="B35" s="34" t="s">
        <v>67</v>
      </c>
      <c r="C35" s="44" t="s">
        <v>33</v>
      </c>
      <c r="D35" s="34" t="s">
        <v>69</v>
      </c>
      <c r="E35" s="121"/>
      <c r="F35" s="33">
        <v>2</v>
      </c>
      <c r="G35" s="33">
        <v>250.92</v>
      </c>
      <c r="H35" s="119">
        <f t="shared" si="2"/>
        <v>0.50183999999999995</v>
      </c>
      <c r="I35" s="13">
        <v>0</v>
      </c>
      <c r="J35" s="22"/>
      <c r="K35" s="8"/>
    </row>
    <row r="36" spans="1:14" ht="15.75" hidden="1" customHeight="1">
      <c r="A36" s="29"/>
      <c r="B36" s="34" t="s">
        <v>68</v>
      </c>
      <c r="C36" s="44" t="s">
        <v>32</v>
      </c>
      <c r="D36" s="34" t="s">
        <v>69</v>
      </c>
      <c r="E36" s="121"/>
      <c r="F36" s="33">
        <v>1</v>
      </c>
      <c r="G36" s="33">
        <v>1490.31</v>
      </c>
      <c r="H36" s="119">
        <f t="shared" si="2"/>
        <v>1.49031</v>
      </c>
      <c r="I36" s="13"/>
      <c r="J36" s="22"/>
      <c r="K36" s="8"/>
    </row>
    <row r="37" spans="1:14" ht="15.75" customHeight="1">
      <c r="A37" s="29"/>
      <c r="B37" s="93" t="s">
        <v>5</v>
      </c>
      <c r="C37" s="72"/>
      <c r="D37" s="71"/>
      <c r="E37" s="73"/>
      <c r="F37" s="74"/>
      <c r="G37" s="74"/>
      <c r="H37" s="78" t="s">
        <v>132</v>
      </c>
      <c r="I37" s="79"/>
      <c r="J37" s="23"/>
    </row>
    <row r="38" spans="1:14" ht="15.75" customHeight="1">
      <c r="A38" s="29">
        <v>5</v>
      </c>
      <c r="B38" s="71" t="s">
        <v>26</v>
      </c>
      <c r="C38" s="72" t="s">
        <v>32</v>
      </c>
      <c r="D38" s="71"/>
      <c r="E38" s="73"/>
      <c r="F38" s="74">
        <v>3</v>
      </c>
      <c r="G38" s="74">
        <v>2003</v>
      </c>
      <c r="H38" s="78">
        <f t="shared" ref="H38:H44" si="4">SUM(F38*G38/1000)</f>
        <v>6.0090000000000003</v>
      </c>
      <c r="I38" s="13">
        <f t="shared" ref="I38:I42" si="5">F38/6*G38</f>
        <v>1001.5</v>
      </c>
      <c r="J38" s="23"/>
    </row>
    <row r="39" spans="1:14" ht="15.75" customHeight="1">
      <c r="A39" s="29">
        <v>6</v>
      </c>
      <c r="B39" s="71" t="s">
        <v>70</v>
      </c>
      <c r="C39" s="72" t="s">
        <v>29</v>
      </c>
      <c r="D39" s="71" t="s">
        <v>156</v>
      </c>
      <c r="E39" s="74">
        <v>160.6</v>
      </c>
      <c r="F39" s="74">
        <f>SUM(E39*18/1000)</f>
        <v>2.8907999999999996</v>
      </c>
      <c r="G39" s="74">
        <v>2757.78</v>
      </c>
      <c r="H39" s="78">
        <f t="shared" si="4"/>
        <v>7.972190423999999</v>
      </c>
      <c r="I39" s="13">
        <f t="shared" si="5"/>
        <v>1328.698404</v>
      </c>
      <c r="J39" s="23"/>
    </row>
    <row r="40" spans="1:14" ht="15.75" customHeight="1">
      <c r="A40" s="29">
        <v>7</v>
      </c>
      <c r="B40" s="71" t="s">
        <v>71</v>
      </c>
      <c r="C40" s="72" t="s">
        <v>29</v>
      </c>
      <c r="D40" s="71" t="s">
        <v>129</v>
      </c>
      <c r="E40" s="73">
        <v>89.1</v>
      </c>
      <c r="F40" s="74">
        <f>SUM(E40*155/1000)</f>
        <v>13.810499999999999</v>
      </c>
      <c r="G40" s="74">
        <v>460.02</v>
      </c>
      <c r="H40" s="78">
        <f t="shared" si="4"/>
        <v>6.3531062099999991</v>
      </c>
      <c r="I40" s="13">
        <f t="shared" si="5"/>
        <v>1058.8510349999999</v>
      </c>
      <c r="J40" s="23"/>
    </row>
    <row r="41" spans="1:14" ht="15.75" hidden="1" customHeight="1">
      <c r="A41" s="29">
        <v>12</v>
      </c>
      <c r="B41" s="71" t="s">
        <v>157</v>
      </c>
      <c r="C41" s="72" t="s">
        <v>158</v>
      </c>
      <c r="D41" s="71" t="s">
        <v>69</v>
      </c>
      <c r="E41" s="73"/>
      <c r="F41" s="74">
        <v>39</v>
      </c>
      <c r="G41" s="74">
        <v>301.70999999999998</v>
      </c>
      <c r="H41" s="78">
        <f t="shared" si="4"/>
        <v>11.766689999999999</v>
      </c>
      <c r="I41" s="13">
        <v>0</v>
      </c>
      <c r="J41" s="23"/>
    </row>
    <row r="42" spans="1:14" ht="47.25" customHeight="1">
      <c r="A42" s="29">
        <v>8</v>
      </c>
      <c r="B42" s="71" t="s">
        <v>88</v>
      </c>
      <c r="C42" s="72" t="s">
        <v>111</v>
      </c>
      <c r="D42" s="71" t="s">
        <v>159</v>
      </c>
      <c r="E42" s="74">
        <v>46.5</v>
      </c>
      <c r="F42" s="74">
        <f>SUM(E42*35/1000)</f>
        <v>1.6274999999999999</v>
      </c>
      <c r="G42" s="74">
        <v>7611.16</v>
      </c>
      <c r="H42" s="78">
        <f t="shared" si="4"/>
        <v>12.3871629</v>
      </c>
      <c r="I42" s="13">
        <f t="shared" si="5"/>
        <v>2064.5271499999999</v>
      </c>
      <c r="J42" s="23"/>
      <c r="L42" s="19"/>
      <c r="M42" s="20"/>
      <c r="N42" s="21"/>
    </row>
    <row r="43" spans="1:14" ht="15.75" customHeight="1">
      <c r="A43" s="94">
        <v>9</v>
      </c>
      <c r="B43" s="83" t="s">
        <v>113</v>
      </c>
      <c r="C43" s="84" t="s">
        <v>111</v>
      </c>
      <c r="D43" s="83" t="s">
        <v>72</v>
      </c>
      <c r="E43" s="85">
        <v>89.1</v>
      </c>
      <c r="F43" s="85">
        <f>SUM(E43*45/1000)</f>
        <v>4.0094999999999992</v>
      </c>
      <c r="G43" s="85">
        <v>562.25</v>
      </c>
      <c r="H43" s="82">
        <f t="shared" si="4"/>
        <v>2.2543413749999996</v>
      </c>
      <c r="I43" s="95">
        <f>F43/7.5*G43</f>
        <v>300.57884999999993</v>
      </c>
      <c r="J43" s="23"/>
      <c r="L43" s="19"/>
      <c r="M43" s="20"/>
      <c r="N43" s="21"/>
    </row>
    <row r="44" spans="1:14" ht="15.75" customHeight="1">
      <c r="A44" s="29">
        <v>10</v>
      </c>
      <c r="B44" s="14" t="s">
        <v>73</v>
      </c>
      <c r="C44" s="16" t="s">
        <v>33</v>
      </c>
      <c r="D44" s="14"/>
      <c r="E44" s="18"/>
      <c r="F44" s="13">
        <v>0.9</v>
      </c>
      <c r="G44" s="13">
        <v>974.83</v>
      </c>
      <c r="H44" s="13">
        <f t="shared" si="4"/>
        <v>0.8773470000000001</v>
      </c>
      <c r="I44" s="13">
        <f>F44/7.5*G44</f>
        <v>116.97960000000002</v>
      </c>
      <c r="J44" s="23"/>
      <c r="L44" s="19"/>
      <c r="M44" s="20"/>
      <c r="N44" s="21"/>
    </row>
    <row r="45" spans="1:14" ht="15.75" hidden="1" customHeight="1">
      <c r="A45" s="179" t="s">
        <v>138</v>
      </c>
      <c r="B45" s="180"/>
      <c r="C45" s="180"/>
      <c r="D45" s="180"/>
      <c r="E45" s="180"/>
      <c r="F45" s="180"/>
      <c r="G45" s="180"/>
      <c r="H45" s="180"/>
      <c r="I45" s="181"/>
      <c r="J45" s="23"/>
      <c r="L45" s="19"/>
      <c r="M45" s="20"/>
      <c r="N45" s="21"/>
    </row>
    <row r="46" spans="1:14" ht="15.75" hidden="1" customHeight="1">
      <c r="A46" s="133">
        <v>12</v>
      </c>
      <c r="B46" s="135" t="s">
        <v>114</v>
      </c>
      <c r="C46" s="136" t="s">
        <v>111</v>
      </c>
      <c r="D46" s="135" t="s">
        <v>43</v>
      </c>
      <c r="E46" s="137">
        <v>1632.75</v>
      </c>
      <c r="F46" s="138">
        <f>SUM(E46*2/1000)</f>
        <v>3.2654999999999998</v>
      </c>
      <c r="G46" s="138">
        <v>1062</v>
      </c>
      <c r="H46" s="138">
        <f t="shared" ref="H46:H55" si="6">SUM(F46*G46/1000)</f>
        <v>3.4679609999999998</v>
      </c>
      <c r="I46" s="134">
        <f>F46/2*G46</f>
        <v>1733.9804999999999</v>
      </c>
      <c r="J46" s="23"/>
      <c r="L46" s="19"/>
      <c r="M46" s="20"/>
      <c r="N46" s="21"/>
    </row>
    <row r="47" spans="1:14" ht="15.75" hidden="1" customHeight="1">
      <c r="A47" s="133">
        <v>13</v>
      </c>
      <c r="B47" s="135" t="s">
        <v>36</v>
      </c>
      <c r="C47" s="136" t="s">
        <v>111</v>
      </c>
      <c r="D47" s="135" t="s">
        <v>43</v>
      </c>
      <c r="E47" s="137">
        <v>53.75</v>
      </c>
      <c r="F47" s="138">
        <f>SUM(E47*2/1000)</f>
        <v>0.1075</v>
      </c>
      <c r="G47" s="138">
        <v>759.98</v>
      </c>
      <c r="H47" s="138">
        <f t="shared" si="6"/>
        <v>8.1697850000000002E-2</v>
      </c>
      <c r="I47" s="134">
        <f t="shared" ref="I47:I54" si="7">F47/2*G47</f>
        <v>40.848925000000001</v>
      </c>
      <c r="J47" s="23"/>
      <c r="L47" s="19"/>
      <c r="M47" s="20"/>
      <c r="N47" s="21"/>
    </row>
    <row r="48" spans="1:14" ht="15.75" hidden="1" customHeight="1">
      <c r="A48" s="133">
        <v>14</v>
      </c>
      <c r="B48" s="135" t="s">
        <v>37</v>
      </c>
      <c r="C48" s="136" t="s">
        <v>111</v>
      </c>
      <c r="D48" s="135" t="s">
        <v>43</v>
      </c>
      <c r="E48" s="137">
        <v>2285.6</v>
      </c>
      <c r="F48" s="138">
        <f>SUM(E48*2/1000)</f>
        <v>4.5712000000000002</v>
      </c>
      <c r="G48" s="138">
        <v>759.98</v>
      </c>
      <c r="H48" s="138">
        <f t="shared" si="6"/>
        <v>3.4740205760000005</v>
      </c>
      <c r="I48" s="134">
        <f t="shared" si="7"/>
        <v>1737.0102880000002</v>
      </c>
      <c r="J48" s="23"/>
      <c r="L48" s="19"/>
      <c r="M48" s="20"/>
      <c r="N48" s="21"/>
    </row>
    <row r="49" spans="1:14" ht="15.75" hidden="1" customHeight="1">
      <c r="A49" s="133">
        <v>15</v>
      </c>
      <c r="B49" s="135" t="s">
        <v>38</v>
      </c>
      <c r="C49" s="136" t="s">
        <v>111</v>
      </c>
      <c r="D49" s="135" t="s">
        <v>43</v>
      </c>
      <c r="E49" s="137">
        <v>1860</v>
      </c>
      <c r="F49" s="138">
        <f>SUM(E49*2/1000)</f>
        <v>3.72</v>
      </c>
      <c r="G49" s="138">
        <v>795.82</v>
      </c>
      <c r="H49" s="138">
        <f t="shared" si="6"/>
        <v>2.9604504</v>
      </c>
      <c r="I49" s="134">
        <f t="shared" si="7"/>
        <v>1480.2252000000001</v>
      </c>
      <c r="J49" s="23"/>
      <c r="L49" s="19"/>
      <c r="M49" s="20"/>
      <c r="N49" s="21"/>
    </row>
    <row r="50" spans="1:14" ht="15.75" hidden="1" customHeight="1">
      <c r="A50" s="133">
        <v>16</v>
      </c>
      <c r="B50" s="135" t="s">
        <v>34</v>
      </c>
      <c r="C50" s="136" t="s">
        <v>35</v>
      </c>
      <c r="D50" s="135" t="s">
        <v>43</v>
      </c>
      <c r="E50" s="137">
        <v>120.5</v>
      </c>
      <c r="F50" s="138">
        <f>SUM(E50*2/100)</f>
        <v>2.41</v>
      </c>
      <c r="G50" s="138">
        <v>95.49</v>
      </c>
      <c r="H50" s="138">
        <f t="shared" si="6"/>
        <v>0.2301309</v>
      </c>
      <c r="I50" s="134">
        <f t="shared" si="7"/>
        <v>115.06545</v>
      </c>
      <c r="J50" s="23"/>
      <c r="L50" s="19"/>
      <c r="M50" s="20"/>
      <c r="N50" s="21"/>
    </row>
    <row r="51" spans="1:14" ht="15.75" hidden="1" customHeight="1">
      <c r="A51" s="133">
        <v>17</v>
      </c>
      <c r="B51" s="135" t="s">
        <v>58</v>
      </c>
      <c r="C51" s="136" t="s">
        <v>111</v>
      </c>
      <c r="D51" s="135" t="s">
        <v>141</v>
      </c>
      <c r="E51" s="137">
        <v>3053.4</v>
      </c>
      <c r="F51" s="138">
        <f>SUM(E51*5/1000)</f>
        <v>15.266999999999999</v>
      </c>
      <c r="G51" s="138">
        <v>1591.6</v>
      </c>
      <c r="H51" s="138">
        <f t="shared" si="6"/>
        <v>24.298957199999997</v>
      </c>
      <c r="I51" s="134">
        <f>F51/5*G51</f>
        <v>4859.79144</v>
      </c>
      <c r="J51" s="23"/>
      <c r="L51" s="19"/>
      <c r="M51" s="20"/>
      <c r="N51" s="21"/>
    </row>
    <row r="52" spans="1:14" ht="31.5" hidden="1" customHeight="1">
      <c r="A52" s="133"/>
      <c r="B52" s="135" t="s">
        <v>115</v>
      </c>
      <c r="C52" s="136" t="s">
        <v>111</v>
      </c>
      <c r="D52" s="135" t="s">
        <v>43</v>
      </c>
      <c r="E52" s="137">
        <f>E51</f>
        <v>3053.4</v>
      </c>
      <c r="F52" s="138">
        <f>SUM(E52*2/1000)</f>
        <v>6.1067999999999998</v>
      </c>
      <c r="G52" s="138">
        <v>1591.6</v>
      </c>
      <c r="H52" s="138">
        <f t="shared" si="6"/>
        <v>9.7195828800000008</v>
      </c>
      <c r="I52" s="134">
        <f t="shared" si="7"/>
        <v>4859.79144</v>
      </c>
      <c r="J52" s="23"/>
      <c r="L52" s="19"/>
      <c r="M52" s="20"/>
      <c r="N52" s="21"/>
    </row>
    <row r="53" spans="1:14" ht="31.5" hidden="1" customHeight="1">
      <c r="A53" s="133"/>
      <c r="B53" s="135" t="s">
        <v>133</v>
      </c>
      <c r="C53" s="136" t="s">
        <v>39</v>
      </c>
      <c r="D53" s="135" t="s">
        <v>43</v>
      </c>
      <c r="E53" s="137">
        <v>20</v>
      </c>
      <c r="F53" s="138">
        <f>SUM(E53*2/100)</f>
        <v>0.4</v>
      </c>
      <c r="G53" s="138">
        <v>3581.13</v>
      </c>
      <c r="H53" s="138">
        <f t="shared" si="6"/>
        <v>1.4324520000000003</v>
      </c>
      <c r="I53" s="134">
        <f t="shared" si="7"/>
        <v>716.22600000000011</v>
      </c>
      <c r="J53" s="23"/>
      <c r="L53" s="19"/>
      <c r="M53" s="20"/>
      <c r="N53" s="21"/>
    </row>
    <row r="54" spans="1:14" ht="15.75" hidden="1" customHeight="1">
      <c r="A54" s="133"/>
      <c r="B54" s="135" t="s">
        <v>40</v>
      </c>
      <c r="C54" s="136" t="s">
        <v>41</v>
      </c>
      <c r="D54" s="135" t="s">
        <v>43</v>
      </c>
      <c r="E54" s="137">
        <v>1</v>
      </c>
      <c r="F54" s="138">
        <v>0.02</v>
      </c>
      <c r="G54" s="138">
        <v>7412.92</v>
      </c>
      <c r="H54" s="138">
        <f t="shared" si="6"/>
        <v>0.14825839999999998</v>
      </c>
      <c r="I54" s="134">
        <f t="shared" si="7"/>
        <v>74.129199999999997</v>
      </c>
      <c r="J54" s="23"/>
      <c r="L54" s="19"/>
      <c r="M54" s="20"/>
      <c r="N54" s="21"/>
    </row>
    <row r="55" spans="1:14" ht="15.75" hidden="1" customHeight="1">
      <c r="A55" s="133">
        <v>18</v>
      </c>
      <c r="B55" s="135" t="s">
        <v>42</v>
      </c>
      <c r="C55" s="136" t="s">
        <v>95</v>
      </c>
      <c r="D55" s="135" t="s">
        <v>74</v>
      </c>
      <c r="E55" s="137">
        <v>128</v>
      </c>
      <c r="F55" s="138">
        <f>SUM(E55)*3</f>
        <v>384</v>
      </c>
      <c r="G55" s="139">
        <v>86.15</v>
      </c>
      <c r="H55" s="138">
        <f t="shared" si="6"/>
        <v>33.081600000000009</v>
      </c>
      <c r="I55" s="134">
        <f>E55*G55</f>
        <v>11027.2</v>
      </c>
      <c r="J55" s="23"/>
      <c r="L55" s="19"/>
      <c r="M55" s="20"/>
      <c r="N55" s="21"/>
    </row>
    <row r="56" spans="1:14" ht="15.75" customHeight="1">
      <c r="A56" s="179" t="s">
        <v>143</v>
      </c>
      <c r="B56" s="180"/>
      <c r="C56" s="180"/>
      <c r="D56" s="180"/>
      <c r="E56" s="180"/>
      <c r="F56" s="180"/>
      <c r="G56" s="180"/>
      <c r="H56" s="180"/>
      <c r="I56" s="181"/>
      <c r="J56" s="23"/>
      <c r="L56" s="19"/>
      <c r="M56" s="20"/>
      <c r="N56" s="21"/>
    </row>
    <row r="57" spans="1:14" ht="15.75" hidden="1" customHeight="1">
      <c r="A57" s="96"/>
      <c r="B57" s="104" t="s">
        <v>44</v>
      </c>
      <c r="C57" s="98"/>
      <c r="D57" s="97"/>
      <c r="E57" s="99"/>
      <c r="F57" s="100"/>
      <c r="G57" s="100"/>
      <c r="H57" s="105"/>
      <c r="I57" s="106"/>
      <c r="J57" s="23"/>
      <c r="L57" s="19"/>
      <c r="M57" s="20"/>
      <c r="N57" s="21"/>
    </row>
    <row r="58" spans="1:14" ht="31.5" hidden="1" customHeight="1">
      <c r="A58" s="29">
        <v>15</v>
      </c>
      <c r="B58" s="71" t="s">
        <v>116</v>
      </c>
      <c r="C58" s="72" t="s">
        <v>99</v>
      </c>
      <c r="D58" s="71" t="s">
        <v>117</v>
      </c>
      <c r="E58" s="73">
        <v>92.7</v>
      </c>
      <c r="F58" s="74">
        <f>SUM(E58*6/100)</f>
        <v>5.5620000000000003</v>
      </c>
      <c r="G58" s="13">
        <v>2431.1799999999998</v>
      </c>
      <c r="H58" s="78">
        <f>SUM(F58*G58/1000)</f>
        <v>13.522223159999999</v>
      </c>
      <c r="I58" s="13">
        <f>F58/6*G58</f>
        <v>2253.7038600000001</v>
      </c>
      <c r="J58" s="23"/>
      <c r="L58" s="19"/>
      <c r="M58" s="20"/>
      <c r="N58" s="21"/>
    </row>
    <row r="59" spans="1:14" ht="15.75" hidden="1" customHeight="1">
      <c r="A59" s="29"/>
      <c r="B59" s="71" t="s">
        <v>134</v>
      </c>
      <c r="C59" s="72" t="s">
        <v>135</v>
      </c>
      <c r="D59" s="14" t="s">
        <v>69</v>
      </c>
      <c r="E59" s="73"/>
      <c r="F59" s="74">
        <v>2</v>
      </c>
      <c r="G59" s="67">
        <v>1582.05</v>
      </c>
      <c r="H59" s="78">
        <f>SUM(F59*G59/1000)</f>
        <v>3.1640999999999999</v>
      </c>
      <c r="I59" s="13">
        <f>G59*2</f>
        <v>3164.1</v>
      </c>
      <c r="J59" s="23"/>
      <c r="L59" s="19"/>
      <c r="M59" s="20"/>
      <c r="N59" s="21"/>
    </row>
    <row r="60" spans="1:14" ht="15.75" customHeight="1">
      <c r="A60" s="29"/>
      <c r="B60" s="93" t="s">
        <v>45</v>
      </c>
      <c r="C60" s="72"/>
      <c r="D60" s="71"/>
      <c r="E60" s="73"/>
      <c r="F60" s="74"/>
      <c r="G60" s="74"/>
      <c r="H60" s="75" t="s">
        <v>132</v>
      </c>
      <c r="I60" s="79"/>
      <c r="J60" s="23"/>
      <c r="L60" s="19"/>
      <c r="M60" s="20"/>
      <c r="N60" s="21"/>
    </row>
    <row r="61" spans="1:14" ht="15.75" hidden="1" customHeight="1">
      <c r="A61" s="29"/>
      <c r="B61" s="34" t="s">
        <v>46</v>
      </c>
      <c r="C61" s="44" t="s">
        <v>99</v>
      </c>
      <c r="D61" s="34" t="s">
        <v>55</v>
      </c>
      <c r="E61" s="123">
        <v>145</v>
      </c>
      <c r="F61" s="33">
        <f>SUM(E61/100)</f>
        <v>1.45</v>
      </c>
      <c r="G61" s="36">
        <v>1040.8399999999999</v>
      </c>
      <c r="H61" s="124">
        <v>9.1679999999999993</v>
      </c>
      <c r="I61" s="13">
        <v>0</v>
      </c>
      <c r="J61" s="23"/>
      <c r="L61" s="19"/>
      <c r="M61" s="20"/>
      <c r="N61" s="21"/>
    </row>
    <row r="62" spans="1:14" ht="15.75" customHeight="1">
      <c r="A62" s="29">
        <v>11</v>
      </c>
      <c r="B62" s="125" t="s">
        <v>96</v>
      </c>
      <c r="C62" s="126" t="s">
        <v>25</v>
      </c>
      <c r="D62" s="125" t="s">
        <v>30</v>
      </c>
      <c r="E62" s="123">
        <v>255.2</v>
      </c>
      <c r="F62" s="33">
        <v>2400</v>
      </c>
      <c r="G62" s="127">
        <v>1.2</v>
      </c>
      <c r="H62" s="128">
        <f>G62*F62/1000</f>
        <v>2.88</v>
      </c>
      <c r="I62" s="13">
        <f>F62/12*G62</f>
        <v>240</v>
      </c>
      <c r="J62" s="23"/>
      <c r="L62" s="19"/>
      <c r="M62" s="20"/>
      <c r="N62" s="21"/>
    </row>
    <row r="63" spans="1:14" ht="15.75" customHeight="1">
      <c r="A63" s="29"/>
      <c r="B63" s="102" t="s">
        <v>47</v>
      </c>
      <c r="C63" s="84"/>
      <c r="D63" s="83"/>
      <c r="E63" s="81"/>
      <c r="F63" s="85"/>
      <c r="G63" s="85"/>
      <c r="H63" s="86" t="s">
        <v>132</v>
      </c>
      <c r="I63" s="79"/>
      <c r="J63" s="23"/>
      <c r="L63" s="19"/>
      <c r="M63" s="20"/>
      <c r="N63" s="21"/>
    </row>
    <row r="64" spans="1:14" ht="15.75" hidden="1" customHeight="1">
      <c r="A64" s="29">
        <v>17</v>
      </c>
      <c r="B64" s="56" t="s">
        <v>48</v>
      </c>
      <c r="C64" s="40" t="s">
        <v>95</v>
      </c>
      <c r="D64" s="39" t="s">
        <v>69</v>
      </c>
      <c r="E64" s="17">
        <v>6</v>
      </c>
      <c r="F64" s="33">
        <f>SUM(E64)</f>
        <v>6</v>
      </c>
      <c r="G64" s="36">
        <v>291.68</v>
      </c>
      <c r="H64" s="114">
        <f t="shared" ref="H64:H72" si="8">SUM(F64*G64/1000)</f>
        <v>1.7500799999999999</v>
      </c>
      <c r="I64" s="13">
        <f>G64*5</f>
        <v>1458.4</v>
      </c>
      <c r="J64" s="23"/>
      <c r="L64" s="19"/>
    </row>
    <row r="65" spans="1:22" ht="15.75" hidden="1" customHeight="1">
      <c r="A65" s="29"/>
      <c r="B65" s="56" t="s">
        <v>49</v>
      </c>
      <c r="C65" s="40" t="s">
        <v>95</v>
      </c>
      <c r="D65" s="39" t="s">
        <v>69</v>
      </c>
      <c r="E65" s="17">
        <v>4</v>
      </c>
      <c r="F65" s="33">
        <f>SUM(E65)</f>
        <v>4</v>
      </c>
      <c r="G65" s="36">
        <v>100.01</v>
      </c>
      <c r="H65" s="114">
        <f t="shared" si="8"/>
        <v>0.40004000000000001</v>
      </c>
      <c r="I65" s="13">
        <v>0</v>
      </c>
      <c r="J65" s="23"/>
      <c r="L65" s="19"/>
    </row>
    <row r="66" spans="1:22" ht="15.75" hidden="1" customHeight="1">
      <c r="A66" s="29"/>
      <c r="B66" s="56" t="s">
        <v>50</v>
      </c>
      <c r="C66" s="42" t="s">
        <v>118</v>
      </c>
      <c r="D66" s="39" t="s">
        <v>55</v>
      </c>
      <c r="E66" s="121">
        <v>15552</v>
      </c>
      <c r="F66" s="37">
        <f>SUM(E66/100)</f>
        <v>155.52000000000001</v>
      </c>
      <c r="G66" s="36">
        <v>278.24</v>
      </c>
      <c r="H66" s="114">
        <f t="shared" si="8"/>
        <v>43.271884800000009</v>
      </c>
      <c r="I66" s="13">
        <v>0</v>
      </c>
    </row>
    <row r="67" spans="1:22" ht="15.75" hidden="1" customHeight="1">
      <c r="A67" s="29"/>
      <c r="B67" s="56" t="s">
        <v>51</v>
      </c>
      <c r="C67" s="40" t="s">
        <v>119</v>
      </c>
      <c r="D67" s="39"/>
      <c r="E67" s="121">
        <v>15552</v>
      </c>
      <c r="F67" s="36">
        <f>SUM(E67/1000)</f>
        <v>15.552</v>
      </c>
      <c r="G67" s="36">
        <v>216.68</v>
      </c>
      <c r="H67" s="114">
        <f t="shared" si="8"/>
        <v>3.3698073600000003</v>
      </c>
      <c r="I67" s="13">
        <v>0</v>
      </c>
    </row>
    <row r="68" spans="1:22" ht="15.75" hidden="1" customHeight="1">
      <c r="A68" s="29"/>
      <c r="B68" s="56" t="s">
        <v>52</v>
      </c>
      <c r="C68" s="40" t="s">
        <v>81</v>
      </c>
      <c r="D68" s="39" t="s">
        <v>55</v>
      </c>
      <c r="E68" s="121">
        <v>2432</v>
      </c>
      <c r="F68" s="36">
        <f>SUM(E68/100)</f>
        <v>24.32</v>
      </c>
      <c r="G68" s="36">
        <v>2720.94</v>
      </c>
      <c r="H68" s="114">
        <f t="shared" si="8"/>
        <v>66.173260800000008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29"/>
      <c r="B69" s="53" t="s">
        <v>75</v>
      </c>
      <c r="C69" s="40" t="s">
        <v>33</v>
      </c>
      <c r="D69" s="39"/>
      <c r="E69" s="121">
        <v>14.8</v>
      </c>
      <c r="F69" s="36">
        <f>SUM(E69)</f>
        <v>14.8</v>
      </c>
      <c r="G69" s="36">
        <v>42.61</v>
      </c>
      <c r="H69" s="114">
        <f t="shared" si="8"/>
        <v>0.63062800000000008</v>
      </c>
      <c r="I69" s="13">
        <v>0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31.5" hidden="1" customHeight="1">
      <c r="A70" s="29"/>
      <c r="B70" s="53" t="s">
        <v>76</v>
      </c>
      <c r="C70" s="40" t="s">
        <v>33</v>
      </c>
      <c r="D70" s="39"/>
      <c r="E70" s="121">
        <f>E69</f>
        <v>14.8</v>
      </c>
      <c r="F70" s="36">
        <f>SUM(E70)</f>
        <v>14.8</v>
      </c>
      <c r="G70" s="36">
        <v>46.04</v>
      </c>
      <c r="H70" s="114">
        <f t="shared" si="8"/>
        <v>0.681392</v>
      </c>
      <c r="I70" s="13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hidden="1" customHeight="1">
      <c r="A71" s="29">
        <v>22</v>
      </c>
      <c r="B71" s="39" t="s">
        <v>59</v>
      </c>
      <c r="C71" s="40" t="s">
        <v>60</v>
      </c>
      <c r="D71" s="39" t="s">
        <v>55</v>
      </c>
      <c r="E71" s="17">
        <v>5</v>
      </c>
      <c r="F71" s="33">
        <f>SUM(E71)</f>
        <v>5</v>
      </c>
      <c r="G71" s="36">
        <v>65.42</v>
      </c>
      <c r="H71" s="114">
        <f t="shared" si="8"/>
        <v>0.3271</v>
      </c>
      <c r="I71" s="13">
        <f>G71*4</f>
        <v>261.68</v>
      </c>
      <c r="J71" s="5"/>
      <c r="K71" s="5"/>
      <c r="L71" s="5"/>
      <c r="M71" s="5"/>
      <c r="N71" s="5"/>
      <c r="O71" s="5"/>
      <c r="P71" s="5"/>
      <c r="Q71" s="5"/>
      <c r="R71" s="187"/>
      <c r="S71" s="187"/>
      <c r="T71" s="187"/>
      <c r="U71" s="187"/>
    </row>
    <row r="72" spans="1:22" ht="15.75" customHeight="1">
      <c r="A72" s="29">
        <v>12</v>
      </c>
      <c r="B72" s="39" t="s">
        <v>160</v>
      </c>
      <c r="C72" s="45" t="s">
        <v>161</v>
      </c>
      <c r="D72" s="39" t="s">
        <v>69</v>
      </c>
      <c r="E72" s="17">
        <f>E51</f>
        <v>3053.4</v>
      </c>
      <c r="F72" s="33">
        <f>SUM(E72*12)</f>
        <v>36640.800000000003</v>
      </c>
      <c r="G72" s="36">
        <v>2.2799999999999998</v>
      </c>
      <c r="H72" s="114">
        <f t="shared" si="8"/>
        <v>83.541024000000007</v>
      </c>
      <c r="I72" s="13">
        <f>F72/12*G72</f>
        <v>6961.7519999999995</v>
      </c>
      <c r="J72" s="5"/>
      <c r="K72" s="5"/>
      <c r="L72" s="5"/>
      <c r="M72" s="5"/>
      <c r="N72" s="5"/>
      <c r="O72" s="5"/>
      <c r="P72" s="5"/>
      <c r="Q72" s="5"/>
      <c r="R72" s="109"/>
      <c r="S72" s="109"/>
      <c r="T72" s="109"/>
      <c r="U72" s="109"/>
    </row>
    <row r="73" spans="1:22" ht="15.75" customHeight="1">
      <c r="A73" s="29"/>
      <c r="B73" s="112" t="s">
        <v>77</v>
      </c>
      <c r="C73" s="16"/>
      <c r="D73" s="14"/>
      <c r="E73" s="18"/>
      <c r="F73" s="13"/>
      <c r="G73" s="13"/>
      <c r="H73" s="87" t="s">
        <v>132</v>
      </c>
      <c r="I73" s="79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2" ht="15.75" hidden="1" customHeight="1">
      <c r="A74" s="29">
        <v>19</v>
      </c>
      <c r="B74" s="39" t="s">
        <v>162</v>
      </c>
      <c r="C74" s="40" t="s">
        <v>163</v>
      </c>
      <c r="D74" s="39" t="s">
        <v>69</v>
      </c>
      <c r="E74" s="17">
        <v>1</v>
      </c>
      <c r="F74" s="36">
        <f>E74</f>
        <v>1</v>
      </c>
      <c r="G74" s="36">
        <v>1029.1199999999999</v>
      </c>
      <c r="H74" s="113">
        <f t="shared" ref="H74:H75" si="9">SUM(F74*G74/1000)</f>
        <v>1.0291199999999998</v>
      </c>
      <c r="I74" s="13">
        <v>0</v>
      </c>
    </row>
    <row r="75" spans="1:22" ht="15.75" hidden="1" customHeight="1">
      <c r="A75" s="29"/>
      <c r="B75" s="39" t="s">
        <v>164</v>
      </c>
      <c r="C75" s="40" t="s">
        <v>165</v>
      </c>
      <c r="D75" s="129"/>
      <c r="E75" s="17">
        <v>1</v>
      </c>
      <c r="F75" s="36">
        <v>1</v>
      </c>
      <c r="G75" s="36">
        <v>735</v>
      </c>
      <c r="H75" s="113">
        <f t="shared" si="9"/>
        <v>0.73499999999999999</v>
      </c>
      <c r="I75" s="13">
        <v>0</v>
      </c>
    </row>
    <row r="76" spans="1:22" ht="15.75" hidden="1" customHeight="1">
      <c r="A76" s="29"/>
      <c r="B76" s="39" t="s">
        <v>78</v>
      </c>
      <c r="C76" s="40" t="s">
        <v>79</v>
      </c>
      <c r="D76" s="39" t="s">
        <v>69</v>
      </c>
      <c r="E76" s="17">
        <v>5</v>
      </c>
      <c r="F76" s="33">
        <f>SUM(E76/10)</f>
        <v>0.5</v>
      </c>
      <c r="G76" s="36">
        <v>657.87</v>
      </c>
      <c r="H76" s="113">
        <f>SUM(F76*G76/1000)</f>
        <v>0.32893499999999998</v>
      </c>
      <c r="I76" s="13">
        <v>0</v>
      </c>
    </row>
    <row r="77" spans="1:22" ht="15.75" hidden="1" customHeight="1">
      <c r="A77" s="29"/>
      <c r="B77" s="39" t="s">
        <v>130</v>
      </c>
      <c r="C77" s="40" t="s">
        <v>95</v>
      </c>
      <c r="D77" s="39" t="s">
        <v>69</v>
      </c>
      <c r="E77" s="17">
        <v>1</v>
      </c>
      <c r="F77" s="36">
        <f>E77</f>
        <v>1</v>
      </c>
      <c r="G77" s="36">
        <v>1118.72</v>
      </c>
      <c r="H77" s="113">
        <f>SUM(F77*G77/1000)</f>
        <v>1.1187199999999999</v>
      </c>
      <c r="I77" s="13">
        <v>0</v>
      </c>
    </row>
    <row r="78" spans="1:22" ht="15.75" customHeight="1">
      <c r="A78" s="29">
        <v>13</v>
      </c>
      <c r="B78" s="115" t="s">
        <v>166</v>
      </c>
      <c r="C78" s="116" t="s">
        <v>95</v>
      </c>
      <c r="D78" s="39" t="s">
        <v>69</v>
      </c>
      <c r="E78" s="17">
        <v>2</v>
      </c>
      <c r="F78" s="33">
        <f>E78*12</f>
        <v>24</v>
      </c>
      <c r="G78" s="36">
        <v>53.42</v>
      </c>
      <c r="H78" s="113">
        <f t="shared" ref="H78:H79" si="10">SUM(F78*G78/1000)</f>
        <v>1.2820799999999999</v>
      </c>
      <c r="I78" s="13">
        <f>G78*2</f>
        <v>106.84</v>
      </c>
    </row>
    <row r="79" spans="1:22" ht="31.5" customHeight="1">
      <c r="A79" s="29">
        <v>14</v>
      </c>
      <c r="B79" s="115" t="s">
        <v>167</v>
      </c>
      <c r="C79" s="116" t="s">
        <v>95</v>
      </c>
      <c r="D79" s="39" t="s">
        <v>30</v>
      </c>
      <c r="E79" s="17">
        <v>1</v>
      </c>
      <c r="F79" s="33">
        <f>E79*12</f>
        <v>12</v>
      </c>
      <c r="G79" s="36">
        <v>1194</v>
      </c>
      <c r="H79" s="113">
        <f t="shared" si="10"/>
        <v>14.327999999999999</v>
      </c>
      <c r="I79" s="13">
        <f>G79</f>
        <v>1194</v>
      </c>
    </row>
    <row r="80" spans="1:22" ht="15.75" hidden="1" customHeight="1">
      <c r="A80" s="29"/>
      <c r="B80" s="90" t="s">
        <v>80</v>
      </c>
      <c r="C80" s="16"/>
      <c r="D80" s="14"/>
      <c r="E80" s="18"/>
      <c r="F80" s="18"/>
      <c r="G80" s="18"/>
      <c r="H80" s="18"/>
      <c r="I80" s="79"/>
    </row>
    <row r="81" spans="1:9" ht="15.75" hidden="1" customHeight="1">
      <c r="A81" s="29"/>
      <c r="B81" s="41" t="s">
        <v>122</v>
      </c>
      <c r="C81" s="42" t="s">
        <v>81</v>
      </c>
      <c r="D81" s="56"/>
      <c r="E81" s="59"/>
      <c r="F81" s="37">
        <v>0.3</v>
      </c>
      <c r="G81" s="37">
        <v>3619.09</v>
      </c>
      <c r="H81" s="114">
        <f t="shared" ref="H81" si="11">SUM(F81*G81/1000)</f>
        <v>1.0857270000000001</v>
      </c>
      <c r="I81" s="13">
        <v>0</v>
      </c>
    </row>
    <row r="82" spans="1:9" ht="15.75" hidden="1" customHeight="1">
      <c r="A82" s="29"/>
      <c r="B82" s="112" t="s">
        <v>120</v>
      </c>
      <c r="C82" s="90"/>
      <c r="D82" s="31"/>
      <c r="E82" s="32"/>
      <c r="F82" s="91"/>
      <c r="G82" s="91"/>
      <c r="H82" s="92">
        <f>SUM(H58:H81)</f>
        <v>248.78712212000002</v>
      </c>
      <c r="I82" s="77"/>
    </row>
    <row r="83" spans="1:9" ht="15.75" hidden="1" customHeight="1">
      <c r="A83" s="94"/>
      <c r="B83" s="34" t="s">
        <v>121</v>
      </c>
      <c r="C83" s="130"/>
      <c r="D83" s="131"/>
      <c r="E83" s="132"/>
      <c r="F83" s="38">
        <f>232/10</f>
        <v>23.2</v>
      </c>
      <c r="G83" s="38">
        <v>12361.2</v>
      </c>
      <c r="H83" s="114">
        <f>G83*F83/1000</f>
        <v>286.77984000000004</v>
      </c>
      <c r="I83" s="95">
        <v>0</v>
      </c>
    </row>
    <row r="84" spans="1:9" ht="15.75" customHeight="1">
      <c r="A84" s="179" t="s">
        <v>144</v>
      </c>
      <c r="B84" s="180"/>
      <c r="C84" s="180"/>
      <c r="D84" s="180"/>
      <c r="E84" s="180"/>
      <c r="F84" s="180"/>
      <c r="G84" s="180"/>
      <c r="H84" s="180"/>
      <c r="I84" s="181"/>
    </row>
    <row r="85" spans="1:9" ht="15.75" customHeight="1">
      <c r="A85" s="96">
        <v>15</v>
      </c>
      <c r="B85" s="34" t="s">
        <v>123</v>
      </c>
      <c r="C85" s="40" t="s">
        <v>56</v>
      </c>
      <c r="D85" s="103" t="s">
        <v>57</v>
      </c>
      <c r="E85" s="36">
        <v>3053.4</v>
      </c>
      <c r="F85" s="36">
        <f>SUM(E85*12)</f>
        <v>36640.800000000003</v>
      </c>
      <c r="G85" s="36">
        <v>3.1</v>
      </c>
      <c r="H85" s="114">
        <f>SUM(F85*G85/1000)</f>
        <v>113.58648000000001</v>
      </c>
      <c r="I85" s="101">
        <f>F85/12*G85</f>
        <v>9465.5400000000009</v>
      </c>
    </row>
    <row r="86" spans="1:9" ht="31.5" customHeight="1">
      <c r="A86" s="29">
        <v>16</v>
      </c>
      <c r="B86" s="39" t="s">
        <v>82</v>
      </c>
      <c r="C86" s="40"/>
      <c r="D86" s="103" t="s">
        <v>57</v>
      </c>
      <c r="E86" s="121">
        <v>3053.4</v>
      </c>
      <c r="F86" s="36">
        <f>E86*12</f>
        <v>36640.800000000003</v>
      </c>
      <c r="G86" s="36">
        <v>3.5</v>
      </c>
      <c r="H86" s="114">
        <f>F86*G86/1000</f>
        <v>128.24280000000002</v>
      </c>
      <c r="I86" s="13">
        <f>F86/12*G86</f>
        <v>10686.9</v>
      </c>
    </row>
    <row r="87" spans="1:9" ht="15.75" customHeight="1">
      <c r="A87" s="29"/>
      <c r="B87" s="43" t="s">
        <v>85</v>
      </c>
      <c r="C87" s="90"/>
      <c r="D87" s="88"/>
      <c r="E87" s="91"/>
      <c r="F87" s="91"/>
      <c r="G87" s="91"/>
      <c r="H87" s="92">
        <f>SUM(H86)</f>
        <v>128.24280000000002</v>
      </c>
      <c r="I87" s="91">
        <f>I86+I85+I79+I78+I72+I62+I44+I43+I42+I40+I39+I38+I26+I18+I17+I16</f>
        <v>45772.455999000005</v>
      </c>
    </row>
    <row r="88" spans="1:9" ht="15.75" customHeight="1">
      <c r="A88" s="188" t="s">
        <v>62</v>
      </c>
      <c r="B88" s="189"/>
      <c r="C88" s="189"/>
      <c r="D88" s="189"/>
      <c r="E88" s="189"/>
      <c r="F88" s="189"/>
      <c r="G88" s="189"/>
      <c r="H88" s="189"/>
      <c r="I88" s="190"/>
    </row>
    <row r="89" spans="1:9" ht="31.5" customHeight="1">
      <c r="A89" s="29">
        <v>17</v>
      </c>
      <c r="B89" s="57" t="s">
        <v>93</v>
      </c>
      <c r="C89" s="58" t="s">
        <v>104</v>
      </c>
      <c r="D89" s="117"/>
      <c r="E89" s="36"/>
      <c r="F89" s="36">
        <v>7</v>
      </c>
      <c r="G89" s="36">
        <v>613.44000000000005</v>
      </c>
      <c r="H89" s="114">
        <f>F89*G89/1000</f>
        <v>4.2940800000000001</v>
      </c>
      <c r="I89" s="18">
        <f>G89*1</f>
        <v>613.44000000000005</v>
      </c>
    </row>
    <row r="90" spans="1:9" ht="35.25" customHeight="1">
      <c r="A90" s="29">
        <v>18</v>
      </c>
      <c r="B90" s="115" t="s">
        <v>258</v>
      </c>
      <c r="C90" s="116" t="s">
        <v>29</v>
      </c>
      <c r="D90" s="52"/>
      <c r="E90" s="36"/>
      <c r="F90" s="36">
        <v>128</v>
      </c>
      <c r="G90" s="13">
        <v>18798.34</v>
      </c>
      <c r="H90" s="36">
        <f t="shared" ref="H90" si="12">F90*G90/1000</f>
        <v>2406.1875199999999</v>
      </c>
      <c r="I90" s="13">
        <f>G90*8*0.599/1000</f>
        <v>90.081645280000004</v>
      </c>
    </row>
    <row r="91" spans="1:9" ht="15.75" customHeight="1">
      <c r="A91" s="29"/>
      <c r="B91" s="50" t="s">
        <v>53</v>
      </c>
      <c r="C91" s="46"/>
      <c r="D91" s="54"/>
      <c r="E91" s="46">
        <v>1</v>
      </c>
      <c r="F91" s="46"/>
      <c r="G91" s="46"/>
      <c r="H91" s="46"/>
      <c r="I91" s="32">
        <f>SUM(I89:I90)</f>
        <v>703.52164528000003</v>
      </c>
    </row>
    <row r="92" spans="1:9" ht="15.75" customHeight="1">
      <c r="A92" s="29"/>
      <c r="B92" s="52" t="s">
        <v>83</v>
      </c>
      <c r="C92" s="15"/>
      <c r="D92" s="15"/>
      <c r="E92" s="47"/>
      <c r="F92" s="47"/>
      <c r="G92" s="48"/>
      <c r="H92" s="48"/>
      <c r="I92" s="17">
        <v>0</v>
      </c>
    </row>
    <row r="93" spans="1:9" ht="15.75" customHeight="1">
      <c r="A93" s="55"/>
      <c r="B93" s="51" t="s">
        <v>151</v>
      </c>
      <c r="C93" s="35"/>
      <c r="D93" s="35"/>
      <c r="E93" s="35"/>
      <c r="F93" s="35"/>
      <c r="G93" s="35"/>
      <c r="H93" s="35"/>
      <c r="I93" s="49">
        <f>I87+I91</f>
        <v>46475.977644280007</v>
      </c>
    </row>
    <row r="94" spans="1:9" ht="15.75">
      <c r="A94" s="191" t="s">
        <v>259</v>
      </c>
      <c r="B94" s="191"/>
      <c r="C94" s="191"/>
      <c r="D94" s="191"/>
      <c r="E94" s="191"/>
      <c r="F94" s="191"/>
      <c r="G94" s="191"/>
      <c r="H94" s="191"/>
      <c r="I94" s="191"/>
    </row>
    <row r="95" spans="1:9" ht="15.75">
      <c r="A95" s="62"/>
      <c r="B95" s="192" t="s">
        <v>260</v>
      </c>
      <c r="C95" s="192"/>
      <c r="D95" s="192"/>
      <c r="E95" s="192"/>
      <c r="F95" s="192"/>
      <c r="G95" s="192"/>
      <c r="H95" s="70"/>
      <c r="I95" s="3"/>
    </row>
    <row r="96" spans="1:9">
      <c r="A96" s="109"/>
      <c r="B96" s="193" t="s">
        <v>6</v>
      </c>
      <c r="C96" s="193"/>
      <c r="D96" s="193"/>
      <c r="E96" s="193"/>
      <c r="F96" s="193"/>
      <c r="G96" s="193"/>
      <c r="H96" s="24"/>
      <c r="I96" s="5"/>
    </row>
    <row r="97" spans="1:9" ht="15.75" customHeight="1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 customHeight="1">
      <c r="A98" s="194" t="s">
        <v>7</v>
      </c>
      <c r="B98" s="194"/>
      <c r="C98" s="194"/>
      <c r="D98" s="194"/>
      <c r="E98" s="194"/>
      <c r="F98" s="194"/>
      <c r="G98" s="194"/>
      <c r="H98" s="194"/>
      <c r="I98" s="194"/>
    </row>
    <row r="99" spans="1:9" ht="15.75" customHeight="1">
      <c r="A99" s="194" t="s">
        <v>8</v>
      </c>
      <c r="B99" s="194"/>
      <c r="C99" s="194"/>
      <c r="D99" s="194"/>
      <c r="E99" s="194"/>
      <c r="F99" s="194"/>
      <c r="G99" s="194"/>
      <c r="H99" s="194"/>
      <c r="I99" s="194"/>
    </row>
    <row r="100" spans="1:9" ht="15.75" customHeight="1">
      <c r="A100" s="195" t="s">
        <v>63</v>
      </c>
      <c r="B100" s="195"/>
      <c r="C100" s="195"/>
      <c r="D100" s="195"/>
      <c r="E100" s="195"/>
      <c r="F100" s="195"/>
      <c r="G100" s="195"/>
      <c r="H100" s="195"/>
      <c r="I100" s="195"/>
    </row>
    <row r="101" spans="1:9" ht="15.75" customHeight="1">
      <c r="A101" s="11"/>
    </row>
    <row r="102" spans="1:9" ht="15.75" customHeight="1">
      <c r="A102" s="196" t="s">
        <v>9</v>
      </c>
      <c r="B102" s="196"/>
      <c r="C102" s="196"/>
      <c r="D102" s="196"/>
      <c r="E102" s="196"/>
      <c r="F102" s="196"/>
      <c r="G102" s="196"/>
      <c r="H102" s="196"/>
      <c r="I102" s="196"/>
    </row>
    <row r="103" spans="1:9" ht="15.75" customHeight="1">
      <c r="A103" s="4"/>
    </row>
    <row r="104" spans="1:9" ht="15.75" customHeight="1">
      <c r="B104" s="110" t="s">
        <v>10</v>
      </c>
      <c r="C104" s="197" t="s">
        <v>94</v>
      </c>
      <c r="D104" s="197"/>
      <c r="E104" s="197"/>
      <c r="F104" s="68"/>
      <c r="I104" s="108"/>
    </row>
    <row r="105" spans="1:9" ht="15.75" customHeight="1">
      <c r="A105" s="109"/>
      <c r="C105" s="193" t="s">
        <v>11</v>
      </c>
      <c r="D105" s="193"/>
      <c r="E105" s="193"/>
      <c r="F105" s="24"/>
      <c r="I105" s="107" t="s">
        <v>12</v>
      </c>
    </row>
    <row r="106" spans="1:9" ht="15.75" customHeight="1">
      <c r="A106" s="25"/>
      <c r="C106" s="12"/>
      <c r="D106" s="12"/>
      <c r="G106" s="12"/>
      <c r="H106" s="12"/>
    </row>
    <row r="107" spans="1:9" ht="15.75" customHeight="1">
      <c r="B107" s="110" t="s">
        <v>13</v>
      </c>
      <c r="C107" s="198"/>
      <c r="D107" s="198"/>
      <c r="E107" s="198"/>
      <c r="F107" s="69"/>
      <c r="I107" s="108"/>
    </row>
    <row r="108" spans="1:9" ht="15.75" customHeight="1">
      <c r="A108" s="109"/>
      <c r="C108" s="187" t="s">
        <v>11</v>
      </c>
      <c r="D108" s="187"/>
      <c r="E108" s="187"/>
      <c r="F108" s="109"/>
      <c r="I108" s="107" t="s">
        <v>12</v>
      </c>
    </row>
    <row r="109" spans="1:9" ht="15.75" customHeight="1">
      <c r="A109" s="4" t="s">
        <v>14</v>
      </c>
    </row>
    <row r="110" spans="1:9">
      <c r="A110" s="201" t="s">
        <v>15</v>
      </c>
      <c r="B110" s="201"/>
      <c r="C110" s="201"/>
      <c r="D110" s="201"/>
      <c r="E110" s="201"/>
      <c r="F110" s="201"/>
      <c r="G110" s="201"/>
      <c r="H110" s="201"/>
      <c r="I110" s="201"/>
    </row>
    <row r="111" spans="1:9" ht="45" customHeight="1">
      <c r="A111" s="202" t="s">
        <v>16</v>
      </c>
      <c r="B111" s="202"/>
      <c r="C111" s="202"/>
      <c r="D111" s="202"/>
      <c r="E111" s="202"/>
      <c r="F111" s="202"/>
      <c r="G111" s="202"/>
      <c r="H111" s="202"/>
      <c r="I111" s="202"/>
    </row>
    <row r="112" spans="1:9" ht="30" customHeight="1">
      <c r="A112" s="202" t="s">
        <v>17</v>
      </c>
      <c r="B112" s="202"/>
      <c r="C112" s="202"/>
      <c r="D112" s="202"/>
      <c r="E112" s="202"/>
      <c r="F112" s="202"/>
      <c r="G112" s="202"/>
      <c r="H112" s="202"/>
      <c r="I112" s="202"/>
    </row>
    <row r="113" spans="1:9" ht="30" customHeight="1">
      <c r="A113" s="202" t="s">
        <v>21</v>
      </c>
      <c r="B113" s="202"/>
      <c r="C113" s="202"/>
      <c r="D113" s="202"/>
      <c r="E113" s="202"/>
      <c r="F113" s="202"/>
      <c r="G113" s="202"/>
      <c r="H113" s="202"/>
      <c r="I113" s="202"/>
    </row>
    <row r="114" spans="1:9" ht="15" customHeight="1">
      <c r="A114" s="202" t="s">
        <v>20</v>
      </c>
      <c r="B114" s="202"/>
      <c r="C114" s="202"/>
      <c r="D114" s="202"/>
      <c r="E114" s="202"/>
      <c r="F114" s="202"/>
      <c r="G114" s="202"/>
      <c r="H114" s="202"/>
      <c r="I114" s="202"/>
    </row>
  </sheetData>
  <autoFilter ref="I12:I66"/>
  <mergeCells count="29">
    <mergeCell ref="A110:I110"/>
    <mergeCell ref="A111:I111"/>
    <mergeCell ref="A112:I112"/>
    <mergeCell ref="A113:I113"/>
    <mergeCell ref="A114:I114"/>
    <mergeCell ref="R71:U71"/>
    <mergeCell ref="C108:E108"/>
    <mergeCell ref="A88:I88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84:I84"/>
    <mergeCell ref="A3:I3"/>
    <mergeCell ref="A4:I4"/>
    <mergeCell ref="A5:I5"/>
    <mergeCell ref="A8:I8"/>
    <mergeCell ref="A10:I10"/>
    <mergeCell ref="A14:I14"/>
    <mergeCell ref="A15:I15"/>
    <mergeCell ref="A28:I28"/>
    <mergeCell ref="A45:I45"/>
    <mergeCell ref="A56:I5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20"/>
  <sheetViews>
    <sheetView tabSelected="1" topLeftCell="A85" workbookViewId="0">
      <selection activeCell="J101" sqref="J10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219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82" t="s">
        <v>172</v>
      </c>
      <c r="B3" s="182"/>
      <c r="C3" s="182"/>
      <c r="D3" s="182"/>
      <c r="E3" s="182"/>
      <c r="F3" s="182"/>
      <c r="G3" s="182"/>
      <c r="H3" s="182"/>
      <c r="I3" s="182"/>
      <c r="J3" s="3"/>
      <c r="K3" s="3"/>
      <c r="L3" s="3"/>
    </row>
    <row r="4" spans="1:13" ht="31.5" customHeight="1">
      <c r="A4" s="183" t="s">
        <v>124</v>
      </c>
      <c r="B4" s="183"/>
      <c r="C4" s="183"/>
      <c r="D4" s="183"/>
      <c r="E4" s="183"/>
      <c r="F4" s="183"/>
      <c r="G4" s="183"/>
      <c r="H4" s="183"/>
      <c r="I4" s="183"/>
    </row>
    <row r="5" spans="1:13" ht="15.75" customHeight="1">
      <c r="A5" s="182" t="s">
        <v>261</v>
      </c>
      <c r="B5" s="184"/>
      <c r="C5" s="184"/>
      <c r="D5" s="184"/>
      <c r="E5" s="184"/>
      <c r="F5" s="184"/>
      <c r="G5" s="184"/>
      <c r="H5" s="184"/>
      <c r="I5" s="184"/>
      <c r="J5" s="2"/>
      <c r="K5" s="2"/>
      <c r="L5" s="2"/>
      <c r="M5" s="2"/>
    </row>
    <row r="6" spans="1:13" ht="15.75" customHeight="1">
      <c r="A6" s="2"/>
      <c r="B6" s="111"/>
      <c r="C6" s="111"/>
      <c r="D6" s="111"/>
      <c r="E6" s="111"/>
      <c r="F6" s="111"/>
      <c r="G6" s="111"/>
      <c r="H6" s="111"/>
      <c r="I6" s="30">
        <v>43465</v>
      </c>
      <c r="J6" s="2"/>
      <c r="K6" s="2"/>
      <c r="L6" s="2"/>
      <c r="M6" s="2"/>
    </row>
    <row r="7" spans="1:13" ht="15.75" customHeight="1">
      <c r="B7" s="110"/>
      <c r="C7" s="110"/>
      <c r="D7" s="11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85" t="s">
        <v>221</v>
      </c>
      <c r="B8" s="185"/>
      <c r="C8" s="185"/>
      <c r="D8" s="185"/>
      <c r="E8" s="185"/>
      <c r="F8" s="185"/>
      <c r="G8" s="185"/>
      <c r="H8" s="185"/>
      <c r="I8" s="18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86" t="s">
        <v>173</v>
      </c>
      <c r="B10" s="186"/>
      <c r="C10" s="186"/>
      <c r="D10" s="186"/>
      <c r="E10" s="186"/>
      <c r="F10" s="186"/>
      <c r="G10" s="186"/>
      <c r="H10" s="186"/>
      <c r="I10" s="18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7" t="s">
        <v>61</v>
      </c>
      <c r="B14" s="177"/>
      <c r="C14" s="177"/>
      <c r="D14" s="177"/>
      <c r="E14" s="177"/>
      <c r="F14" s="177"/>
      <c r="G14" s="177"/>
      <c r="H14" s="177"/>
      <c r="I14" s="177"/>
      <c r="J14" s="8"/>
      <c r="K14" s="8"/>
      <c r="L14" s="8"/>
      <c r="M14" s="8"/>
    </row>
    <row r="15" spans="1:13" ht="15.75" customHeight="1">
      <c r="A15" s="178" t="s">
        <v>4</v>
      </c>
      <c r="B15" s="178"/>
      <c r="C15" s="178"/>
      <c r="D15" s="178"/>
      <c r="E15" s="178"/>
      <c r="F15" s="178"/>
      <c r="G15" s="178"/>
      <c r="H15" s="178"/>
      <c r="I15" s="178"/>
      <c r="J15" s="8"/>
      <c r="K15" s="8"/>
      <c r="L15" s="8"/>
      <c r="M15" s="8"/>
    </row>
    <row r="16" spans="1:13" ht="15.75" customHeight="1">
      <c r="A16" s="29">
        <v>1</v>
      </c>
      <c r="B16" s="71" t="s">
        <v>90</v>
      </c>
      <c r="C16" s="72" t="s">
        <v>99</v>
      </c>
      <c r="D16" s="71" t="s">
        <v>125</v>
      </c>
      <c r="E16" s="73">
        <v>92.5</v>
      </c>
      <c r="F16" s="74">
        <f>SUM(E16*156/100)</f>
        <v>144.30000000000001</v>
      </c>
      <c r="G16" s="74">
        <v>230</v>
      </c>
      <c r="H16" s="78">
        <f t="shared" ref="H16:H25" si="0">SUM(F16*G16/1000)</f>
        <v>33.189</v>
      </c>
      <c r="I16" s="13">
        <f>F16/12*G16</f>
        <v>2765.75</v>
      </c>
      <c r="J16" s="8"/>
      <c r="K16" s="8"/>
      <c r="L16" s="8"/>
      <c r="M16" s="8"/>
    </row>
    <row r="17" spans="1:13" ht="15.75" customHeight="1">
      <c r="A17" s="29">
        <v>2</v>
      </c>
      <c r="B17" s="71" t="s">
        <v>91</v>
      </c>
      <c r="C17" s="72" t="s">
        <v>99</v>
      </c>
      <c r="D17" s="71" t="s">
        <v>126</v>
      </c>
      <c r="E17" s="73">
        <v>288.8</v>
      </c>
      <c r="F17" s="74">
        <f>SUM(E17*104/100)</f>
        <v>300.35200000000003</v>
      </c>
      <c r="G17" s="74">
        <v>230</v>
      </c>
      <c r="H17" s="78">
        <f t="shared" si="0"/>
        <v>69.080960000000005</v>
      </c>
      <c r="I17" s="13">
        <f>F17/12*G17</f>
        <v>5756.7466666666678</v>
      </c>
      <c r="J17" s="22"/>
      <c r="K17" s="8"/>
      <c r="L17" s="8"/>
      <c r="M17" s="8"/>
    </row>
    <row r="18" spans="1:13" ht="15.75" customHeight="1">
      <c r="A18" s="29">
        <v>3</v>
      </c>
      <c r="B18" s="71" t="s">
        <v>92</v>
      </c>
      <c r="C18" s="72" t="s">
        <v>99</v>
      </c>
      <c r="D18" s="71" t="s">
        <v>149</v>
      </c>
      <c r="E18" s="73">
        <f>SUM(E16+E17)</f>
        <v>381.3</v>
      </c>
      <c r="F18" s="74">
        <f>SUM(E18*12/100)</f>
        <v>45.756</v>
      </c>
      <c r="G18" s="74">
        <v>661.67</v>
      </c>
      <c r="H18" s="78">
        <f t="shared" si="0"/>
        <v>30.275372519999998</v>
      </c>
      <c r="I18" s="13">
        <f>F18/12*G18</f>
        <v>2522.9477099999999</v>
      </c>
      <c r="J18" s="22"/>
      <c r="K18" s="8"/>
      <c r="L18" s="8"/>
      <c r="M18" s="8"/>
    </row>
    <row r="19" spans="1:13" ht="15.75" hidden="1" customHeight="1">
      <c r="A19" s="29">
        <v>4</v>
      </c>
      <c r="B19" s="71" t="s">
        <v>107</v>
      </c>
      <c r="C19" s="72" t="s">
        <v>108</v>
      </c>
      <c r="D19" s="71" t="s">
        <v>109</v>
      </c>
      <c r="E19" s="73">
        <v>19.2</v>
      </c>
      <c r="F19" s="74">
        <f>SUM(E19/10)</f>
        <v>1.92</v>
      </c>
      <c r="G19" s="74">
        <v>223.17</v>
      </c>
      <c r="H19" s="78">
        <f t="shared" si="0"/>
        <v>0.42848639999999993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4</v>
      </c>
      <c r="B20" s="71" t="s">
        <v>98</v>
      </c>
      <c r="C20" s="72" t="s">
        <v>99</v>
      </c>
      <c r="D20" s="71" t="s">
        <v>153</v>
      </c>
      <c r="E20" s="73">
        <v>27.3</v>
      </c>
      <c r="F20" s="74">
        <f>SUM(E20*2/100)</f>
        <v>0.54600000000000004</v>
      </c>
      <c r="G20" s="74">
        <v>285.76</v>
      </c>
      <c r="H20" s="78">
        <f t="shared" si="0"/>
        <v>0.15602495999999999</v>
      </c>
      <c r="I20" s="13">
        <f>F20/2*G20</f>
        <v>78.012479999999996</v>
      </c>
      <c r="J20" s="22"/>
      <c r="K20" s="8"/>
      <c r="L20" s="8"/>
      <c r="M20" s="8"/>
    </row>
    <row r="21" spans="1:13" ht="15.75" hidden="1" customHeight="1">
      <c r="A21" s="29">
        <v>5</v>
      </c>
      <c r="B21" s="71" t="s">
        <v>105</v>
      </c>
      <c r="C21" s="72" t="s">
        <v>99</v>
      </c>
      <c r="D21" s="71" t="s">
        <v>153</v>
      </c>
      <c r="E21" s="73">
        <v>9.08</v>
      </c>
      <c r="F21" s="74">
        <f>SUM(E21*2/100)</f>
        <v>0.18160000000000001</v>
      </c>
      <c r="G21" s="74">
        <v>283.44</v>
      </c>
      <c r="H21" s="78">
        <f>SUM(F21*G21/1000)</f>
        <v>5.1472704000000001E-2</v>
      </c>
      <c r="I21" s="13">
        <f>F21/2*G21</f>
        <v>25.736352</v>
      </c>
      <c r="J21" s="22"/>
      <c r="K21" s="8"/>
      <c r="L21" s="8"/>
      <c r="M21" s="8"/>
    </row>
    <row r="22" spans="1:13" ht="15.75" hidden="1" customHeight="1">
      <c r="A22" s="29">
        <v>7</v>
      </c>
      <c r="B22" s="71" t="s">
        <v>100</v>
      </c>
      <c r="C22" s="72" t="s">
        <v>54</v>
      </c>
      <c r="D22" s="71" t="s">
        <v>109</v>
      </c>
      <c r="E22" s="76">
        <v>30</v>
      </c>
      <c r="F22" s="74">
        <f>SUM(E22/100)</f>
        <v>0.3</v>
      </c>
      <c r="G22" s="74">
        <v>58.08</v>
      </c>
      <c r="H22" s="78">
        <f t="shared" si="0"/>
        <v>1.7423999999999999E-2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6</v>
      </c>
      <c r="B23" s="71" t="s">
        <v>101</v>
      </c>
      <c r="C23" s="72" t="s">
        <v>54</v>
      </c>
      <c r="D23" s="71" t="s">
        <v>109</v>
      </c>
      <c r="E23" s="73">
        <v>20</v>
      </c>
      <c r="F23" s="74">
        <f>SUM(E23/100)</f>
        <v>0.2</v>
      </c>
      <c r="G23" s="74">
        <v>511.12</v>
      </c>
      <c r="H23" s="78">
        <f t="shared" si="0"/>
        <v>0.10222400000000001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71" t="s">
        <v>102</v>
      </c>
      <c r="C24" s="72" t="s">
        <v>54</v>
      </c>
      <c r="D24" s="71" t="s">
        <v>109</v>
      </c>
      <c r="E24" s="73">
        <v>8.5</v>
      </c>
      <c r="F24" s="74">
        <f>SUM(E24/100)</f>
        <v>8.5000000000000006E-2</v>
      </c>
      <c r="G24" s="74">
        <v>683.05</v>
      </c>
      <c r="H24" s="78">
        <f t="shared" si="0"/>
        <v>5.805925E-2</v>
      </c>
      <c r="I24" s="13">
        <v>0</v>
      </c>
      <c r="J24" s="22"/>
      <c r="K24" s="8"/>
      <c r="L24" s="8"/>
      <c r="M24" s="8"/>
    </row>
    <row r="25" spans="1:13" ht="15.75" hidden="1" customHeight="1">
      <c r="A25" s="94">
        <v>7</v>
      </c>
      <c r="B25" s="83" t="s">
        <v>106</v>
      </c>
      <c r="C25" s="84" t="s">
        <v>54</v>
      </c>
      <c r="D25" s="83" t="s">
        <v>55</v>
      </c>
      <c r="E25" s="81">
        <v>20</v>
      </c>
      <c r="F25" s="85">
        <f>SUM(E25/100)</f>
        <v>0.2</v>
      </c>
      <c r="G25" s="85">
        <v>283.44</v>
      </c>
      <c r="H25" s="82">
        <f t="shared" si="0"/>
        <v>5.6688000000000002E-2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4</v>
      </c>
      <c r="B26" s="34" t="s">
        <v>66</v>
      </c>
      <c r="C26" s="44" t="s">
        <v>33</v>
      </c>
      <c r="D26" s="34" t="s">
        <v>154</v>
      </c>
      <c r="E26" s="118">
        <v>0.05</v>
      </c>
      <c r="F26" s="33">
        <f>SUM(E26*182)</f>
        <v>9.1</v>
      </c>
      <c r="G26" s="33">
        <v>264.85000000000002</v>
      </c>
      <c r="H26" s="119">
        <f t="shared" ref="H26:H27" si="1">SUM(F26*G26/1000)</f>
        <v>2.4101350000000004</v>
      </c>
      <c r="I26" s="13">
        <f>F26/12*G26</f>
        <v>200.84458333333333</v>
      </c>
      <c r="J26" s="23"/>
    </row>
    <row r="27" spans="1:13" ht="15.75" hidden="1" customHeight="1">
      <c r="A27" s="29">
        <v>5</v>
      </c>
      <c r="B27" s="120" t="s">
        <v>23</v>
      </c>
      <c r="C27" s="44" t="s">
        <v>24</v>
      </c>
      <c r="D27" s="34"/>
      <c r="E27" s="121">
        <v>3053.4</v>
      </c>
      <c r="F27" s="33">
        <f>SUM(E27*12)</f>
        <v>36640.800000000003</v>
      </c>
      <c r="G27" s="33">
        <v>4.09</v>
      </c>
      <c r="H27" s="119">
        <f t="shared" si="1"/>
        <v>149.860872</v>
      </c>
      <c r="I27" s="13">
        <f>F27/12*G27</f>
        <v>12488.405999999999</v>
      </c>
      <c r="J27" s="23"/>
    </row>
    <row r="28" spans="1:13" ht="15.75" customHeight="1">
      <c r="A28" s="178" t="s">
        <v>150</v>
      </c>
      <c r="B28" s="178"/>
      <c r="C28" s="178"/>
      <c r="D28" s="178"/>
      <c r="E28" s="178"/>
      <c r="F28" s="178"/>
      <c r="G28" s="178"/>
      <c r="H28" s="178"/>
      <c r="I28" s="178"/>
      <c r="J28" s="22"/>
      <c r="K28" s="8"/>
      <c r="L28" s="8"/>
      <c r="M28" s="8"/>
    </row>
    <row r="29" spans="1:13" ht="15.75" hidden="1" customHeight="1">
      <c r="A29" s="96"/>
      <c r="B29" s="104" t="s">
        <v>28</v>
      </c>
      <c r="C29" s="98"/>
      <c r="D29" s="97"/>
      <c r="E29" s="99"/>
      <c r="F29" s="100"/>
      <c r="G29" s="100"/>
      <c r="H29" s="105"/>
      <c r="I29" s="106"/>
      <c r="J29" s="22"/>
      <c r="K29" s="8"/>
      <c r="L29" s="8"/>
      <c r="M29" s="8"/>
    </row>
    <row r="30" spans="1:13" ht="15.75" hidden="1" customHeight="1">
      <c r="A30" s="29">
        <v>6</v>
      </c>
      <c r="B30" s="71" t="s">
        <v>110</v>
      </c>
      <c r="C30" s="72" t="s">
        <v>111</v>
      </c>
      <c r="D30" s="71" t="s">
        <v>127</v>
      </c>
      <c r="E30" s="74">
        <v>317.7</v>
      </c>
      <c r="F30" s="74">
        <f>SUM(E30*52/1000)</f>
        <v>16.520399999999999</v>
      </c>
      <c r="G30" s="74">
        <v>204.44</v>
      </c>
      <c r="H30" s="78">
        <f t="shared" ref="H30:H36" si="2">SUM(F30*G30/1000)</f>
        <v>3.3774305759999996</v>
      </c>
      <c r="I30" s="13">
        <f t="shared" ref="I30:I34" si="3">F30/6*G30</f>
        <v>562.90509599999996</v>
      </c>
      <c r="J30" s="22"/>
      <c r="K30" s="8"/>
      <c r="L30" s="8"/>
      <c r="M30" s="8"/>
    </row>
    <row r="31" spans="1:13" ht="31.5" hidden="1" customHeight="1">
      <c r="A31" s="29">
        <v>7</v>
      </c>
      <c r="B31" s="71" t="s">
        <v>137</v>
      </c>
      <c r="C31" s="72" t="s">
        <v>111</v>
      </c>
      <c r="D31" s="71" t="s">
        <v>128</v>
      </c>
      <c r="E31" s="74">
        <v>146.1</v>
      </c>
      <c r="F31" s="74">
        <f>SUM(E31*78/1000)</f>
        <v>11.395799999999999</v>
      </c>
      <c r="G31" s="74">
        <v>339.21</v>
      </c>
      <c r="H31" s="78">
        <f t="shared" si="2"/>
        <v>3.8655693179999995</v>
      </c>
      <c r="I31" s="13">
        <f t="shared" si="3"/>
        <v>644.26155299999994</v>
      </c>
      <c r="J31" s="22"/>
      <c r="K31" s="8"/>
      <c r="L31" s="8"/>
      <c r="M31" s="8"/>
    </row>
    <row r="32" spans="1:13" ht="15.75" hidden="1" customHeight="1">
      <c r="A32" s="29">
        <v>11</v>
      </c>
      <c r="B32" s="71" t="s">
        <v>27</v>
      </c>
      <c r="C32" s="72" t="s">
        <v>111</v>
      </c>
      <c r="D32" s="71" t="s">
        <v>55</v>
      </c>
      <c r="E32" s="74">
        <f>E30</f>
        <v>317.7</v>
      </c>
      <c r="F32" s="74">
        <f>SUM(E32/1000)</f>
        <v>0.31769999999999998</v>
      </c>
      <c r="G32" s="74">
        <v>3961.23</v>
      </c>
      <c r="H32" s="78">
        <f t="shared" si="2"/>
        <v>1.2584827709999999</v>
      </c>
      <c r="I32" s="13">
        <f>F32*G32</f>
        <v>1258.482771</v>
      </c>
      <c r="J32" s="22"/>
      <c r="K32" s="8"/>
      <c r="L32" s="8"/>
      <c r="M32" s="8"/>
    </row>
    <row r="33" spans="1:14" ht="15.75" hidden="1" customHeight="1">
      <c r="A33" s="29">
        <v>8</v>
      </c>
      <c r="B33" s="71" t="s">
        <v>155</v>
      </c>
      <c r="C33" s="72" t="s">
        <v>41</v>
      </c>
      <c r="D33" s="71" t="s">
        <v>65</v>
      </c>
      <c r="E33" s="74">
        <v>5</v>
      </c>
      <c r="F33" s="74">
        <f>E33*155/100</f>
        <v>7.75</v>
      </c>
      <c r="G33" s="74">
        <v>1707.63</v>
      </c>
      <c r="H33" s="78">
        <f t="shared" si="2"/>
        <v>13.234132500000001</v>
      </c>
      <c r="I33" s="13">
        <f t="shared" si="3"/>
        <v>2205.6887500000003</v>
      </c>
      <c r="J33" s="22"/>
      <c r="K33" s="8"/>
      <c r="L33" s="8"/>
      <c r="M33" s="8"/>
    </row>
    <row r="34" spans="1:14" ht="15.75" hidden="1" customHeight="1">
      <c r="A34" s="29">
        <v>9</v>
      </c>
      <c r="B34" s="71" t="s">
        <v>112</v>
      </c>
      <c r="C34" s="72" t="s">
        <v>31</v>
      </c>
      <c r="D34" s="71" t="s">
        <v>65</v>
      </c>
      <c r="E34" s="80">
        <f>1/6</f>
        <v>0.16666666666666666</v>
      </c>
      <c r="F34" s="74">
        <f>155/6</f>
        <v>25.833333333333332</v>
      </c>
      <c r="G34" s="74">
        <v>74.349999999999994</v>
      </c>
      <c r="H34" s="78">
        <f t="shared" si="2"/>
        <v>1.920708333333333</v>
      </c>
      <c r="I34" s="13">
        <f t="shared" si="3"/>
        <v>320.11805555555554</v>
      </c>
      <c r="J34" s="22"/>
      <c r="K34" s="8"/>
      <c r="L34" s="8"/>
      <c r="M34" s="8"/>
    </row>
    <row r="35" spans="1:14" ht="15.75" hidden="1" customHeight="1">
      <c r="A35" s="29"/>
      <c r="B35" s="34" t="s">
        <v>67</v>
      </c>
      <c r="C35" s="44" t="s">
        <v>33</v>
      </c>
      <c r="D35" s="34" t="s">
        <v>69</v>
      </c>
      <c r="E35" s="121"/>
      <c r="F35" s="33">
        <v>2</v>
      </c>
      <c r="G35" s="33">
        <v>250.92</v>
      </c>
      <c r="H35" s="119">
        <f t="shared" si="2"/>
        <v>0.50183999999999995</v>
      </c>
      <c r="I35" s="13">
        <v>0</v>
      </c>
      <c r="J35" s="22"/>
      <c r="K35" s="8"/>
    </row>
    <row r="36" spans="1:14" ht="15.75" hidden="1" customHeight="1">
      <c r="A36" s="29"/>
      <c r="B36" s="34" t="s">
        <v>68</v>
      </c>
      <c r="C36" s="44" t="s">
        <v>32</v>
      </c>
      <c r="D36" s="34" t="s">
        <v>69</v>
      </c>
      <c r="E36" s="121"/>
      <c r="F36" s="33">
        <v>1</v>
      </c>
      <c r="G36" s="33">
        <v>1490.31</v>
      </c>
      <c r="H36" s="119">
        <f t="shared" si="2"/>
        <v>1.49031</v>
      </c>
      <c r="I36" s="13"/>
      <c r="J36" s="22"/>
      <c r="K36" s="8"/>
    </row>
    <row r="37" spans="1:14" ht="15.75" customHeight="1">
      <c r="A37" s="29"/>
      <c r="B37" s="93" t="s">
        <v>5</v>
      </c>
      <c r="C37" s="72"/>
      <c r="D37" s="71"/>
      <c r="E37" s="73"/>
      <c r="F37" s="74"/>
      <c r="G37" s="74"/>
      <c r="H37" s="78" t="s">
        <v>132</v>
      </c>
      <c r="I37" s="79"/>
      <c r="J37" s="23"/>
    </row>
    <row r="38" spans="1:14" ht="15.75" customHeight="1">
      <c r="A38" s="29">
        <v>5</v>
      </c>
      <c r="B38" s="71" t="s">
        <v>26</v>
      </c>
      <c r="C38" s="72" t="s">
        <v>32</v>
      </c>
      <c r="D38" s="71"/>
      <c r="E38" s="73"/>
      <c r="F38" s="74">
        <v>3</v>
      </c>
      <c r="G38" s="74">
        <v>2003</v>
      </c>
      <c r="H38" s="78">
        <f t="shared" ref="H38:H44" si="4">SUM(F38*G38/1000)</f>
        <v>6.0090000000000003</v>
      </c>
      <c r="I38" s="13">
        <f t="shared" ref="I38:I44" si="5">F38/6*G38</f>
        <v>1001.5</v>
      </c>
      <c r="J38" s="23"/>
    </row>
    <row r="39" spans="1:14" ht="15.75" customHeight="1">
      <c r="A39" s="29">
        <v>6</v>
      </c>
      <c r="B39" s="71" t="s">
        <v>70</v>
      </c>
      <c r="C39" s="72" t="s">
        <v>29</v>
      </c>
      <c r="D39" s="71" t="s">
        <v>156</v>
      </c>
      <c r="E39" s="74">
        <v>160.6</v>
      </c>
      <c r="F39" s="74">
        <f>SUM(E39*18/1000)</f>
        <v>2.8907999999999996</v>
      </c>
      <c r="G39" s="74">
        <v>2757.78</v>
      </c>
      <c r="H39" s="78">
        <f t="shared" si="4"/>
        <v>7.972190423999999</v>
      </c>
      <c r="I39" s="13">
        <f t="shared" si="5"/>
        <v>1328.698404</v>
      </c>
      <c r="J39" s="23"/>
    </row>
    <row r="40" spans="1:14" ht="15.75" customHeight="1">
      <c r="A40" s="29">
        <v>7</v>
      </c>
      <c r="B40" s="71" t="s">
        <v>71</v>
      </c>
      <c r="C40" s="72" t="s">
        <v>29</v>
      </c>
      <c r="D40" s="71" t="s">
        <v>129</v>
      </c>
      <c r="E40" s="73">
        <v>89.1</v>
      </c>
      <c r="F40" s="74">
        <f>SUM(E40*155/1000)</f>
        <v>13.810499999999999</v>
      </c>
      <c r="G40" s="74">
        <v>460.02</v>
      </c>
      <c r="H40" s="78">
        <f t="shared" si="4"/>
        <v>6.3531062099999991</v>
      </c>
      <c r="I40" s="13">
        <f t="shared" si="5"/>
        <v>1058.8510349999999</v>
      </c>
      <c r="J40" s="23"/>
    </row>
    <row r="41" spans="1:14" ht="15.75" hidden="1" customHeight="1">
      <c r="A41" s="29">
        <v>12</v>
      </c>
      <c r="B41" s="71" t="s">
        <v>157</v>
      </c>
      <c r="C41" s="72" t="s">
        <v>158</v>
      </c>
      <c r="D41" s="71" t="s">
        <v>69</v>
      </c>
      <c r="E41" s="73"/>
      <c r="F41" s="74">
        <v>39</v>
      </c>
      <c r="G41" s="74">
        <v>301.70999999999998</v>
      </c>
      <c r="H41" s="78">
        <f t="shared" si="4"/>
        <v>11.766689999999999</v>
      </c>
      <c r="I41" s="13">
        <v>0</v>
      </c>
      <c r="J41" s="23"/>
    </row>
    <row r="42" spans="1:14" ht="47.25" customHeight="1">
      <c r="A42" s="29">
        <v>8</v>
      </c>
      <c r="B42" s="71" t="s">
        <v>88</v>
      </c>
      <c r="C42" s="72" t="s">
        <v>111</v>
      </c>
      <c r="D42" s="71" t="s">
        <v>159</v>
      </c>
      <c r="E42" s="74">
        <v>46.5</v>
      </c>
      <c r="F42" s="74">
        <f>SUM(E42*35/1000)</f>
        <v>1.6274999999999999</v>
      </c>
      <c r="G42" s="74">
        <v>7611.16</v>
      </c>
      <c r="H42" s="78">
        <f t="shared" si="4"/>
        <v>12.3871629</v>
      </c>
      <c r="I42" s="13">
        <f t="shared" si="5"/>
        <v>2064.5271499999999</v>
      </c>
      <c r="J42" s="23"/>
      <c r="L42" s="19"/>
      <c r="M42" s="20"/>
      <c r="N42" s="21"/>
    </row>
    <row r="43" spans="1:14" ht="15.75" customHeight="1">
      <c r="A43" s="94">
        <v>9</v>
      </c>
      <c r="B43" s="83" t="s">
        <v>113</v>
      </c>
      <c r="C43" s="84" t="s">
        <v>111</v>
      </c>
      <c r="D43" s="83" t="s">
        <v>72</v>
      </c>
      <c r="E43" s="85">
        <v>89.1</v>
      </c>
      <c r="F43" s="85">
        <f>SUM(E43*45/1000)</f>
        <v>4.0094999999999992</v>
      </c>
      <c r="G43" s="85">
        <v>562.25</v>
      </c>
      <c r="H43" s="82">
        <f t="shared" si="4"/>
        <v>2.2543413749999996</v>
      </c>
      <c r="I43" s="95">
        <f>F43/7.5*1.5*G43</f>
        <v>450.86827499999993</v>
      </c>
      <c r="J43" s="23"/>
      <c r="L43" s="19"/>
      <c r="M43" s="20"/>
      <c r="N43" s="21"/>
    </row>
    <row r="44" spans="1:14" ht="15.75" customHeight="1">
      <c r="A44" s="29">
        <v>10</v>
      </c>
      <c r="B44" s="14" t="s">
        <v>73</v>
      </c>
      <c r="C44" s="16" t="s">
        <v>33</v>
      </c>
      <c r="D44" s="14"/>
      <c r="E44" s="18"/>
      <c r="F44" s="13">
        <v>0.9</v>
      </c>
      <c r="G44" s="13">
        <v>974.83</v>
      </c>
      <c r="H44" s="13">
        <f t="shared" si="4"/>
        <v>0.8773470000000001</v>
      </c>
      <c r="I44" s="13">
        <f>F44/7.5*1.5*G44</f>
        <v>175.46940000000004</v>
      </c>
      <c r="J44" s="23"/>
      <c r="L44" s="19"/>
      <c r="M44" s="20"/>
      <c r="N44" s="21"/>
    </row>
    <row r="45" spans="1:14" ht="15.75" customHeight="1">
      <c r="A45" s="179" t="s">
        <v>138</v>
      </c>
      <c r="B45" s="180"/>
      <c r="C45" s="180"/>
      <c r="D45" s="180"/>
      <c r="E45" s="180"/>
      <c r="F45" s="180"/>
      <c r="G45" s="180"/>
      <c r="H45" s="180"/>
      <c r="I45" s="181"/>
      <c r="J45" s="23"/>
      <c r="L45" s="19"/>
      <c r="M45" s="20"/>
      <c r="N45" s="21"/>
    </row>
    <row r="46" spans="1:14" ht="15.75" hidden="1" customHeight="1">
      <c r="A46" s="29">
        <v>12</v>
      </c>
      <c r="B46" s="39" t="s">
        <v>114</v>
      </c>
      <c r="C46" s="40" t="s">
        <v>111</v>
      </c>
      <c r="D46" s="39" t="s">
        <v>43</v>
      </c>
      <c r="E46" s="17">
        <v>1632.75</v>
      </c>
      <c r="F46" s="36">
        <f>SUM(E46*2/1000)</f>
        <v>3.2654999999999998</v>
      </c>
      <c r="G46" s="36">
        <v>1062</v>
      </c>
      <c r="H46" s="36">
        <f t="shared" ref="H46:H55" si="6">SUM(F46*G46/1000)</f>
        <v>3.4679609999999998</v>
      </c>
      <c r="I46" s="13">
        <f>F46/2*G46</f>
        <v>1733.9804999999999</v>
      </c>
      <c r="J46" s="23"/>
      <c r="L46" s="19"/>
      <c r="M46" s="20"/>
      <c r="N46" s="21"/>
    </row>
    <row r="47" spans="1:14" ht="15.75" hidden="1" customHeight="1">
      <c r="A47" s="29">
        <v>13</v>
      </c>
      <c r="B47" s="39" t="s">
        <v>36</v>
      </c>
      <c r="C47" s="40" t="s">
        <v>111</v>
      </c>
      <c r="D47" s="39" t="s">
        <v>43</v>
      </c>
      <c r="E47" s="17">
        <v>53.75</v>
      </c>
      <c r="F47" s="36">
        <f>SUM(E47*2/1000)</f>
        <v>0.1075</v>
      </c>
      <c r="G47" s="36">
        <v>759.98</v>
      </c>
      <c r="H47" s="36">
        <f t="shared" si="6"/>
        <v>8.1697850000000002E-2</v>
      </c>
      <c r="I47" s="13">
        <f t="shared" ref="I47:I54" si="7">F47/2*G47</f>
        <v>40.848925000000001</v>
      </c>
      <c r="J47" s="23"/>
      <c r="L47" s="19"/>
      <c r="M47" s="20"/>
      <c r="N47" s="21"/>
    </row>
    <row r="48" spans="1:14" ht="15.75" hidden="1" customHeight="1">
      <c r="A48" s="29">
        <v>14</v>
      </c>
      <c r="B48" s="39" t="s">
        <v>37</v>
      </c>
      <c r="C48" s="40" t="s">
        <v>111</v>
      </c>
      <c r="D48" s="39" t="s">
        <v>43</v>
      </c>
      <c r="E48" s="17">
        <v>2285.6</v>
      </c>
      <c r="F48" s="36">
        <f>SUM(E48*2/1000)</f>
        <v>4.5712000000000002</v>
      </c>
      <c r="G48" s="36">
        <v>759.98</v>
      </c>
      <c r="H48" s="36">
        <f t="shared" si="6"/>
        <v>3.4740205760000005</v>
      </c>
      <c r="I48" s="13">
        <f t="shared" si="7"/>
        <v>1737.0102880000002</v>
      </c>
      <c r="J48" s="23"/>
      <c r="L48" s="19"/>
      <c r="M48" s="20"/>
      <c r="N48" s="21"/>
    </row>
    <row r="49" spans="1:14" ht="15.75" hidden="1" customHeight="1">
      <c r="A49" s="29">
        <v>15</v>
      </c>
      <c r="B49" s="39" t="s">
        <v>38</v>
      </c>
      <c r="C49" s="40" t="s">
        <v>111</v>
      </c>
      <c r="D49" s="39" t="s">
        <v>43</v>
      </c>
      <c r="E49" s="17">
        <v>1860</v>
      </c>
      <c r="F49" s="36">
        <f>SUM(E49*2/1000)</f>
        <v>3.72</v>
      </c>
      <c r="G49" s="36">
        <v>795.82</v>
      </c>
      <c r="H49" s="36">
        <f t="shared" si="6"/>
        <v>2.9604504</v>
      </c>
      <c r="I49" s="13">
        <f t="shared" si="7"/>
        <v>1480.2252000000001</v>
      </c>
      <c r="J49" s="23"/>
      <c r="L49" s="19"/>
      <c r="M49" s="20"/>
      <c r="N49" s="21"/>
    </row>
    <row r="50" spans="1:14" ht="15.75" hidden="1" customHeight="1">
      <c r="A50" s="29">
        <v>16</v>
      </c>
      <c r="B50" s="39" t="s">
        <v>34</v>
      </c>
      <c r="C50" s="40" t="s">
        <v>35</v>
      </c>
      <c r="D50" s="39" t="s">
        <v>43</v>
      </c>
      <c r="E50" s="17">
        <v>120.5</v>
      </c>
      <c r="F50" s="36">
        <f>SUM(E50*2/100)</f>
        <v>2.41</v>
      </c>
      <c r="G50" s="36">
        <v>95.49</v>
      </c>
      <c r="H50" s="36">
        <f t="shared" si="6"/>
        <v>0.2301309</v>
      </c>
      <c r="I50" s="13">
        <f t="shared" si="7"/>
        <v>115.06545</v>
      </c>
      <c r="J50" s="23"/>
      <c r="L50" s="19"/>
      <c r="M50" s="20"/>
      <c r="N50" s="21"/>
    </row>
    <row r="51" spans="1:14" ht="15.75" customHeight="1">
      <c r="A51" s="29">
        <v>11</v>
      </c>
      <c r="B51" s="39" t="s">
        <v>58</v>
      </c>
      <c r="C51" s="40" t="s">
        <v>111</v>
      </c>
      <c r="D51" s="39" t="s">
        <v>141</v>
      </c>
      <c r="E51" s="17">
        <v>3053.4</v>
      </c>
      <c r="F51" s="36">
        <f>SUM(E51*5/1000)</f>
        <v>15.266999999999999</v>
      </c>
      <c r="G51" s="36">
        <v>1591.6</v>
      </c>
      <c r="H51" s="36">
        <f t="shared" si="6"/>
        <v>24.298957199999997</v>
      </c>
      <c r="I51" s="13">
        <f>F51/5*G51</f>
        <v>4859.79144</v>
      </c>
      <c r="J51" s="23"/>
      <c r="L51" s="19"/>
      <c r="M51" s="20"/>
      <c r="N51" s="21"/>
    </row>
    <row r="52" spans="1:14" ht="31.5" hidden="1" customHeight="1">
      <c r="A52" s="29">
        <v>16</v>
      </c>
      <c r="B52" s="39" t="s">
        <v>115</v>
      </c>
      <c r="C52" s="40" t="s">
        <v>111</v>
      </c>
      <c r="D52" s="39" t="s">
        <v>43</v>
      </c>
      <c r="E52" s="17">
        <f>E51</f>
        <v>3053.4</v>
      </c>
      <c r="F52" s="36">
        <f>SUM(E52*2/1000)</f>
        <v>6.1067999999999998</v>
      </c>
      <c r="G52" s="36">
        <v>1591.6</v>
      </c>
      <c r="H52" s="36">
        <f t="shared" si="6"/>
        <v>9.7195828800000008</v>
      </c>
      <c r="I52" s="13">
        <f t="shared" si="7"/>
        <v>4859.79144</v>
      </c>
      <c r="J52" s="23"/>
      <c r="L52" s="19"/>
      <c r="M52" s="20"/>
      <c r="N52" s="21"/>
    </row>
    <row r="53" spans="1:14" ht="31.5" hidden="1" customHeight="1">
      <c r="A53" s="29">
        <v>17</v>
      </c>
      <c r="B53" s="39" t="s">
        <v>133</v>
      </c>
      <c r="C53" s="40" t="s">
        <v>39</v>
      </c>
      <c r="D53" s="39" t="s">
        <v>43</v>
      </c>
      <c r="E53" s="17">
        <v>20</v>
      </c>
      <c r="F53" s="36">
        <f>SUM(E53*2/100)</f>
        <v>0.4</v>
      </c>
      <c r="G53" s="36">
        <v>3581.13</v>
      </c>
      <c r="H53" s="36">
        <f t="shared" si="6"/>
        <v>1.4324520000000003</v>
      </c>
      <c r="I53" s="13">
        <f t="shared" si="7"/>
        <v>716.22600000000011</v>
      </c>
      <c r="J53" s="23"/>
      <c r="L53" s="19"/>
      <c r="M53" s="20"/>
      <c r="N53" s="21"/>
    </row>
    <row r="54" spans="1:14" ht="15.75" hidden="1" customHeight="1">
      <c r="A54" s="29">
        <v>18</v>
      </c>
      <c r="B54" s="39" t="s">
        <v>40</v>
      </c>
      <c r="C54" s="40" t="s">
        <v>41</v>
      </c>
      <c r="D54" s="39" t="s">
        <v>43</v>
      </c>
      <c r="E54" s="17">
        <v>1</v>
      </c>
      <c r="F54" s="36">
        <v>0.02</v>
      </c>
      <c r="G54" s="36">
        <v>7412.92</v>
      </c>
      <c r="H54" s="36">
        <f t="shared" si="6"/>
        <v>0.14825839999999998</v>
      </c>
      <c r="I54" s="13">
        <f t="shared" si="7"/>
        <v>74.129199999999997</v>
      </c>
      <c r="J54" s="23"/>
      <c r="L54" s="19"/>
      <c r="M54" s="20"/>
      <c r="N54" s="21"/>
    </row>
    <row r="55" spans="1:14" ht="15.75" hidden="1" customHeight="1">
      <c r="A55" s="29">
        <v>18</v>
      </c>
      <c r="B55" s="39" t="s">
        <v>42</v>
      </c>
      <c r="C55" s="40" t="s">
        <v>95</v>
      </c>
      <c r="D55" s="39" t="s">
        <v>74</v>
      </c>
      <c r="E55" s="17">
        <v>128</v>
      </c>
      <c r="F55" s="36">
        <f>SUM(E55)*3</f>
        <v>384</v>
      </c>
      <c r="G55" s="37">
        <v>86.15</v>
      </c>
      <c r="H55" s="36">
        <f t="shared" si="6"/>
        <v>33.081600000000009</v>
      </c>
      <c r="I55" s="13">
        <f>E55*G55</f>
        <v>11027.2</v>
      </c>
      <c r="J55" s="23"/>
      <c r="L55" s="19"/>
      <c r="M55" s="20"/>
      <c r="N55" s="21"/>
    </row>
    <row r="56" spans="1:14" ht="15.75" customHeight="1">
      <c r="A56" s="179" t="s">
        <v>139</v>
      </c>
      <c r="B56" s="180"/>
      <c r="C56" s="180"/>
      <c r="D56" s="180"/>
      <c r="E56" s="180"/>
      <c r="F56" s="180"/>
      <c r="G56" s="180"/>
      <c r="H56" s="180"/>
      <c r="I56" s="181"/>
      <c r="J56" s="23"/>
      <c r="L56" s="19"/>
      <c r="M56" s="20"/>
      <c r="N56" s="21"/>
    </row>
    <row r="57" spans="1:14" ht="15.75" hidden="1" customHeight="1">
      <c r="A57" s="96"/>
      <c r="B57" s="104" t="s">
        <v>44</v>
      </c>
      <c r="C57" s="98"/>
      <c r="D57" s="97"/>
      <c r="E57" s="99"/>
      <c r="F57" s="100"/>
      <c r="G57" s="100"/>
      <c r="H57" s="105"/>
      <c r="I57" s="106"/>
      <c r="J57" s="23"/>
      <c r="L57" s="19"/>
      <c r="M57" s="20"/>
      <c r="N57" s="21"/>
    </row>
    <row r="58" spans="1:14" ht="31.5" hidden="1" customHeight="1">
      <c r="A58" s="29">
        <v>19</v>
      </c>
      <c r="B58" s="71" t="s">
        <v>116</v>
      </c>
      <c r="C58" s="72" t="s">
        <v>99</v>
      </c>
      <c r="D58" s="71" t="s">
        <v>117</v>
      </c>
      <c r="E58" s="73">
        <v>92.7</v>
      </c>
      <c r="F58" s="74">
        <f>SUM(E58*6/100)</f>
        <v>5.5620000000000003</v>
      </c>
      <c r="G58" s="13">
        <v>2431.1799999999998</v>
      </c>
      <c r="H58" s="78">
        <f>SUM(F58*G58/1000)</f>
        <v>13.522223159999999</v>
      </c>
      <c r="I58" s="13">
        <f>F58/6*G58</f>
        <v>2253.7038600000001</v>
      </c>
      <c r="J58" s="23"/>
      <c r="L58" s="19"/>
      <c r="M58" s="20"/>
      <c r="N58" s="21"/>
    </row>
    <row r="59" spans="1:14" ht="15.75" hidden="1" customHeight="1">
      <c r="A59" s="29"/>
      <c r="B59" s="71" t="s">
        <v>134</v>
      </c>
      <c r="C59" s="72" t="s">
        <v>135</v>
      </c>
      <c r="D59" s="14" t="s">
        <v>69</v>
      </c>
      <c r="E59" s="73"/>
      <c r="F59" s="74">
        <v>2</v>
      </c>
      <c r="G59" s="67">
        <v>1582.05</v>
      </c>
      <c r="H59" s="78">
        <f>SUM(F59*G59/1000)</f>
        <v>3.1640999999999999</v>
      </c>
      <c r="I59" s="13">
        <f>G59*2</f>
        <v>3164.1</v>
      </c>
      <c r="J59" s="23"/>
      <c r="L59" s="19"/>
      <c r="M59" s="20"/>
      <c r="N59" s="21"/>
    </row>
    <row r="60" spans="1:14" ht="15.75" customHeight="1">
      <c r="A60" s="29"/>
      <c r="B60" s="93" t="s">
        <v>45</v>
      </c>
      <c r="C60" s="72"/>
      <c r="D60" s="71"/>
      <c r="E60" s="73"/>
      <c r="F60" s="74"/>
      <c r="G60" s="74"/>
      <c r="H60" s="75" t="s">
        <v>132</v>
      </c>
      <c r="I60" s="79"/>
      <c r="J60" s="23"/>
      <c r="L60" s="19"/>
      <c r="M60" s="20"/>
      <c r="N60" s="21"/>
    </row>
    <row r="61" spans="1:14" ht="15.75" hidden="1" customHeight="1">
      <c r="A61" s="29"/>
      <c r="B61" s="34" t="s">
        <v>46</v>
      </c>
      <c r="C61" s="44" t="s">
        <v>99</v>
      </c>
      <c r="D61" s="34" t="s">
        <v>55</v>
      </c>
      <c r="E61" s="123">
        <v>145</v>
      </c>
      <c r="F61" s="33">
        <f>SUM(E61/100)</f>
        <v>1.45</v>
      </c>
      <c r="G61" s="36">
        <v>1040.8399999999999</v>
      </c>
      <c r="H61" s="124">
        <v>9.1679999999999993</v>
      </c>
      <c r="I61" s="13">
        <v>0</v>
      </c>
      <c r="J61" s="23"/>
      <c r="L61" s="19"/>
      <c r="M61" s="20"/>
      <c r="N61" s="21"/>
    </row>
    <row r="62" spans="1:14" ht="15.75" customHeight="1">
      <c r="A62" s="29">
        <v>12</v>
      </c>
      <c r="B62" s="125" t="s">
        <v>96</v>
      </c>
      <c r="C62" s="126" t="s">
        <v>25</v>
      </c>
      <c r="D62" s="125" t="s">
        <v>30</v>
      </c>
      <c r="E62" s="123">
        <v>255.2</v>
      </c>
      <c r="F62" s="33">
        <v>2400</v>
      </c>
      <c r="G62" s="127">
        <v>1.2</v>
      </c>
      <c r="H62" s="128">
        <f>G62*F62/1000</f>
        <v>2.88</v>
      </c>
      <c r="I62" s="13">
        <f>F62/12*G62</f>
        <v>240</v>
      </c>
      <c r="J62" s="23"/>
      <c r="L62" s="19"/>
      <c r="M62" s="20"/>
      <c r="N62" s="21"/>
    </row>
    <row r="63" spans="1:14" ht="15.75" customHeight="1">
      <c r="A63" s="29"/>
      <c r="B63" s="102" t="s">
        <v>47</v>
      </c>
      <c r="C63" s="84"/>
      <c r="D63" s="83"/>
      <c r="E63" s="81"/>
      <c r="F63" s="85"/>
      <c r="G63" s="85"/>
      <c r="H63" s="86" t="s">
        <v>132</v>
      </c>
      <c r="I63" s="79"/>
      <c r="J63" s="23"/>
      <c r="L63" s="19"/>
      <c r="M63" s="20"/>
      <c r="N63" s="21"/>
    </row>
    <row r="64" spans="1:14" ht="15.75" customHeight="1">
      <c r="A64" s="29">
        <v>13</v>
      </c>
      <c r="B64" s="56" t="s">
        <v>48</v>
      </c>
      <c r="C64" s="40" t="s">
        <v>95</v>
      </c>
      <c r="D64" s="39" t="s">
        <v>69</v>
      </c>
      <c r="E64" s="17">
        <v>6</v>
      </c>
      <c r="F64" s="33">
        <f>SUM(E64)</f>
        <v>6</v>
      </c>
      <c r="G64" s="36">
        <v>291.68</v>
      </c>
      <c r="H64" s="114">
        <f t="shared" ref="H64:H72" si="8">SUM(F64*G64/1000)</f>
        <v>1.7500799999999999</v>
      </c>
      <c r="I64" s="13">
        <f>G64*2</f>
        <v>583.36</v>
      </c>
      <c r="J64" s="23"/>
      <c r="L64" s="19"/>
    </row>
    <row r="65" spans="1:22" ht="15.75" hidden="1" customHeight="1">
      <c r="A65" s="29"/>
      <c r="B65" s="56" t="s">
        <v>49</v>
      </c>
      <c r="C65" s="40" t="s">
        <v>95</v>
      </c>
      <c r="D65" s="39" t="s">
        <v>69</v>
      </c>
      <c r="E65" s="17">
        <v>4</v>
      </c>
      <c r="F65" s="33">
        <f>SUM(E65)</f>
        <v>4</v>
      </c>
      <c r="G65" s="36">
        <v>100.01</v>
      </c>
      <c r="H65" s="114">
        <f t="shared" si="8"/>
        <v>0.40004000000000001</v>
      </c>
      <c r="I65" s="13">
        <v>0</v>
      </c>
      <c r="J65" s="23"/>
      <c r="L65" s="19"/>
    </row>
    <row r="66" spans="1:22" ht="15.75" hidden="1" customHeight="1">
      <c r="A66" s="29"/>
      <c r="B66" s="56" t="s">
        <v>50</v>
      </c>
      <c r="C66" s="42" t="s">
        <v>118</v>
      </c>
      <c r="D66" s="39" t="s">
        <v>55</v>
      </c>
      <c r="E66" s="121">
        <v>15552</v>
      </c>
      <c r="F66" s="37">
        <f>SUM(E66/100)</f>
        <v>155.52000000000001</v>
      </c>
      <c r="G66" s="36">
        <v>278.24</v>
      </c>
      <c r="H66" s="114">
        <f t="shared" si="8"/>
        <v>43.271884800000009</v>
      </c>
      <c r="I66" s="13">
        <v>0</v>
      </c>
    </row>
    <row r="67" spans="1:22" ht="15.75" hidden="1" customHeight="1">
      <c r="A67" s="29"/>
      <c r="B67" s="56" t="s">
        <v>51</v>
      </c>
      <c r="C67" s="40" t="s">
        <v>119</v>
      </c>
      <c r="D67" s="39"/>
      <c r="E67" s="121">
        <v>15552</v>
      </c>
      <c r="F67" s="36">
        <f>SUM(E67/1000)</f>
        <v>15.552</v>
      </c>
      <c r="G67" s="36">
        <v>216.68</v>
      </c>
      <c r="H67" s="114">
        <f t="shared" si="8"/>
        <v>3.3698073600000003</v>
      </c>
      <c r="I67" s="13">
        <v>0</v>
      </c>
    </row>
    <row r="68" spans="1:22" ht="15.75" hidden="1" customHeight="1">
      <c r="A68" s="29"/>
      <c r="B68" s="56" t="s">
        <v>52</v>
      </c>
      <c r="C68" s="40" t="s">
        <v>81</v>
      </c>
      <c r="D68" s="39" t="s">
        <v>55</v>
      </c>
      <c r="E68" s="121">
        <v>2432</v>
      </c>
      <c r="F68" s="36">
        <f>SUM(E68/100)</f>
        <v>24.32</v>
      </c>
      <c r="G68" s="36">
        <v>2720.94</v>
      </c>
      <c r="H68" s="114">
        <f t="shared" si="8"/>
        <v>66.173260800000008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29"/>
      <c r="B69" s="53" t="s">
        <v>75</v>
      </c>
      <c r="C69" s="40" t="s">
        <v>33</v>
      </c>
      <c r="D69" s="39"/>
      <c r="E69" s="121">
        <v>14.8</v>
      </c>
      <c r="F69" s="36">
        <f>SUM(E69)</f>
        <v>14.8</v>
      </c>
      <c r="G69" s="36">
        <v>42.61</v>
      </c>
      <c r="H69" s="114">
        <f t="shared" si="8"/>
        <v>0.63062800000000008</v>
      </c>
      <c r="I69" s="13">
        <v>0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31.5" hidden="1" customHeight="1">
      <c r="A70" s="29"/>
      <c r="B70" s="53" t="s">
        <v>76</v>
      </c>
      <c r="C70" s="40" t="s">
        <v>33</v>
      </c>
      <c r="D70" s="39"/>
      <c r="E70" s="121">
        <f>E69</f>
        <v>14.8</v>
      </c>
      <c r="F70" s="36">
        <f>SUM(E70)</f>
        <v>14.8</v>
      </c>
      <c r="G70" s="36">
        <v>46.04</v>
      </c>
      <c r="H70" s="114">
        <f t="shared" si="8"/>
        <v>0.681392</v>
      </c>
      <c r="I70" s="13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hidden="1" customHeight="1">
      <c r="A71" s="29">
        <v>22</v>
      </c>
      <c r="B71" s="39" t="s">
        <v>59</v>
      </c>
      <c r="C71" s="40" t="s">
        <v>60</v>
      </c>
      <c r="D71" s="39" t="s">
        <v>55</v>
      </c>
      <c r="E71" s="17">
        <v>5</v>
      </c>
      <c r="F71" s="33">
        <f>SUM(E71)</f>
        <v>5</v>
      </c>
      <c r="G71" s="36">
        <v>65.42</v>
      </c>
      <c r="H71" s="114">
        <f t="shared" si="8"/>
        <v>0.3271</v>
      </c>
      <c r="I71" s="13">
        <f>G71*4</f>
        <v>261.68</v>
      </c>
      <c r="J71" s="5"/>
      <c r="K71" s="5"/>
      <c r="L71" s="5"/>
      <c r="M71" s="5"/>
      <c r="N71" s="5"/>
      <c r="O71" s="5"/>
      <c r="P71" s="5"/>
      <c r="Q71" s="5"/>
      <c r="R71" s="187"/>
      <c r="S71" s="187"/>
      <c r="T71" s="187"/>
      <c r="U71" s="187"/>
    </row>
    <row r="72" spans="1:22" ht="15.75" customHeight="1">
      <c r="A72" s="29">
        <v>14</v>
      </c>
      <c r="B72" s="39" t="s">
        <v>160</v>
      </c>
      <c r="C72" s="45" t="s">
        <v>161</v>
      </c>
      <c r="D72" s="39" t="s">
        <v>69</v>
      </c>
      <c r="E72" s="17">
        <f>E51</f>
        <v>3053.4</v>
      </c>
      <c r="F72" s="33">
        <f>SUM(E72*12)</f>
        <v>36640.800000000003</v>
      </c>
      <c r="G72" s="36">
        <v>2.2799999999999998</v>
      </c>
      <c r="H72" s="114">
        <f t="shared" si="8"/>
        <v>83.541024000000007</v>
      </c>
      <c r="I72" s="13">
        <f>F72/12*G72</f>
        <v>6961.7519999999995</v>
      </c>
      <c r="J72" s="5"/>
      <c r="K72" s="5"/>
      <c r="L72" s="5"/>
      <c r="M72" s="5"/>
      <c r="N72" s="5"/>
      <c r="O72" s="5"/>
      <c r="P72" s="5"/>
      <c r="Q72" s="5"/>
      <c r="R72" s="109"/>
      <c r="S72" s="109"/>
      <c r="T72" s="109"/>
      <c r="U72" s="109"/>
    </row>
    <row r="73" spans="1:22" ht="15.75" customHeight="1">
      <c r="A73" s="29"/>
      <c r="B73" s="112" t="s">
        <v>77</v>
      </c>
      <c r="C73" s="16"/>
      <c r="D73" s="14"/>
      <c r="E73" s="18"/>
      <c r="F73" s="13"/>
      <c r="G73" s="13"/>
      <c r="H73" s="87" t="s">
        <v>132</v>
      </c>
      <c r="I73" s="79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2" ht="15.75" hidden="1" customHeight="1">
      <c r="A74" s="29">
        <v>19</v>
      </c>
      <c r="B74" s="39" t="s">
        <v>162</v>
      </c>
      <c r="C74" s="40" t="s">
        <v>163</v>
      </c>
      <c r="D74" s="39" t="s">
        <v>69</v>
      </c>
      <c r="E74" s="17">
        <v>1</v>
      </c>
      <c r="F74" s="36">
        <f>E74</f>
        <v>1</v>
      </c>
      <c r="G74" s="36">
        <v>1029.1199999999999</v>
      </c>
      <c r="H74" s="113">
        <f t="shared" ref="H74:H75" si="9">SUM(F74*G74/1000)</f>
        <v>1.0291199999999998</v>
      </c>
      <c r="I74" s="13">
        <v>0</v>
      </c>
    </row>
    <row r="75" spans="1:22" ht="15.75" hidden="1" customHeight="1">
      <c r="A75" s="29"/>
      <c r="B75" s="39" t="s">
        <v>164</v>
      </c>
      <c r="C75" s="40" t="s">
        <v>165</v>
      </c>
      <c r="D75" s="129"/>
      <c r="E75" s="17">
        <v>1</v>
      </c>
      <c r="F75" s="36">
        <v>1</v>
      </c>
      <c r="G75" s="36">
        <v>735</v>
      </c>
      <c r="H75" s="113">
        <f t="shared" si="9"/>
        <v>0.73499999999999999</v>
      </c>
      <c r="I75" s="13">
        <v>0</v>
      </c>
    </row>
    <row r="76" spans="1:22" ht="15.75" hidden="1" customHeight="1">
      <c r="A76" s="29">
        <v>23</v>
      </c>
      <c r="B76" s="39" t="s">
        <v>78</v>
      </c>
      <c r="C76" s="40" t="s">
        <v>79</v>
      </c>
      <c r="D76" s="39" t="s">
        <v>69</v>
      </c>
      <c r="E76" s="17">
        <v>5</v>
      </c>
      <c r="F76" s="33">
        <f>SUM(E76/10)</f>
        <v>0.5</v>
      </c>
      <c r="G76" s="36">
        <v>657.87</v>
      </c>
      <c r="H76" s="113">
        <f>SUM(F76*G76/1000)</f>
        <v>0.32893499999999998</v>
      </c>
      <c r="I76" s="13">
        <f>G76*0.8</f>
        <v>526.29600000000005</v>
      </c>
    </row>
    <row r="77" spans="1:22" ht="15.75" customHeight="1">
      <c r="A77" s="29">
        <v>15</v>
      </c>
      <c r="B77" s="39" t="s">
        <v>130</v>
      </c>
      <c r="C77" s="40" t="s">
        <v>95</v>
      </c>
      <c r="D77" s="39" t="s">
        <v>69</v>
      </c>
      <c r="E77" s="17">
        <v>1</v>
      </c>
      <c r="F77" s="36">
        <f>E77</f>
        <v>1</v>
      </c>
      <c r="G77" s="36">
        <v>1118.72</v>
      </c>
      <c r="H77" s="113">
        <f>SUM(F77*G77/1000)</f>
        <v>1.1187199999999999</v>
      </c>
      <c r="I77" s="13">
        <f>G77*1</f>
        <v>1118.72</v>
      </c>
    </row>
    <row r="78" spans="1:22" ht="15.75" customHeight="1">
      <c r="A78" s="29">
        <v>16</v>
      </c>
      <c r="B78" s="115" t="s">
        <v>166</v>
      </c>
      <c r="C78" s="116" t="s">
        <v>95</v>
      </c>
      <c r="D78" s="39" t="s">
        <v>69</v>
      </c>
      <c r="E78" s="17">
        <v>2</v>
      </c>
      <c r="F78" s="33">
        <f>E78*12</f>
        <v>24</v>
      </c>
      <c r="G78" s="36">
        <v>53.42</v>
      </c>
      <c r="H78" s="113">
        <f t="shared" ref="H78:H79" si="10">SUM(F78*G78/1000)</f>
        <v>1.2820799999999999</v>
      </c>
      <c r="I78" s="13">
        <f>G78*2</f>
        <v>106.84</v>
      </c>
    </row>
    <row r="79" spans="1:22" ht="31.5" customHeight="1">
      <c r="A79" s="29">
        <v>17</v>
      </c>
      <c r="B79" s="115" t="s">
        <v>167</v>
      </c>
      <c r="C79" s="116" t="s">
        <v>95</v>
      </c>
      <c r="D79" s="39" t="s">
        <v>30</v>
      </c>
      <c r="E79" s="17">
        <v>1</v>
      </c>
      <c r="F79" s="33">
        <f>E79*12</f>
        <v>12</v>
      </c>
      <c r="G79" s="36">
        <v>1194</v>
      </c>
      <c r="H79" s="113">
        <f t="shared" si="10"/>
        <v>14.327999999999999</v>
      </c>
      <c r="I79" s="13">
        <f>G79</f>
        <v>1194</v>
      </c>
    </row>
    <row r="80" spans="1:22" ht="15.75" hidden="1" customHeight="1">
      <c r="A80" s="29"/>
      <c r="B80" s="90" t="s">
        <v>80</v>
      </c>
      <c r="C80" s="16"/>
      <c r="D80" s="14"/>
      <c r="E80" s="18"/>
      <c r="F80" s="18"/>
      <c r="G80" s="18"/>
      <c r="H80" s="18"/>
      <c r="I80" s="79"/>
    </row>
    <row r="81" spans="1:9" ht="15.75" hidden="1" customHeight="1">
      <c r="A81" s="29"/>
      <c r="B81" s="41" t="s">
        <v>122</v>
      </c>
      <c r="C81" s="42" t="s">
        <v>81</v>
      </c>
      <c r="D81" s="56"/>
      <c r="E81" s="59"/>
      <c r="F81" s="37">
        <v>0.3</v>
      </c>
      <c r="G81" s="37">
        <v>3619.09</v>
      </c>
      <c r="H81" s="114">
        <f t="shared" ref="H81" si="11">SUM(F81*G81/1000)</f>
        <v>1.0857270000000001</v>
      </c>
      <c r="I81" s="13">
        <v>0</v>
      </c>
    </row>
    <row r="82" spans="1:9" ht="21" customHeight="1">
      <c r="A82" s="29"/>
      <c r="B82" s="112" t="s">
        <v>120</v>
      </c>
      <c r="C82" s="90"/>
      <c r="D82" s="31"/>
      <c r="E82" s="32"/>
      <c r="F82" s="91"/>
      <c r="G82" s="91"/>
      <c r="H82" s="92">
        <f>SUM(H58:H81)</f>
        <v>248.78712212000002</v>
      </c>
      <c r="I82" s="77"/>
    </row>
    <row r="83" spans="1:9" ht="15" customHeight="1">
      <c r="A83" s="94">
        <v>18</v>
      </c>
      <c r="B83" s="34" t="s">
        <v>121</v>
      </c>
      <c r="C83" s="130"/>
      <c r="D83" s="131"/>
      <c r="E83" s="132"/>
      <c r="F83" s="38">
        <f>232/10</f>
        <v>23.2</v>
      </c>
      <c r="G83" s="38">
        <v>12361.2</v>
      </c>
      <c r="H83" s="114">
        <f>G83*F83/1000</f>
        <v>286.77984000000004</v>
      </c>
      <c r="I83" s="95">
        <v>3244.4</v>
      </c>
    </row>
    <row r="84" spans="1:9" ht="15.75" customHeight="1">
      <c r="A84" s="179" t="s">
        <v>140</v>
      </c>
      <c r="B84" s="180"/>
      <c r="C84" s="180"/>
      <c r="D84" s="180"/>
      <c r="E84" s="180"/>
      <c r="F84" s="180"/>
      <c r="G84" s="180"/>
      <c r="H84" s="180"/>
      <c r="I84" s="181"/>
    </row>
    <row r="85" spans="1:9" ht="15.75" customHeight="1">
      <c r="A85" s="96">
        <v>19</v>
      </c>
      <c r="B85" s="34" t="s">
        <v>123</v>
      </c>
      <c r="C85" s="40" t="s">
        <v>56</v>
      </c>
      <c r="D85" s="103" t="s">
        <v>57</v>
      </c>
      <c r="E85" s="36">
        <v>3053.4</v>
      </c>
      <c r="F85" s="36">
        <f>SUM(E85*12)</f>
        <v>36640.800000000003</v>
      </c>
      <c r="G85" s="36">
        <v>3.1</v>
      </c>
      <c r="H85" s="114">
        <f>SUM(F85*G85/1000)</f>
        <v>113.58648000000001</v>
      </c>
      <c r="I85" s="101">
        <f>F85/12*G85</f>
        <v>9465.5400000000009</v>
      </c>
    </row>
    <row r="86" spans="1:9" ht="31.5" customHeight="1">
      <c r="A86" s="29">
        <v>20</v>
      </c>
      <c r="B86" s="39" t="s">
        <v>82</v>
      </c>
      <c r="C86" s="40"/>
      <c r="D86" s="103" t="s">
        <v>57</v>
      </c>
      <c r="E86" s="121">
        <v>3053.4</v>
      </c>
      <c r="F86" s="36">
        <f>E86*12</f>
        <v>36640.800000000003</v>
      </c>
      <c r="G86" s="36">
        <v>3.5</v>
      </c>
      <c r="H86" s="114">
        <f>F86*G86/1000</f>
        <v>128.24280000000002</v>
      </c>
      <c r="I86" s="13">
        <f>F86/12*G86</f>
        <v>10686.9</v>
      </c>
    </row>
    <row r="87" spans="1:9" ht="15.75" customHeight="1">
      <c r="A87" s="29"/>
      <c r="B87" s="43" t="s">
        <v>85</v>
      </c>
      <c r="C87" s="90"/>
      <c r="D87" s="88"/>
      <c r="E87" s="91"/>
      <c r="F87" s="91"/>
      <c r="G87" s="91"/>
      <c r="H87" s="92">
        <f>SUM(H86)</f>
        <v>128.24280000000002</v>
      </c>
      <c r="I87" s="91">
        <f>I86+I85+I83+I79+I78+I77+I72+I64+I62+I51+I44+I43+I42+I40+I39+I38+I26+I18+I17+I16</f>
        <v>55787.506664000008</v>
      </c>
    </row>
    <row r="88" spans="1:9" ht="15.75" customHeight="1">
      <c r="A88" s="188" t="s">
        <v>62</v>
      </c>
      <c r="B88" s="189"/>
      <c r="C88" s="189"/>
      <c r="D88" s="189"/>
      <c r="E88" s="189"/>
      <c r="F88" s="189"/>
      <c r="G88" s="189"/>
      <c r="H88" s="189"/>
      <c r="I88" s="190"/>
    </row>
    <row r="89" spans="1:9" ht="17.25" customHeight="1">
      <c r="A89" s="29">
        <v>21</v>
      </c>
      <c r="B89" s="115" t="s">
        <v>174</v>
      </c>
      <c r="C89" s="116" t="s">
        <v>168</v>
      </c>
      <c r="D89" s="117"/>
      <c r="E89" s="36"/>
      <c r="F89" s="36">
        <v>7</v>
      </c>
      <c r="G89" s="36">
        <v>134.12</v>
      </c>
      <c r="H89" s="114">
        <f>F89*G89/1000</f>
        <v>0.93884000000000001</v>
      </c>
      <c r="I89" s="18">
        <f>G89*7</f>
        <v>938.84</v>
      </c>
    </row>
    <row r="90" spans="1:9" ht="15.75" customHeight="1">
      <c r="A90" s="29">
        <v>22</v>
      </c>
      <c r="B90" s="57" t="s">
        <v>86</v>
      </c>
      <c r="C90" s="58" t="s">
        <v>95</v>
      </c>
      <c r="D90" s="52"/>
      <c r="E90" s="36"/>
      <c r="F90" s="36">
        <v>128</v>
      </c>
      <c r="G90" s="36">
        <v>197.48</v>
      </c>
      <c r="H90" s="36">
        <f t="shared" ref="H90:H91" si="12">F90*G90/1000</f>
        <v>25.277439999999999</v>
      </c>
      <c r="I90" s="13">
        <f>G90*1</f>
        <v>197.48</v>
      </c>
    </row>
    <row r="91" spans="1:9" ht="18" customHeight="1">
      <c r="A91" s="29">
        <v>23</v>
      </c>
      <c r="B91" s="115" t="s">
        <v>40</v>
      </c>
      <c r="C91" s="116" t="s">
        <v>262</v>
      </c>
      <c r="D91" s="117"/>
      <c r="E91" s="36"/>
      <c r="F91" s="36">
        <v>0.03</v>
      </c>
      <c r="G91" s="36">
        <v>7709.44</v>
      </c>
      <c r="H91" s="114">
        <f t="shared" si="12"/>
        <v>0.23128319999999997</v>
      </c>
      <c r="I91" s="13">
        <f>G91*0.01</f>
        <v>77.094399999999993</v>
      </c>
    </row>
    <row r="92" spans="1:9" ht="18.75" customHeight="1">
      <c r="A92" s="29">
        <v>24</v>
      </c>
      <c r="B92" s="115" t="s">
        <v>263</v>
      </c>
      <c r="C92" s="116" t="s">
        <v>95</v>
      </c>
      <c r="D92" s="52"/>
      <c r="E92" s="13"/>
      <c r="F92" s="13">
        <v>2</v>
      </c>
      <c r="G92" s="166">
        <v>198.49</v>
      </c>
      <c r="H92" s="89">
        <f>F92*G92/1000</f>
        <v>0.39698</v>
      </c>
      <c r="I92" s="13">
        <f>G92*2</f>
        <v>396.98</v>
      </c>
    </row>
    <row r="93" spans="1:9" ht="15.75" customHeight="1">
      <c r="A93" s="29">
        <v>25</v>
      </c>
      <c r="B93" s="115" t="s">
        <v>264</v>
      </c>
      <c r="C93" s="116" t="s">
        <v>95</v>
      </c>
      <c r="D93" s="117"/>
      <c r="E93" s="36"/>
      <c r="F93" s="36">
        <v>2</v>
      </c>
      <c r="G93" s="166">
        <v>637.88</v>
      </c>
      <c r="H93" s="114">
        <f t="shared" ref="H93:H96" si="13">F93*G93/1000</f>
        <v>1.27576</v>
      </c>
      <c r="I93" s="13">
        <f>G93*1</f>
        <v>637.88</v>
      </c>
    </row>
    <row r="94" spans="1:9" ht="15.75" hidden="1" customHeight="1">
      <c r="A94" s="29">
        <v>33</v>
      </c>
      <c r="B94" s="57"/>
      <c r="C94" s="58"/>
      <c r="D94" s="117"/>
      <c r="E94" s="36"/>
      <c r="F94" s="36">
        <v>1</v>
      </c>
      <c r="G94" s="36"/>
      <c r="H94" s="114">
        <f t="shared" si="13"/>
        <v>0</v>
      </c>
      <c r="I94" s="13"/>
    </row>
    <row r="95" spans="1:9" ht="15.75" hidden="1" customHeight="1">
      <c r="A95" s="29">
        <v>34</v>
      </c>
      <c r="B95" s="57"/>
      <c r="C95" s="140"/>
      <c r="D95" s="117"/>
      <c r="E95" s="36"/>
      <c r="F95" s="36">
        <v>1</v>
      </c>
      <c r="G95" s="36"/>
      <c r="H95" s="114">
        <f t="shared" si="13"/>
        <v>0</v>
      </c>
      <c r="I95" s="13"/>
    </row>
    <row r="96" spans="1:9" ht="31.5" hidden="1" customHeight="1">
      <c r="A96" s="29">
        <v>35</v>
      </c>
      <c r="B96" s="115"/>
      <c r="C96" s="141"/>
      <c r="D96" s="117"/>
      <c r="E96" s="36"/>
      <c r="F96" s="36">
        <f>0.4/10</f>
        <v>0.04</v>
      </c>
      <c r="G96" s="36"/>
      <c r="H96" s="114">
        <f t="shared" si="13"/>
        <v>0</v>
      </c>
      <c r="I96" s="13"/>
    </row>
    <row r="97" spans="1:9" ht="15.75" customHeight="1">
      <c r="A97" s="29"/>
      <c r="B97" s="50" t="s">
        <v>53</v>
      </c>
      <c r="C97" s="46"/>
      <c r="D97" s="54"/>
      <c r="E97" s="46">
        <v>1</v>
      </c>
      <c r="F97" s="46"/>
      <c r="G97" s="46"/>
      <c r="H97" s="46"/>
      <c r="I97" s="32">
        <f>SUM(I89:I96)</f>
        <v>2248.2743999999998</v>
      </c>
    </row>
    <row r="98" spans="1:9" ht="15.75" customHeight="1">
      <c r="A98" s="29"/>
      <c r="B98" s="52" t="s">
        <v>83</v>
      </c>
      <c r="C98" s="15"/>
      <c r="D98" s="15"/>
      <c r="E98" s="47"/>
      <c r="F98" s="47"/>
      <c r="G98" s="48"/>
      <c r="H98" s="48"/>
      <c r="I98" s="17">
        <v>0</v>
      </c>
    </row>
    <row r="99" spans="1:9" ht="15.75" customHeight="1">
      <c r="A99" s="55"/>
      <c r="B99" s="51" t="s">
        <v>151</v>
      </c>
      <c r="C99" s="35"/>
      <c r="D99" s="35"/>
      <c r="E99" s="35"/>
      <c r="F99" s="35"/>
      <c r="G99" s="35"/>
      <c r="H99" s="35"/>
      <c r="I99" s="49">
        <f>I87+I97</f>
        <v>58035.78106400001</v>
      </c>
    </row>
    <row r="100" spans="1:9" ht="15.75">
      <c r="A100" s="191" t="s">
        <v>265</v>
      </c>
      <c r="B100" s="191"/>
      <c r="C100" s="191"/>
      <c r="D100" s="191"/>
      <c r="E100" s="191"/>
      <c r="F100" s="191"/>
      <c r="G100" s="191"/>
      <c r="H100" s="191"/>
      <c r="I100" s="191"/>
    </row>
    <row r="101" spans="1:9" ht="15.75">
      <c r="A101" s="62"/>
      <c r="B101" s="192" t="s">
        <v>266</v>
      </c>
      <c r="C101" s="192"/>
      <c r="D101" s="192"/>
      <c r="E101" s="192"/>
      <c r="F101" s="192"/>
      <c r="G101" s="192"/>
      <c r="H101" s="70"/>
      <c r="I101" s="3"/>
    </row>
    <row r="102" spans="1:9">
      <c r="A102" s="109"/>
      <c r="B102" s="193" t="s">
        <v>6</v>
      </c>
      <c r="C102" s="193"/>
      <c r="D102" s="193"/>
      <c r="E102" s="193"/>
      <c r="F102" s="193"/>
      <c r="G102" s="193"/>
      <c r="H102" s="24"/>
      <c r="I102" s="5"/>
    </row>
    <row r="103" spans="1:9" ht="15.75" customHeight="1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 customHeight="1">
      <c r="A104" s="194" t="s">
        <v>7</v>
      </c>
      <c r="B104" s="194"/>
      <c r="C104" s="194"/>
      <c r="D104" s="194"/>
      <c r="E104" s="194"/>
      <c r="F104" s="194"/>
      <c r="G104" s="194"/>
      <c r="H104" s="194"/>
      <c r="I104" s="194"/>
    </row>
    <row r="105" spans="1:9" ht="15.75" customHeight="1">
      <c r="A105" s="194" t="s">
        <v>8</v>
      </c>
      <c r="B105" s="194"/>
      <c r="C105" s="194"/>
      <c r="D105" s="194"/>
      <c r="E105" s="194"/>
      <c r="F105" s="194"/>
      <c r="G105" s="194"/>
      <c r="H105" s="194"/>
      <c r="I105" s="194"/>
    </row>
    <row r="106" spans="1:9" ht="15.75" customHeight="1">
      <c r="A106" s="195" t="s">
        <v>63</v>
      </c>
      <c r="B106" s="195"/>
      <c r="C106" s="195"/>
      <c r="D106" s="195"/>
      <c r="E106" s="195"/>
      <c r="F106" s="195"/>
      <c r="G106" s="195"/>
      <c r="H106" s="195"/>
      <c r="I106" s="195"/>
    </row>
    <row r="107" spans="1:9" ht="15.75" customHeight="1">
      <c r="A107" s="11"/>
    </row>
    <row r="108" spans="1:9" ht="15.75" customHeight="1">
      <c r="A108" s="196" t="s">
        <v>9</v>
      </c>
      <c r="B108" s="196"/>
      <c r="C108" s="196"/>
      <c r="D108" s="196"/>
      <c r="E108" s="196"/>
      <c r="F108" s="196"/>
      <c r="G108" s="196"/>
      <c r="H108" s="196"/>
      <c r="I108" s="196"/>
    </row>
    <row r="109" spans="1:9" ht="15.75" customHeight="1">
      <c r="A109" s="4"/>
    </row>
    <row r="110" spans="1:9" ht="15.75" customHeight="1">
      <c r="B110" s="110" t="s">
        <v>10</v>
      </c>
      <c r="C110" s="197" t="s">
        <v>94</v>
      </c>
      <c r="D110" s="197"/>
      <c r="E110" s="197"/>
      <c r="F110" s="68"/>
      <c r="I110" s="108"/>
    </row>
    <row r="111" spans="1:9" ht="15.75" customHeight="1">
      <c r="A111" s="109"/>
      <c r="C111" s="193" t="s">
        <v>11</v>
      </c>
      <c r="D111" s="193"/>
      <c r="E111" s="193"/>
      <c r="F111" s="24"/>
      <c r="I111" s="107" t="s">
        <v>12</v>
      </c>
    </row>
    <row r="112" spans="1:9" ht="15.75" customHeight="1">
      <c r="A112" s="25"/>
      <c r="C112" s="12"/>
      <c r="D112" s="12"/>
      <c r="G112" s="12"/>
      <c r="H112" s="12"/>
    </row>
    <row r="113" spans="1:9" ht="15.75" customHeight="1">
      <c r="B113" s="110" t="s">
        <v>13</v>
      </c>
      <c r="C113" s="198"/>
      <c r="D113" s="198"/>
      <c r="E113" s="198"/>
      <c r="F113" s="69"/>
      <c r="I113" s="108"/>
    </row>
    <row r="114" spans="1:9" ht="15.75" customHeight="1">
      <c r="A114" s="109"/>
      <c r="C114" s="187" t="s">
        <v>11</v>
      </c>
      <c r="D114" s="187"/>
      <c r="E114" s="187"/>
      <c r="F114" s="109"/>
      <c r="I114" s="107" t="s">
        <v>12</v>
      </c>
    </row>
    <row r="115" spans="1:9" ht="15.75" customHeight="1">
      <c r="A115" s="4" t="s">
        <v>14</v>
      </c>
    </row>
    <row r="116" spans="1:9">
      <c r="A116" s="201" t="s">
        <v>15</v>
      </c>
      <c r="B116" s="201"/>
      <c r="C116" s="201"/>
      <c r="D116" s="201"/>
      <c r="E116" s="201"/>
      <c r="F116" s="201"/>
      <c r="G116" s="201"/>
      <c r="H116" s="201"/>
      <c r="I116" s="201"/>
    </row>
    <row r="117" spans="1:9" ht="45" customHeight="1">
      <c r="A117" s="202" t="s">
        <v>16</v>
      </c>
      <c r="B117" s="202"/>
      <c r="C117" s="202"/>
      <c r="D117" s="202"/>
      <c r="E117" s="202"/>
      <c r="F117" s="202"/>
      <c r="G117" s="202"/>
      <c r="H117" s="202"/>
      <c r="I117" s="202"/>
    </row>
    <row r="118" spans="1:9" ht="30" customHeight="1">
      <c r="A118" s="202" t="s">
        <v>17</v>
      </c>
      <c r="B118" s="202"/>
      <c r="C118" s="202"/>
      <c r="D118" s="202"/>
      <c r="E118" s="202"/>
      <c r="F118" s="202"/>
      <c r="G118" s="202"/>
      <c r="H118" s="202"/>
      <c r="I118" s="202"/>
    </row>
    <row r="119" spans="1:9" ht="30" customHeight="1">
      <c r="A119" s="202" t="s">
        <v>21</v>
      </c>
      <c r="B119" s="202"/>
      <c r="C119" s="202"/>
      <c r="D119" s="202"/>
      <c r="E119" s="202"/>
      <c r="F119" s="202"/>
      <c r="G119" s="202"/>
      <c r="H119" s="202"/>
      <c r="I119" s="202"/>
    </row>
    <row r="120" spans="1:9" ht="15" customHeight="1">
      <c r="A120" s="202" t="s">
        <v>20</v>
      </c>
      <c r="B120" s="202"/>
      <c r="C120" s="202"/>
      <c r="D120" s="202"/>
      <c r="E120" s="202"/>
      <c r="F120" s="202"/>
      <c r="G120" s="202"/>
      <c r="H120" s="202"/>
      <c r="I120" s="202"/>
    </row>
  </sheetData>
  <autoFilter ref="I12:I66"/>
  <mergeCells count="29">
    <mergeCell ref="A116:I116"/>
    <mergeCell ref="A117:I117"/>
    <mergeCell ref="A118:I118"/>
    <mergeCell ref="A119:I119"/>
    <mergeCell ref="A120:I120"/>
    <mergeCell ref="R71:U71"/>
    <mergeCell ref="C114:E114"/>
    <mergeCell ref="A88:I88"/>
    <mergeCell ref="A100:I100"/>
    <mergeCell ref="B101:G101"/>
    <mergeCell ref="B102:G102"/>
    <mergeCell ref="A104:I104"/>
    <mergeCell ref="A105:I105"/>
    <mergeCell ref="A106:I106"/>
    <mergeCell ref="A108:I108"/>
    <mergeCell ref="C110:E110"/>
    <mergeCell ref="C111:E111"/>
    <mergeCell ref="C113:E113"/>
    <mergeCell ref="A84:I84"/>
    <mergeCell ref="A3:I3"/>
    <mergeCell ref="A4:I4"/>
    <mergeCell ref="A5:I5"/>
    <mergeCell ref="A8:I8"/>
    <mergeCell ref="A10:I10"/>
    <mergeCell ref="A14:I14"/>
    <mergeCell ref="A15:I15"/>
    <mergeCell ref="A28:I28"/>
    <mergeCell ref="A45:I45"/>
    <mergeCell ref="A56:I5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6"/>
  <sheetViews>
    <sheetView workbookViewId="0">
      <selection activeCell="A88" sqref="A88:I8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89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82" t="s">
        <v>142</v>
      </c>
      <c r="B3" s="182"/>
      <c r="C3" s="182"/>
      <c r="D3" s="182"/>
      <c r="E3" s="182"/>
      <c r="F3" s="182"/>
      <c r="G3" s="182"/>
      <c r="H3" s="182"/>
      <c r="I3" s="182"/>
      <c r="J3" s="3"/>
      <c r="K3" s="3"/>
      <c r="L3" s="3"/>
    </row>
    <row r="4" spans="1:13" ht="31.5" customHeight="1">
      <c r="A4" s="183" t="s">
        <v>124</v>
      </c>
      <c r="B4" s="183"/>
      <c r="C4" s="183"/>
      <c r="D4" s="183"/>
      <c r="E4" s="183"/>
      <c r="F4" s="183"/>
      <c r="G4" s="183"/>
      <c r="H4" s="183"/>
      <c r="I4" s="183"/>
    </row>
    <row r="5" spans="1:13" ht="15.75" customHeight="1">
      <c r="A5" s="182" t="s">
        <v>176</v>
      </c>
      <c r="B5" s="184"/>
      <c r="C5" s="184"/>
      <c r="D5" s="184"/>
      <c r="E5" s="184"/>
      <c r="F5" s="184"/>
      <c r="G5" s="184"/>
      <c r="H5" s="184"/>
      <c r="I5" s="184"/>
      <c r="J5" s="2"/>
      <c r="K5" s="2"/>
      <c r="L5" s="2"/>
      <c r="M5" s="2"/>
    </row>
    <row r="6" spans="1:13" ht="15.75" customHeight="1">
      <c r="A6" s="2"/>
      <c r="B6" s="147"/>
      <c r="C6" s="147"/>
      <c r="D6" s="147"/>
      <c r="E6" s="147"/>
      <c r="F6" s="147"/>
      <c r="G6" s="147"/>
      <c r="H6" s="147"/>
      <c r="I6" s="30">
        <v>43159</v>
      </c>
      <c r="J6" s="2"/>
      <c r="K6" s="2"/>
      <c r="L6" s="2"/>
      <c r="M6" s="2"/>
    </row>
    <row r="7" spans="1:13" ht="15.75" customHeight="1">
      <c r="B7" s="145"/>
      <c r="C7" s="145"/>
      <c r="D7" s="14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85" t="s">
        <v>152</v>
      </c>
      <c r="B8" s="185"/>
      <c r="C8" s="185"/>
      <c r="D8" s="185"/>
      <c r="E8" s="185"/>
      <c r="F8" s="185"/>
      <c r="G8" s="185"/>
      <c r="H8" s="185"/>
      <c r="I8" s="18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86" t="s">
        <v>173</v>
      </c>
      <c r="B10" s="186"/>
      <c r="C10" s="186"/>
      <c r="D10" s="186"/>
      <c r="E10" s="186"/>
      <c r="F10" s="186"/>
      <c r="G10" s="186"/>
      <c r="H10" s="186"/>
      <c r="I10" s="18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7" t="s">
        <v>61</v>
      </c>
      <c r="B14" s="177"/>
      <c r="C14" s="177"/>
      <c r="D14" s="177"/>
      <c r="E14" s="177"/>
      <c r="F14" s="177"/>
      <c r="G14" s="177"/>
      <c r="H14" s="177"/>
      <c r="I14" s="177"/>
      <c r="J14" s="8"/>
      <c r="K14" s="8"/>
      <c r="L14" s="8"/>
      <c r="M14" s="8"/>
    </row>
    <row r="15" spans="1:13" ht="15.75" customHeight="1">
      <c r="A15" s="178" t="s">
        <v>4</v>
      </c>
      <c r="B15" s="178"/>
      <c r="C15" s="178"/>
      <c r="D15" s="178"/>
      <c r="E15" s="178"/>
      <c r="F15" s="178"/>
      <c r="G15" s="178"/>
      <c r="H15" s="178"/>
      <c r="I15" s="178"/>
      <c r="J15" s="8"/>
      <c r="K15" s="8"/>
      <c r="L15" s="8"/>
      <c r="M15" s="8"/>
    </row>
    <row r="16" spans="1:13" ht="15.75" customHeight="1">
      <c r="A16" s="29">
        <v>1</v>
      </c>
      <c r="B16" s="71" t="s">
        <v>90</v>
      </c>
      <c r="C16" s="72" t="s">
        <v>99</v>
      </c>
      <c r="D16" s="71" t="s">
        <v>125</v>
      </c>
      <c r="E16" s="73">
        <v>92.5</v>
      </c>
      <c r="F16" s="74">
        <f>SUM(E16*156/100)</f>
        <v>144.30000000000001</v>
      </c>
      <c r="G16" s="74">
        <v>230</v>
      </c>
      <c r="H16" s="78">
        <f t="shared" ref="H16:H25" si="0">SUM(F16*G16/1000)</f>
        <v>33.189</v>
      </c>
      <c r="I16" s="13">
        <f>F16/12*G16</f>
        <v>2765.75</v>
      </c>
      <c r="J16" s="8"/>
      <c r="K16" s="8"/>
      <c r="L16" s="8"/>
      <c r="M16" s="8"/>
    </row>
    <row r="17" spans="1:13" ht="15.75" customHeight="1">
      <c r="A17" s="29">
        <v>2</v>
      </c>
      <c r="B17" s="71" t="s">
        <v>91</v>
      </c>
      <c r="C17" s="72" t="s">
        <v>99</v>
      </c>
      <c r="D17" s="71" t="s">
        <v>126</v>
      </c>
      <c r="E17" s="73">
        <v>288.8</v>
      </c>
      <c r="F17" s="74">
        <f>SUM(E17*104/100)</f>
        <v>300.35200000000003</v>
      </c>
      <c r="G17" s="74">
        <v>230</v>
      </c>
      <c r="H17" s="78">
        <f t="shared" si="0"/>
        <v>69.080960000000005</v>
      </c>
      <c r="I17" s="13">
        <f>F17/12*G17</f>
        <v>5756.7466666666678</v>
      </c>
      <c r="J17" s="22"/>
      <c r="K17" s="8"/>
      <c r="L17" s="8"/>
      <c r="M17" s="8"/>
    </row>
    <row r="18" spans="1:13" ht="15.75" customHeight="1">
      <c r="A18" s="29">
        <v>3</v>
      </c>
      <c r="B18" s="71" t="s">
        <v>92</v>
      </c>
      <c r="C18" s="72" t="s">
        <v>99</v>
      </c>
      <c r="D18" s="71" t="s">
        <v>149</v>
      </c>
      <c r="E18" s="73">
        <f>SUM(E16+E17)</f>
        <v>381.3</v>
      </c>
      <c r="F18" s="74">
        <f>SUM(E18*12/100)</f>
        <v>45.756</v>
      </c>
      <c r="G18" s="74">
        <v>661.67</v>
      </c>
      <c r="H18" s="78">
        <f t="shared" si="0"/>
        <v>30.275372519999998</v>
      </c>
      <c r="I18" s="13">
        <f>F18/12*G18</f>
        <v>2522.9477099999999</v>
      </c>
      <c r="J18" s="22"/>
      <c r="K18" s="8"/>
      <c r="L18" s="8"/>
      <c r="M18" s="8"/>
    </row>
    <row r="19" spans="1:13" ht="15.75" hidden="1" customHeight="1">
      <c r="A19" s="29">
        <v>4</v>
      </c>
      <c r="B19" s="71" t="s">
        <v>107</v>
      </c>
      <c r="C19" s="72" t="s">
        <v>108</v>
      </c>
      <c r="D19" s="71" t="s">
        <v>109</v>
      </c>
      <c r="E19" s="73">
        <v>19.2</v>
      </c>
      <c r="F19" s="74">
        <f>SUM(E19/10)</f>
        <v>1.92</v>
      </c>
      <c r="G19" s="74">
        <v>223.17</v>
      </c>
      <c r="H19" s="78">
        <f t="shared" si="0"/>
        <v>0.42848639999999993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4</v>
      </c>
      <c r="B20" s="71" t="s">
        <v>98</v>
      </c>
      <c r="C20" s="72" t="s">
        <v>99</v>
      </c>
      <c r="D20" s="71" t="s">
        <v>153</v>
      </c>
      <c r="E20" s="73">
        <v>27.3</v>
      </c>
      <c r="F20" s="74">
        <f>SUM(E20*2/100)</f>
        <v>0.54600000000000004</v>
      </c>
      <c r="G20" s="74">
        <v>285.76</v>
      </c>
      <c r="H20" s="78">
        <f t="shared" si="0"/>
        <v>0.15602495999999999</v>
      </c>
      <c r="I20" s="13">
        <f>F20/2*G20</f>
        <v>78.012479999999996</v>
      </c>
      <c r="J20" s="22"/>
      <c r="K20" s="8"/>
      <c r="L20" s="8"/>
      <c r="M20" s="8"/>
    </row>
    <row r="21" spans="1:13" ht="15.75" hidden="1" customHeight="1">
      <c r="A21" s="29">
        <v>5</v>
      </c>
      <c r="B21" s="71" t="s">
        <v>105</v>
      </c>
      <c r="C21" s="72" t="s">
        <v>99</v>
      </c>
      <c r="D21" s="71" t="s">
        <v>153</v>
      </c>
      <c r="E21" s="73">
        <v>9.08</v>
      </c>
      <c r="F21" s="74">
        <f>SUM(E21*2/100)</f>
        <v>0.18160000000000001</v>
      </c>
      <c r="G21" s="74">
        <v>283.44</v>
      </c>
      <c r="H21" s="78">
        <f>SUM(F21*G21/1000)</f>
        <v>5.1472704000000001E-2</v>
      </c>
      <c r="I21" s="13">
        <f>F21/2*G21</f>
        <v>25.736352</v>
      </c>
      <c r="J21" s="22"/>
      <c r="K21" s="8"/>
      <c r="L21" s="8"/>
      <c r="M21" s="8"/>
    </row>
    <row r="22" spans="1:13" ht="15.75" hidden="1" customHeight="1">
      <c r="A22" s="29">
        <v>7</v>
      </c>
      <c r="B22" s="71" t="s">
        <v>100</v>
      </c>
      <c r="C22" s="72" t="s">
        <v>54</v>
      </c>
      <c r="D22" s="71" t="s">
        <v>109</v>
      </c>
      <c r="E22" s="76">
        <v>30</v>
      </c>
      <c r="F22" s="74">
        <f>SUM(E22/100)</f>
        <v>0.3</v>
      </c>
      <c r="G22" s="74">
        <v>58.08</v>
      </c>
      <c r="H22" s="78">
        <f t="shared" si="0"/>
        <v>1.7423999999999999E-2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6</v>
      </c>
      <c r="B23" s="71" t="s">
        <v>101</v>
      </c>
      <c r="C23" s="72" t="s">
        <v>54</v>
      </c>
      <c r="D23" s="71" t="s">
        <v>109</v>
      </c>
      <c r="E23" s="73">
        <v>20</v>
      </c>
      <c r="F23" s="74">
        <f>SUM(E23/100)</f>
        <v>0.2</v>
      </c>
      <c r="G23" s="74">
        <v>511.12</v>
      </c>
      <c r="H23" s="78">
        <f t="shared" si="0"/>
        <v>0.10222400000000001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71" t="s">
        <v>102</v>
      </c>
      <c r="C24" s="72" t="s">
        <v>54</v>
      </c>
      <c r="D24" s="71" t="s">
        <v>109</v>
      </c>
      <c r="E24" s="73">
        <v>8.5</v>
      </c>
      <c r="F24" s="74">
        <f>SUM(E24/100)</f>
        <v>8.5000000000000006E-2</v>
      </c>
      <c r="G24" s="74">
        <v>683.05</v>
      </c>
      <c r="H24" s="78">
        <f t="shared" si="0"/>
        <v>5.805925E-2</v>
      </c>
      <c r="I24" s="13">
        <v>0</v>
      </c>
      <c r="J24" s="22"/>
      <c r="K24" s="8"/>
      <c r="L24" s="8"/>
      <c r="M24" s="8"/>
    </row>
    <row r="25" spans="1:13" ht="15.75" hidden="1" customHeight="1">
      <c r="A25" s="94">
        <v>7</v>
      </c>
      <c r="B25" s="83" t="s">
        <v>106</v>
      </c>
      <c r="C25" s="84" t="s">
        <v>54</v>
      </c>
      <c r="D25" s="83" t="s">
        <v>55</v>
      </c>
      <c r="E25" s="81">
        <v>20</v>
      </c>
      <c r="F25" s="85">
        <f>SUM(E25/100)</f>
        <v>0.2</v>
      </c>
      <c r="G25" s="85">
        <v>283.44</v>
      </c>
      <c r="H25" s="82">
        <f t="shared" si="0"/>
        <v>5.6688000000000002E-2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4</v>
      </c>
      <c r="B26" s="34" t="s">
        <v>66</v>
      </c>
      <c r="C26" s="44" t="s">
        <v>33</v>
      </c>
      <c r="D26" s="34" t="s">
        <v>154</v>
      </c>
      <c r="E26" s="118">
        <v>0.05</v>
      </c>
      <c r="F26" s="33">
        <f>SUM(E26*182)</f>
        <v>9.1</v>
      </c>
      <c r="G26" s="33">
        <v>264.85000000000002</v>
      </c>
      <c r="H26" s="119">
        <f t="shared" ref="H26:H27" si="1">SUM(F26*G26/1000)</f>
        <v>2.4101350000000004</v>
      </c>
      <c r="I26" s="13">
        <f>F26/12*G26</f>
        <v>200.84458333333333</v>
      </c>
      <c r="J26" s="23"/>
    </row>
    <row r="27" spans="1:13" ht="15.75" customHeight="1">
      <c r="A27" s="29">
        <v>5</v>
      </c>
      <c r="B27" s="120" t="s">
        <v>23</v>
      </c>
      <c r="C27" s="44" t="s">
        <v>24</v>
      </c>
      <c r="D27" s="34"/>
      <c r="E27" s="121">
        <v>3053.4</v>
      </c>
      <c r="F27" s="33">
        <f>SUM(E27*12)</f>
        <v>36640.800000000003</v>
      </c>
      <c r="G27" s="33">
        <v>4.09</v>
      </c>
      <c r="H27" s="119">
        <f t="shared" si="1"/>
        <v>149.860872</v>
      </c>
      <c r="I27" s="13">
        <f>F27/12*G27</f>
        <v>12488.405999999999</v>
      </c>
      <c r="J27" s="23"/>
    </row>
    <row r="28" spans="1:13" ht="15.75" customHeight="1">
      <c r="A28" s="178" t="s">
        <v>150</v>
      </c>
      <c r="B28" s="178"/>
      <c r="C28" s="178"/>
      <c r="D28" s="178"/>
      <c r="E28" s="178"/>
      <c r="F28" s="178"/>
      <c r="G28" s="178"/>
      <c r="H28" s="178"/>
      <c r="I28" s="178"/>
      <c r="J28" s="22"/>
      <c r="K28" s="8"/>
      <c r="L28" s="8"/>
      <c r="M28" s="8"/>
    </row>
    <row r="29" spans="1:13" ht="15.75" hidden="1" customHeight="1">
      <c r="A29" s="96"/>
      <c r="B29" s="104" t="s">
        <v>28</v>
      </c>
      <c r="C29" s="98"/>
      <c r="D29" s="97"/>
      <c r="E29" s="99"/>
      <c r="F29" s="100"/>
      <c r="G29" s="100"/>
      <c r="H29" s="105"/>
      <c r="I29" s="106"/>
      <c r="J29" s="22"/>
      <c r="K29" s="8"/>
      <c r="L29" s="8"/>
      <c r="M29" s="8"/>
    </row>
    <row r="30" spans="1:13" ht="15.75" hidden="1" customHeight="1">
      <c r="A30" s="29">
        <v>6</v>
      </c>
      <c r="B30" s="71" t="s">
        <v>110</v>
      </c>
      <c r="C30" s="72" t="s">
        <v>111</v>
      </c>
      <c r="D30" s="71" t="s">
        <v>127</v>
      </c>
      <c r="E30" s="74">
        <v>317.7</v>
      </c>
      <c r="F30" s="74">
        <f>SUM(E30*52/1000)</f>
        <v>16.520399999999999</v>
      </c>
      <c r="G30" s="74">
        <v>204.44</v>
      </c>
      <c r="H30" s="78">
        <f t="shared" ref="H30:H36" si="2">SUM(F30*G30/1000)</f>
        <v>3.3774305759999996</v>
      </c>
      <c r="I30" s="13">
        <f t="shared" ref="I30:I34" si="3">F30/6*G30</f>
        <v>562.90509599999996</v>
      </c>
      <c r="J30" s="22"/>
      <c r="K30" s="8"/>
      <c r="L30" s="8"/>
      <c r="M30" s="8"/>
    </row>
    <row r="31" spans="1:13" ht="31.5" hidden="1" customHeight="1">
      <c r="A31" s="29">
        <v>7</v>
      </c>
      <c r="B31" s="71" t="s">
        <v>137</v>
      </c>
      <c r="C31" s="72" t="s">
        <v>111</v>
      </c>
      <c r="D31" s="71" t="s">
        <v>128</v>
      </c>
      <c r="E31" s="74">
        <v>146.1</v>
      </c>
      <c r="F31" s="74">
        <f>SUM(E31*78/1000)</f>
        <v>11.395799999999999</v>
      </c>
      <c r="G31" s="74">
        <v>339.21</v>
      </c>
      <c r="H31" s="78">
        <f t="shared" si="2"/>
        <v>3.8655693179999995</v>
      </c>
      <c r="I31" s="13">
        <f t="shared" si="3"/>
        <v>644.26155299999994</v>
      </c>
      <c r="J31" s="22"/>
      <c r="K31" s="8"/>
      <c r="L31" s="8"/>
      <c r="M31" s="8"/>
    </row>
    <row r="32" spans="1:13" ht="15.75" hidden="1" customHeight="1">
      <c r="A32" s="29">
        <v>11</v>
      </c>
      <c r="B32" s="71" t="s">
        <v>27</v>
      </c>
      <c r="C32" s="72" t="s">
        <v>111</v>
      </c>
      <c r="D32" s="71" t="s">
        <v>55</v>
      </c>
      <c r="E32" s="74">
        <f>E30</f>
        <v>317.7</v>
      </c>
      <c r="F32" s="74">
        <f>SUM(E32/1000)</f>
        <v>0.31769999999999998</v>
      </c>
      <c r="G32" s="74">
        <v>3961.23</v>
      </c>
      <c r="H32" s="78">
        <f t="shared" si="2"/>
        <v>1.2584827709999999</v>
      </c>
      <c r="I32" s="13">
        <f>F32*G32</f>
        <v>1258.482771</v>
      </c>
      <c r="J32" s="22"/>
      <c r="K32" s="8"/>
      <c r="L32" s="8"/>
      <c r="M32" s="8"/>
    </row>
    <row r="33" spans="1:14" ht="15.75" hidden="1" customHeight="1">
      <c r="A33" s="29">
        <v>8</v>
      </c>
      <c r="B33" s="71" t="s">
        <v>155</v>
      </c>
      <c r="C33" s="72" t="s">
        <v>41</v>
      </c>
      <c r="D33" s="71" t="s">
        <v>65</v>
      </c>
      <c r="E33" s="74">
        <v>5</v>
      </c>
      <c r="F33" s="74">
        <f>E33*155/100</f>
        <v>7.75</v>
      </c>
      <c r="G33" s="74">
        <v>1707.63</v>
      </c>
      <c r="H33" s="78">
        <f t="shared" si="2"/>
        <v>13.234132500000001</v>
      </c>
      <c r="I33" s="13">
        <f t="shared" si="3"/>
        <v>2205.6887500000003</v>
      </c>
      <c r="J33" s="22"/>
      <c r="K33" s="8"/>
      <c r="L33" s="8"/>
      <c r="M33" s="8"/>
    </row>
    <row r="34" spans="1:14" ht="15.75" hidden="1" customHeight="1">
      <c r="A34" s="29">
        <v>9</v>
      </c>
      <c r="B34" s="71" t="s">
        <v>112</v>
      </c>
      <c r="C34" s="72" t="s">
        <v>31</v>
      </c>
      <c r="D34" s="71" t="s">
        <v>65</v>
      </c>
      <c r="E34" s="80">
        <f>1/6</f>
        <v>0.16666666666666666</v>
      </c>
      <c r="F34" s="74">
        <f>155/6</f>
        <v>25.833333333333332</v>
      </c>
      <c r="G34" s="74">
        <v>74.349999999999994</v>
      </c>
      <c r="H34" s="78">
        <f t="shared" si="2"/>
        <v>1.920708333333333</v>
      </c>
      <c r="I34" s="13">
        <f t="shared" si="3"/>
        <v>320.11805555555554</v>
      </c>
      <c r="J34" s="22"/>
      <c r="K34" s="8"/>
      <c r="L34" s="8"/>
      <c r="M34" s="8"/>
    </row>
    <row r="35" spans="1:14" ht="15.75" hidden="1" customHeight="1">
      <c r="A35" s="29"/>
      <c r="B35" s="34" t="s">
        <v>67</v>
      </c>
      <c r="C35" s="44" t="s">
        <v>33</v>
      </c>
      <c r="D35" s="34" t="s">
        <v>69</v>
      </c>
      <c r="E35" s="121"/>
      <c r="F35" s="33">
        <v>2</v>
      </c>
      <c r="G35" s="33">
        <v>250.92</v>
      </c>
      <c r="H35" s="119">
        <f t="shared" si="2"/>
        <v>0.50183999999999995</v>
      </c>
      <c r="I35" s="13">
        <v>0</v>
      </c>
      <c r="J35" s="22"/>
      <c r="K35" s="8"/>
    </row>
    <row r="36" spans="1:14" ht="15.75" hidden="1" customHeight="1">
      <c r="A36" s="29"/>
      <c r="B36" s="34" t="s">
        <v>68</v>
      </c>
      <c r="C36" s="44" t="s">
        <v>32</v>
      </c>
      <c r="D36" s="34" t="s">
        <v>69</v>
      </c>
      <c r="E36" s="121"/>
      <c r="F36" s="33">
        <v>1</v>
      </c>
      <c r="G36" s="33">
        <v>1490.31</v>
      </c>
      <c r="H36" s="119">
        <f t="shared" si="2"/>
        <v>1.49031</v>
      </c>
      <c r="I36" s="13"/>
      <c r="J36" s="22"/>
      <c r="K36" s="8"/>
    </row>
    <row r="37" spans="1:14" ht="15.75" customHeight="1">
      <c r="A37" s="29"/>
      <c r="B37" s="93" t="s">
        <v>5</v>
      </c>
      <c r="C37" s="72"/>
      <c r="D37" s="71"/>
      <c r="E37" s="73"/>
      <c r="F37" s="74"/>
      <c r="G37" s="74"/>
      <c r="H37" s="78" t="s">
        <v>132</v>
      </c>
      <c r="I37" s="79"/>
      <c r="J37" s="23"/>
    </row>
    <row r="38" spans="1:14" ht="15.75" customHeight="1">
      <c r="A38" s="29">
        <v>9</v>
      </c>
      <c r="B38" s="71" t="s">
        <v>26</v>
      </c>
      <c r="C38" s="72" t="s">
        <v>32</v>
      </c>
      <c r="D38" s="71"/>
      <c r="E38" s="73"/>
      <c r="F38" s="74">
        <v>3</v>
      </c>
      <c r="G38" s="74">
        <v>2003</v>
      </c>
      <c r="H38" s="78">
        <f t="shared" ref="H38:H44" si="4">SUM(F38*G38/1000)</f>
        <v>6.0090000000000003</v>
      </c>
      <c r="I38" s="13">
        <f t="shared" ref="I38:I42" si="5">F38/6*G38</f>
        <v>1001.5</v>
      </c>
      <c r="J38" s="23"/>
    </row>
    <row r="39" spans="1:14" ht="15.75" customHeight="1">
      <c r="A39" s="29">
        <v>10</v>
      </c>
      <c r="B39" s="71" t="s">
        <v>70</v>
      </c>
      <c r="C39" s="72" t="s">
        <v>29</v>
      </c>
      <c r="D39" s="71" t="s">
        <v>156</v>
      </c>
      <c r="E39" s="74">
        <v>160.6</v>
      </c>
      <c r="F39" s="74">
        <f>SUM(E39*18/1000)</f>
        <v>2.8907999999999996</v>
      </c>
      <c r="G39" s="74">
        <v>2757.78</v>
      </c>
      <c r="H39" s="78">
        <f t="shared" si="4"/>
        <v>7.972190423999999</v>
      </c>
      <c r="I39" s="13">
        <f t="shared" si="5"/>
        <v>1328.698404</v>
      </c>
      <c r="J39" s="23"/>
    </row>
    <row r="40" spans="1:14" ht="15.75" customHeight="1">
      <c r="A40" s="29">
        <v>11</v>
      </c>
      <c r="B40" s="71" t="s">
        <v>71</v>
      </c>
      <c r="C40" s="72" t="s">
        <v>29</v>
      </c>
      <c r="D40" s="71" t="s">
        <v>129</v>
      </c>
      <c r="E40" s="73">
        <v>89.1</v>
      </c>
      <c r="F40" s="74">
        <f>SUM(E40*155/1000)</f>
        <v>13.810499999999999</v>
      </c>
      <c r="G40" s="74">
        <v>460.02</v>
      </c>
      <c r="H40" s="78">
        <f t="shared" si="4"/>
        <v>6.3531062099999991</v>
      </c>
      <c r="I40" s="13">
        <f t="shared" si="5"/>
        <v>1058.8510349999999</v>
      </c>
      <c r="J40" s="23"/>
    </row>
    <row r="41" spans="1:14" ht="15.75" hidden="1" customHeight="1">
      <c r="A41" s="29">
        <v>12</v>
      </c>
      <c r="B41" s="71" t="s">
        <v>157</v>
      </c>
      <c r="C41" s="72" t="s">
        <v>158</v>
      </c>
      <c r="D41" s="71" t="s">
        <v>69</v>
      </c>
      <c r="E41" s="73"/>
      <c r="F41" s="74">
        <v>39</v>
      </c>
      <c r="G41" s="74">
        <v>301.70999999999998</v>
      </c>
      <c r="H41" s="78">
        <f t="shared" si="4"/>
        <v>11.766689999999999</v>
      </c>
      <c r="I41" s="13">
        <v>0</v>
      </c>
      <c r="J41" s="23"/>
    </row>
    <row r="42" spans="1:14" ht="47.25" customHeight="1">
      <c r="A42" s="29">
        <v>12</v>
      </c>
      <c r="B42" s="71" t="s">
        <v>88</v>
      </c>
      <c r="C42" s="72" t="s">
        <v>111</v>
      </c>
      <c r="D42" s="71" t="s">
        <v>159</v>
      </c>
      <c r="E42" s="74">
        <v>46.5</v>
      </c>
      <c r="F42" s="74">
        <f>SUM(E42*35/1000)</f>
        <v>1.6274999999999999</v>
      </c>
      <c r="G42" s="74">
        <v>7611.16</v>
      </c>
      <c r="H42" s="78">
        <f t="shared" si="4"/>
        <v>12.3871629</v>
      </c>
      <c r="I42" s="13">
        <f t="shared" si="5"/>
        <v>2064.5271499999999</v>
      </c>
      <c r="J42" s="23"/>
      <c r="L42" s="19"/>
      <c r="M42" s="20"/>
      <c r="N42" s="21"/>
    </row>
    <row r="43" spans="1:14" ht="15.75" customHeight="1">
      <c r="A43" s="94">
        <v>13</v>
      </c>
      <c r="B43" s="83" t="s">
        <v>113</v>
      </c>
      <c r="C43" s="84" t="s">
        <v>111</v>
      </c>
      <c r="D43" s="83" t="s">
        <v>72</v>
      </c>
      <c r="E43" s="85">
        <v>89.1</v>
      </c>
      <c r="F43" s="85">
        <f>SUM(E43*45/1000)</f>
        <v>4.0094999999999992</v>
      </c>
      <c r="G43" s="85">
        <v>562.25</v>
      </c>
      <c r="H43" s="82">
        <f t="shared" si="4"/>
        <v>2.2543413749999996</v>
      </c>
      <c r="I43" s="95">
        <f>F43/7.5*G43</f>
        <v>300.57884999999993</v>
      </c>
      <c r="J43" s="23"/>
      <c r="L43" s="19"/>
      <c r="M43" s="20"/>
      <c r="N43" s="21"/>
    </row>
    <row r="44" spans="1:14" ht="15.75" customHeight="1">
      <c r="A44" s="29">
        <v>14</v>
      </c>
      <c r="B44" s="14" t="s">
        <v>73</v>
      </c>
      <c r="C44" s="16" t="s">
        <v>33</v>
      </c>
      <c r="D44" s="14"/>
      <c r="E44" s="18"/>
      <c r="F44" s="13">
        <v>0.9</v>
      </c>
      <c r="G44" s="13">
        <v>974.83</v>
      </c>
      <c r="H44" s="13">
        <f t="shared" si="4"/>
        <v>0.8773470000000001</v>
      </c>
      <c r="I44" s="95">
        <f>F44/7.5*G44</f>
        <v>116.97960000000002</v>
      </c>
      <c r="J44" s="23"/>
      <c r="L44" s="19"/>
      <c r="M44" s="20"/>
      <c r="N44" s="21"/>
    </row>
    <row r="45" spans="1:14" ht="15.75" customHeight="1">
      <c r="A45" s="179" t="s">
        <v>138</v>
      </c>
      <c r="B45" s="180"/>
      <c r="C45" s="180"/>
      <c r="D45" s="180"/>
      <c r="E45" s="180"/>
      <c r="F45" s="180"/>
      <c r="G45" s="180"/>
      <c r="H45" s="180"/>
      <c r="I45" s="181"/>
      <c r="J45" s="23"/>
      <c r="L45" s="19"/>
      <c r="M45" s="20"/>
      <c r="N45" s="21"/>
    </row>
    <row r="46" spans="1:14" ht="15.75" hidden="1" customHeight="1">
      <c r="A46" s="29">
        <v>12</v>
      </c>
      <c r="B46" s="39" t="s">
        <v>114</v>
      </c>
      <c r="C46" s="40" t="s">
        <v>111</v>
      </c>
      <c r="D46" s="39" t="s">
        <v>43</v>
      </c>
      <c r="E46" s="17">
        <v>1632.75</v>
      </c>
      <c r="F46" s="36">
        <f>SUM(E46*2/1000)</f>
        <v>3.2654999999999998</v>
      </c>
      <c r="G46" s="36">
        <v>1062</v>
      </c>
      <c r="H46" s="36">
        <f t="shared" ref="H46:H55" si="6">SUM(F46*G46/1000)</f>
        <v>3.4679609999999998</v>
      </c>
      <c r="I46" s="13">
        <f>F46/2*G46</f>
        <v>1733.9804999999999</v>
      </c>
      <c r="J46" s="23"/>
      <c r="L46" s="19"/>
      <c r="M46" s="20"/>
      <c r="N46" s="21"/>
    </row>
    <row r="47" spans="1:14" ht="15.75" hidden="1" customHeight="1">
      <c r="A47" s="29">
        <v>13</v>
      </c>
      <c r="B47" s="39" t="s">
        <v>36</v>
      </c>
      <c r="C47" s="40" t="s">
        <v>111</v>
      </c>
      <c r="D47" s="39" t="s">
        <v>43</v>
      </c>
      <c r="E47" s="17">
        <v>53.75</v>
      </c>
      <c r="F47" s="36">
        <f>SUM(E47*2/1000)</f>
        <v>0.1075</v>
      </c>
      <c r="G47" s="36">
        <v>759.98</v>
      </c>
      <c r="H47" s="36">
        <f t="shared" si="6"/>
        <v>8.1697850000000002E-2</v>
      </c>
      <c r="I47" s="13">
        <f t="shared" ref="I47:I54" si="7">F47/2*G47</f>
        <v>40.848925000000001</v>
      </c>
      <c r="J47" s="23"/>
      <c r="L47" s="19"/>
      <c r="M47" s="20"/>
      <c r="N47" s="21"/>
    </row>
    <row r="48" spans="1:14" ht="15.75" hidden="1" customHeight="1">
      <c r="A48" s="29">
        <v>14</v>
      </c>
      <c r="B48" s="39" t="s">
        <v>37</v>
      </c>
      <c r="C48" s="40" t="s">
        <v>111</v>
      </c>
      <c r="D48" s="39" t="s">
        <v>43</v>
      </c>
      <c r="E48" s="17">
        <v>2285.6</v>
      </c>
      <c r="F48" s="36">
        <f>SUM(E48*2/1000)</f>
        <v>4.5712000000000002</v>
      </c>
      <c r="G48" s="36">
        <v>759.98</v>
      </c>
      <c r="H48" s="36">
        <f t="shared" si="6"/>
        <v>3.4740205760000005</v>
      </c>
      <c r="I48" s="13">
        <f t="shared" si="7"/>
        <v>1737.0102880000002</v>
      </c>
      <c r="J48" s="23"/>
      <c r="L48" s="19"/>
      <c r="M48" s="20"/>
      <c r="N48" s="21"/>
    </row>
    <row r="49" spans="1:14" ht="15.75" hidden="1" customHeight="1">
      <c r="A49" s="29">
        <v>15</v>
      </c>
      <c r="B49" s="39" t="s">
        <v>38</v>
      </c>
      <c r="C49" s="40" t="s">
        <v>111</v>
      </c>
      <c r="D49" s="39" t="s">
        <v>43</v>
      </c>
      <c r="E49" s="17">
        <v>1860</v>
      </c>
      <c r="F49" s="36">
        <f>SUM(E49*2/1000)</f>
        <v>3.72</v>
      </c>
      <c r="G49" s="36">
        <v>795.82</v>
      </c>
      <c r="H49" s="36">
        <f t="shared" si="6"/>
        <v>2.9604504</v>
      </c>
      <c r="I49" s="13">
        <f t="shared" si="7"/>
        <v>1480.2252000000001</v>
      </c>
      <c r="J49" s="23"/>
      <c r="L49" s="19"/>
      <c r="M49" s="20"/>
      <c r="N49" s="21"/>
    </row>
    <row r="50" spans="1:14" ht="15.75" hidden="1" customHeight="1">
      <c r="A50" s="29">
        <v>16</v>
      </c>
      <c r="B50" s="39" t="s">
        <v>34</v>
      </c>
      <c r="C50" s="40" t="s">
        <v>35</v>
      </c>
      <c r="D50" s="39" t="s">
        <v>43</v>
      </c>
      <c r="E50" s="17">
        <v>120.5</v>
      </c>
      <c r="F50" s="36">
        <f>SUM(E50*2/100)</f>
        <v>2.41</v>
      </c>
      <c r="G50" s="36">
        <v>95.49</v>
      </c>
      <c r="H50" s="36">
        <f t="shared" si="6"/>
        <v>0.2301309</v>
      </c>
      <c r="I50" s="13">
        <f t="shared" si="7"/>
        <v>115.06545</v>
      </c>
      <c r="J50" s="23"/>
      <c r="L50" s="19"/>
      <c r="M50" s="20"/>
      <c r="N50" s="21"/>
    </row>
    <row r="51" spans="1:14" ht="15.75" customHeight="1">
      <c r="A51" s="29">
        <v>15</v>
      </c>
      <c r="B51" s="39" t="s">
        <v>58</v>
      </c>
      <c r="C51" s="40" t="s">
        <v>111</v>
      </c>
      <c r="D51" s="39" t="s">
        <v>141</v>
      </c>
      <c r="E51" s="17">
        <v>3053.4</v>
      </c>
      <c r="F51" s="36">
        <f>SUM(E51*5/1000)</f>
        <v>15.266999999999999</v>
      </c>
      <c r="G51" s="36">
        <v>1591.6</v>
      </c>
      <c r="H51" s="36">
        <f t="shared" si="6"/>
        <v>24.298957199999997</v>
      </c>
      <c r="I51" s="13">
        <f>F51/5*G51</f>
        <v>4859.79144</v>
      </c>
      <c r="J51" s="23"/>
      <c r="L51" s="19"/>
      <c r="M51" s="20"/>
      <c r="N51" s="21"/>
    </row>
    <row r="52" spans="1:14" ht="31.5" hidden="1" customHeight="1">
      <c r="A52" s="29">
        <v>16</v>
      </c>
      <c r="B52" s="39" t="s">
        <v>115</v>
      </c>
      <c r="C52" s="40" t="s">
        <v>111</v>
      </c>
      <c r="D52" s="39" t="s">
        <v>43</v>
      </c>
      <c r="E52" s="17">
        <f>E51</f>
        <v>3053.4</v>
      </c>
      <c r="F52" s="36">
        <f>SUM(E52*2/1000)</f>
        <v>6.1067999999999998</v>
      </c>
      <c r="G52" s="36">
        <v>1591.6</v>
      </c>
      <c r="H52" s="36">
        <f t="shared" si="6"/>
        <v>9.7195828800000008</v>
      </c>
      <c r="I52" s="13">
        <f t="shared" si="7"/>
        <v>4859.79144</v>
      </c>
      <c r="J52" s="23"/>
      <c r="L52" s="19"/>
      <c r="M52" s="20"/>
      <c r="N52" s="21"/>
    </row>
    <row r="53" spans="1:14" ht="31.5" hidden="1" customHeight="1">
      <c r="A53" s="29">
        <v>17</v>
      </c>
      <c r="B53" s="39" t="s">
        <v>133</v>
      </c>
      <c r="C53" s="40" t="s">
        <v>39</v>
      </c>
      <c r="D53" s="39" t="s">
        <v>43</v>
      </c>
      <c r="E53" s="17">
        <v>20</v>
      </c>
      <c r="F53" s="36">
        <f>SUM(E53*2/100)</f>
        <v>0.4</v>
      </c>
      <c r="G53" s="36">
        <v>3581.13</v>
      </c>
      <c r="H53" s="36">
        <f t="shared" si="6"/>
        <v>1.4324520000000003</v>
      </c>
      <c r="I53" s="13">
        <f t="shared" si="7"/>
        <v>716.22600000000011</v>
      </c>
      <c r="J53" s="23"/>
      <c r="L53" s="19"/>
      <c r="M53" s="20"/>
      <c r="N53" s="21"/>
    </row>
    <row r="54" spans="1:14" ht="15.75" hidden="1" customHeight="1">
      <c r="A54" s="29">
        <v>18</v>
      </c>
      <c r="B54" s="39" t="s">
        <v>40</v>
      </c>
      <c r="C54" s="40" t="s">
        <v>41</v>
      </c>
      <c r="D54" s="39" t="s">
        <v>43</v>
      </c>
      <c r="E54" s="17">
        <v>1</v>
      </c>
      <c r="F54" s="36">
        <v>0.02</v>
      </c>
      <c r="G54" s="36">
        <v>7412.92</v>
      </c>
      <c r="H54" s="36">
        <f t="shared" si="6"/>
        <v>0.14825839999999998</v>
      </c>
      <c r="I54" s="13">
        <f t="shared" si="7"/>
        <v>74.129199999999997</v>
      </c>
      <c r="J54" s="23"/>
      <c r="L54" s="19"/>
      <c r="M54" s="20"/>
      <c r="N54" s="21"/>
    </row>
    <row r="55" spans="1:14" ht="15.75" hidden="1" customHeight="1">
      <c r="A55" s="29">
        <v>16</v>
      </c>
      <c r="B55" s="39" t="s">
        <v>42</v>
      </c>
      <c r="C55" s="40" t="s">
        <v>95</v>
      </c>
      <c r="D55" s="39" t="s">
        <v>74</v>
      </c>
      <c r="E55" s="17">
        <v>128</v>
      </c>
      <c r="F55" s="36">
        <f>SUM(E55)*3</f>
        <v>384</v>
      </c>
      <c r="G55" s="37">
        <v>86.15</v>
      </c>
      <c r="H55" s="36">
        <f t="shared" si="6"/>
        <v>33.081600000000009</v>
      </c>
      <c r="I55" s="13">
        <f>E55*G55</f>
        <v>11027.2</v>
      </c>
      <c r="J55" s="23"/>
      <c r="L55" s="19"/>
      <c r="M55" s="20"/>
      <c r="N55" s="21"/>
    </row>
    <row r="56" spans="1:14" ht="15.75" customHeight="1">
      <c r="A56" s="179" t="s">
        <v>139</v>
      </c>
      <c r="B56" s="180"/>
      <c r="C56" s="180"/>
      <c r="D56" s="180"/>
      <c r="E56" s="180"/>
      <c r="F56" s="180"/>
      <c r="G56" s="180"/>
      <c r="H56" s="180"/>
      <c r="I56" s="181"/>
      <c r="J56" s="23"/>
      <c r="L56" s="19"/>
      <c r="M56" s="20"/>
      <c r="N56" s="21"/>
    </row>
    <row r="57" spans="1:14" ht="15.75" hidden="1" customHeight="1">
      <c r="A57" s="96"/>
      <c r="B57" s="104" t="s">
        <v>44</v>
      </c>
      <c r="C57" s="98"/>
      <c r="D57" s="97"/>
      <c r="E57" s="99"/>
      <c r="F57" s="100"/>
      <c r="G57" s="100"/>
      <c r="H57" s="105"/>
      <c r="I57" s="106"/>
      <c r="J57" s="23"/>
      <c r="L57" s="19"/>
      <c r="M57" s="20"/>
      <c r="N57" s="21"/>
    </row>
    <row r="58" spans="1:14" ht="31.5" hidden="1" customHeight="1">
      <c r="A58" s="29">
        <v>16</v>
      </c>
      <c r="B58" s="71" t="s">
        <v>116</v>
      </c>
      <c r="C58" s="72" t="s">
        <v>99</v>
      </c>
      <c r="D58" s="71" t="s">
        <v>117</v>
      </c>
      <c r="E58" s="73">
        <v>92.7</v>
      </c>
      <c r="F58" s="74">
        <f>SUM(E58*6/100)</f>
        <v>5.5620000000000003</v>
      </c>
      <c r="G58" s="13">
        <v>2431.1799999999998</v>
      </c>
      <c r="H58" s="78">
        <f>SUM(F58*G58/1000)</f>
        <v>13.522223159999999</v>
      </c>
      <c r="I58" s="13">
        <f>F58/6*G58</f>
        <v>2253.7038600000001</v>
      </c>
      <c r="J58" s="23"/>
      <c r="L58" s="19"/>
      <c r="M58" s="20"/>
      <c r="N58" s="21"/>
    </row>
    <row r="59" spans="1:14" ht="15.75" hidden="1" customHeight="1">
      <c r="A59" s="29"/>
      <c r="B59" s="71" t="s">
        <v>134</v>
      </c>
      <c r="C59" s="72" t="s">
        <v>135</v>
      </c>
      <c r="D59" s="14" t="s">
        <v>69</v>
      </c>
      <c r="E59" s="73"/>
      <c r="F59" s="74">
        <v>2</v>
      </c>
      <c r="G59" s="67">
        <v>1582.05</v>
      </c>
      <c r="H59" s="78">
        <f>SUM(F59*G59/1000)</f>
        <v>3.1640999999999999</v>
      </c>
      <c r="I59" s="13">
        <f>G59*2</f>
        <v>3164.1</v>
      </c>
      <c r="J59" s="23"/>
      <c r="L59" s="19"/>
      <c r="M59" s="20"/>
      <c r="N59" s="21"/>
    </row>
    <row r="60" spans="1:14" ht="15.75" customHeight="1">
      <c r="A60" s="29"/>
      <c r="B60" s="93" t="s">
        <v>45</v>
      </c>
      <c r="C60" s="72"/>
      <c r="D60" s="71"/>
      <c r="E60" s="73"/>
      <c r="F60" s="74"/>
      <c r="G60" s="74"/>
      <c r="H60" s="75" t="s">
        <v>132</v>
      </c>
      <c r="I60" s="79"/>
      <c r="J60" s="23"/>
      <c r="L60" s="19"/>
      <c r="M60" s="20"/>
      <c r="N60" s="21"/>
    </row>
    <row r="61" spans="1:14" ht="15.75" hidden="1" customHeight="1">
      <c r="A61" s="29"/>
      <c r="B61" s="34" t="s">
        <v>46</v>
      </c>
      <c r="C61" s="44" t="s">
        <v>99</v>
      </c>
      <c r="D61" s="34" t="s">
        <v>55</v>
      </c>
      <c r="E61" s="123">
        <v>145</v>
      </c>
      <c r="F61" s="33">
        <f>SUM(E61/100)</f>
        <v>1.45</v>
      </c>
      <c r="G61" s="36">
        <v>1040.8399999999999</v>
      </c>
      <c r="H61" s="124">
        <v>9.1679999999999993</v>
      </c>
      <c r="I61" s="13">
        <v>0</v>
      </c>
      <c r="J61" s="23"/>
      <c r="L61" s="19"/>
      <c r="M61" s="20"/>
      <c r="N61" s="21"/>
    </row>
    <row r="62" spans="1:14" ht="15.75" customHeight="1">
      <c r="A62" s="29">
        <v>16</v>
      </c>
      <c r="B62" s="125" t="s">
        <v>96</v>
      </c>
      <c r="C62" s="126" t="s">
        <v>25</v>
      </c>
      <c r="D62" s="125" t="s">
        <v>30</v>
      </c>
      <c r="E62" s="123">
        <v>200</v>
      </c>
      <c r="F62" s="33">
        <f>SUM(E62*12)</f>
        <v>2400</v>
      </c>
      <c r="G62" s="127">
        <v>1.2</v>
      </c>
      <c r="H62" s="128">
        <f>G62*F62/1000</f>
        <v>2.88</v>
      </c>
      <c r="I62" s="13">
        <f>F62/12*G62</f>
        <v>240</v>
      </c>
      <c r="J62" s="23"/>
      <c r="L62" s="19"/>
      <c r="M62" s="20"/>
      <c r="N62" s="21"/>
    </row>
    <row r="63" spans="1:14" ht="15.75" customHeight="1">
      <c r="A63" s="29"/>
      <c r="B63" s="102" t="s">
        <v>47</v>
      </c>
      <c r="C63" s="84"/>
      <c r="D63" s="83"/>
      <c r="E63" s="81"/>
      <c r="F63" s="85"/>
      <c r="G63" s="85"/>
      <c r="H63" s="86" t="s">
        <v>132</v>
      </c>
      <c r="I63" s="79"/>
      <c r="J63" s="23"/>
      <c r="L63" s="19"/>
      <c r="M63" s="20"/>
      <c r="N63" s="21"/>
    </row>
    <row r="64" spans="1:14" ht="15.75" customHeight="1">
      <c r="A64" s="29">
        <v>17</v>
      </c>
      <c r="B64" s="56" t="s">
        <v>48</v>
      </c>
      <c r="C64" s="40" t="s">
        <v>95</v>
      </c>
      <c r="D64" s="39" t="s">
        <v>69</v>
      </c>
      <c r="E64" s="17">
        <v>6</v>
      </c>
      <c r="F64" s="33">
        <f>SUM(E64)</f>
        <v>6</v>
      </c>
      <c r="G64" s="36">
        <v>291.68</v>
      </c>
      <c r="H64" s="114">
        <f t="shared" ref="H64:H72" si="8">SUM(F64*G64/1000)</f>
        <v>1.7500799999999999</v>
      </c>
      <c r="I64" s="13">
        <f>G64</f>
        <v>291.68</v>
      </c>
      <c r="J64" s="23"/>
      <c r="L64" s="19"/>
    </row>
    <row r="65" spans="1:22" ht="15.75" hidden="1" customHeight="1">
      <c r="A65" s="29"/>
      <c r="B65" s="56" t="s">
        <v>49</v>
      </c>
      <c r="C65" s="40" t="s">
        <v>95</v>
      </c>
      <c r="D65" s="39" t="s">
        <v>69</v>
      </c>
      <c r="E65" s="17">
        <v>4</v>
      </c>
      <c r="F65" s="33">
        <f>SUM(E65)</f>
        <v>4</v>
      </c>
      <c r="G65" s="36">
        <v>100.01</v>
      </c>
      <c r="H65" s="114">
        <f t="shared" si="8"/>
        <v>0.40004000000000001</v>
      </c>
      <c r="I65" s="13">
        <v>0</v>
      </c>
      <c r="J65" s="23"/>
      <c r="L65" s="19"/>
    </row>
    <row r="66" spans="1:22" ht="15.75" hidden="1" customHeight="1">
      <c r="A66" s="29"/>
      <c r="B66" s="56" t="s">
        <v>50</v>
      </c>
      <c r="C66" s="42" t="s">
        <v>118</v>
      </c>
      <c r="D66" s="39" t="s">
        <v>55</v>
      </c>
      <c r="E66" s="121">
        <v>15552</v>
      </c>
      <c r="F66" s="37">
        <f>SUM(E66/100)</f>
        <v>155.52000000000001</v>
      </c>
      <c r="G66" s="36">
        <v>278.24</v>
      </c>
      <c r="H66" s="114">
        <f t="shared" si="8"/>
        <v>43.271884800000009</v>
      </c>
      <c r="I66" s="13">
        <v>0</v>
      </c>
    </row>
    <row r="67" spans="1:22" ht="15.75" hidden="1" customHeight="1">
      <c r="A67" s="29"/>
      <c r="B67" s="56" t="s">
        <v>51</v>
      </c>
      <c r="C67" s="40" t="s">
        <v>119</v>
      </c>
      <c r="D67" s="39"/>
      <c r="E67" s="121">
        <v>15552</v>
      </c>
      <c r="F67" s="36">
        <f>SUM(E67/1000)</f>
        <v>15.552</v>
      </c>
      <c r="G67" s="36">
        <v>216.68</v>
      </c>
      <c r="H67" s="114">
        <f t="shared" si="8"/>
        <v>3.3698073600000003</v>
      </c>
      <c r="I67" s="13">
        <v>0</v>
      </c>
    </row>
    <row r="68" spans="1:22" ht="15.75" hidden="1" customHeight="1">
      <c r="A68" s="29"/>
      <c r="B68" s="56" t="s">
        <v>52</v>
      </c>
      <c r="C68" s="40" t="s">
        <v>81</v>
      </c>
      <c r="D68" s="39" t="s">
        <v>55</v>
      </c>
      <c r="E68" s="121">
        <v>2432</v>
      </c>
      <c r="F68" s="36">
        <f>SUM(E68/100)</f>
        <v>24.32</v>
      </c>
      <c r="G68" s="36">
        <v>2720.94</v>
      </c>
      <c r="H68" s="114">
        <f t="shared" si="8"/>
        <v>66.173260800000008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29"/>
      <c r="B69" s="53" t="s">
        <v>75</v>
      </c>
      <c r="C69" s="40" t="s">
        <v>33</v>
      </c>
      <c r="D69" s="39"/>
      <c r="E69" s="121">
        <v>14.8</v>
      </c>
      <c r="F69" s="36">
        <f>SUM(E69)</f>
        <v>14.8</v>
      </c>
      <c r="G69" s="36">
        <v>42.61</v>
      </c>
      <c r="H69" s="114">
        <f t="shared" si="8"/>
        <v>0.63062800000000008</v>
      </c>
      <c r="I69" s="13">
        <v>0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31.5" hidden="1" customHeight="1">
      <c r="A70" s="29"/>
      <c r="B70" s="53" t="s">
        <v>76</v>
      </c>
      <c r="C70" s="40" t="s">
        <v>33</v>
      </c>
      <c r="D70" s="39"/>
      <c r="E70" s="121">
        <f>E69</f>
        <v>14.8</v>
      </c>
      <c r="F70" s="36">
        <f>SUM(E70)</f>
        <v>14.8</v>
      </c>
      <c r="G70" s="36">
        <v>46.04</v>
      </c>
      <c r="H70" s="114">
        <f t="shared" si="8"/>
        <v>0.681392</v>
      </c>
      <c r="I70" s="13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hidden="1" customHeight="1">
      <c r="A71" s="29">
        <v>22</v>
      </c>
      <c r="B71" s="39" t="s">
        <v>59</v>
      </c>
      <c r="C71" s="40" t="s">
        <v>60</v>
      </c>
      <c r="D71" s="39" t="s">
        <v>55</v>
      </c>
      <c r="E71" s="17">
        <v>5</v>
      </c>
      <c r="F71" s="33">
        <f>SUM(E71)</f>
        <v>5</v>
      </c>
      <c r="G71" s="36">
        <v>65.42</v>
      </c>
      <c r="H71" s="114">
        <f t="shared" si="8"/>
        <v>0.3271</v>
      </c>
      <c r="I71" s="13">
        <f>G71*4</f>
        <v>261.68</v>
      </c>
      <c r="J71" s="5"/>
      <c r="K71" s="5"/>
      <c r="L71" s="5"/>
      <c r="M71" s="5"/>
      <c r="N71" s="5"/>
      <c r="O71" s="5"/>
      <c r="P71" s="5"/>
      <c r="Q71" s="5"/>
      <c r="R71" s="187"/>
      <c r="S71" s="187"/>
      <c r="T71" s="187"/>
      <c r="U71" s="187"/>
    </row>
    <row r="72" spans="1:22" ht="15.75" customHeight="1">
      <c r="A72" s="29">
        <v>18</v>
      </c>
      <c r="B72" s="39" t="s">
        <v>160</v>
      </c>
      <c r="C72" s="45" t="s">
        <v>161</v>
      </c>
      <c r="D72" s="39" t="s">
        <v>69</v>
      </c>
      <c r="E72" s="17">
        <f>E51</f>
        <v>3053.4</v>
      </c>
      <c r="F72" s="33">
        <f>SUM(E72*12)</f>
        <v>36640.800000000003</v>
      </c>
      <c r="G72" s="36">
        <v>2.2799999999999998</v>
      </c>
      <c r="H72" s="114">
        <f t="shared" si="8"/>
        <v>83.541024000000007</v>
      </c>
      <c r="I72" s="13">
        <f>F72/12*G72</f>
        <v>6961.7519999999995</v>
      </c>
      <c r="J72" s="5"/>
      <c r="K72" s="5"/>
      <c r="L72" s="5"/>
      <c r="M72" s="5"/>
      <c r="N72" s="5"/>
      <c r="O72" s="5"/>
      <c r="P72" s="5"/>
      <c r="Q72" s="5"/>
      <c r="R72" s="144"/>
      <c r="S72" s="144"/>
      <c r="T72" s="144"/>
      <c r="U72" s="144"/>
    </row>
    <row r="73" spans="1:22" ht="15.75" customHeight="1">
      <c r="A73" s="29"/>
      <c r="B73" s="146" t="s">
        <v>77</v>
      </c>
      <c r="C73" s="16"/>
      <c r="D73" s="14"/>
      <c r="E73" s="18"/>
      <c r="F73" s="13"/>
      <c r="G73" s="13"/>
      <c r="H73" s="87" t="s">
        <v>132</v>
      </c>
      <c r="I73" s="79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2" ht="15.75" hidden="1" customHeight="1">
      <c r="A74" s="29">
        <v>19</v>
      </c>
      <c r="B74" s="39" t="s">
        <v>162</v>
      </c>
      <c r="C74" s="40" t="s">
        <v>163</v>
      </c>
      <c r="D74" s="39" t="s">
        <v>69</v>
      </c>
      <c r="E74" s="17">
        <v>1</v>
      </c>
      <c r="F74" s="36">
        <f>E74</f>
        <v>1</v>
      </c>
      <c r="G74" s="36">
        <v>1029.1199999999999</v>
      </c>
      <c r="H74" s="113">
        <f t="shared" ref="H74:H75" si="9">SUM(F74*G74/1000)</f>
        <v>1.0291199999999998</v>
      </c>
      <c r="I74" s="13">
        <v>0</v>
      </c>
    </row>
    <row r="75" spans="1:22" ht="15.75" hidden="1" customHeight="1">
      <c r="A75" s="29"/>
      <c r="B75" s="39" t="s">
        <v>164</v>
      </c>
      <c r="C75" s="40" t="s">
        <v>165</v>
      </c>
      <c r="D75" s="129"/>
      <c r="E75" s="17">
        <v>1</v>
      </c>
      <c r="F75" s="36">
        <v>1</v>
      </c>
      <c r="G75" s="36">
        <v>735</v>
      </c>
      <c r="H75" s="113">
        <f t="shared" si="9"/>
        <v>0.73499999999999999</v>
      </c>
      <c r="I75" s="13">
        <v>0</v>
      </c>
    </row>
    <row r="76" spans="1:22" ht="15.75" hidden="1" customHeight="1">
      <c r="A76" s="29">
        <v>23</v>
      </c>
      <c r="B76" s="39" t="s">
        <v>78</v>
      </c>
      <c r="C76" s="40" t="s">
        <v>79</v>
      </c>
      <c r="D76" s="39" t="s">
        <v>69</v>
      </c>
      <c r="E76" s="17">
        <v>5</v>
      </c>
      <c r="F76" s="33">
        <f>SUM(E76/10)</f>
        <v>0.5</v>
      </c>
      <c r="G76" s="36">
        <v>657.87</v>
      </c>
      <c r="H76" s="113">
        <f>SUM(F76*G76/1000)</f>
        <v>0.32893499999999998</v>
      </c>
      <c r="I76" s="13">
        <f>G76*0.8</f>
        <v>526.29600000000005</v>
      </c>
    </row>
    <row r="77" spans="1:22" ht="15.75" hidden="1" customHeight="1">
      <c r="A77" s="29"/>
      <c r="B77" s="39" t="s">
        <v>130</v>
      </c>
      <c r="C77" s="40" t="s">
        <v>95</v>
      </c>
      <c r="D77" s="39" t="s">
        <v>69</v>
      </c>
      <c r="E77" s="17">
        <v>1</v>
      </c>
      <c r="F77" s="36">
        <f>E77</f>
        <v>1</v>
      </c>
      <c r="G77" s="36">
        <v>1118.72</v>
      </c>
      <c r="H77" s="113">
        <f>SUM(F77*G77/1000)</f>
        <v>1.1187199999999999</v>
      </c>
      <c r="I77" s="13">
        <v>0</v>
      </c>
    </row>
    <row r="78" spans="1:22" ht="15.75" customHeight="1">
      <c r="A78" s="29">
        <v>19</v>
      </c>
      <c r="B78" s="115" t="s">
        <v>166</v>
      </c>
      <c r="C78" s="116" t="s">
        <v>95</v>
      </c>
      <c r="D78" s="39" t="s">
        <v>69</v>
      </c>
      <c r="E78" s="17">
        <v>2</v>
      </c>
      <c r="F78" s="33">
        <f>E78*12</f>
        <v>24</v>
      </c>
      <c r="G78" s="36">
        <v>53.42</v>
      </c>
      <c r="H78" s="113">
        <f t="shared" ref="H78:H79" si="10">SUM(F78*G78/1000)</f>
        <v>1.2820799999999999</v>
      </c>
      <c r="I78" s="13">
        <f>G78*2</f>
        <v>106.84</v>
      </c>
    </row>
    <row r="79" spans="1:22" ht="31.5" customHeight="1">
      <c r="A79" s="29">
        <v>20</v>
      </c>
      <c r="B79" s="115" t="s">
        <v>167</v>
      </c>
      <c r="C79" s="116" t="s">
        <v>95</v>
      </c>
      <c r="D79" s="39" t="s">
        <v>30</v>
      </c>
      <c r="E79" s="17">
        <v>1</v>
      </c>
      <c r="F79" s="33">
        <f>E79*12</f>
        <v>12</v>
      </c>
      <c r="G79" s="36">
        <v>1194</v>
      </c>
      <c r="H79" s="113">
        <f t="shared" si="10"/>
        <v>14.327999999999999</v>
      </c>
      <c r="I79" s="13">
        <f>G79</f>
        <v>1194</v>
      </c>
    </row>
    <row r="80" spans="1:22" ht="15.75" hidden="1" customHeight="1">
      <c r="A80" s="29"/>
      <c r="B80" s="90" t="s">
        <v>80</v>
      </c>
      <c r="C80" s="16"/>
      <c r="D80" s="14"/>
      <c r="E80" s="18"/>
      <c r="F80" s="18"/>
      <c r="G80" s="18"/>
      <c r="H80" s="18"/>
      <c r="I80" s="79"/>
    </row>
    <row r="81" spans="1:9" ht="15.75" hidden="1" customHeight="1">
      <c r="A81" s="29"/>
      <c r="B81" s="41" t="s">
        <v>122</v>
      </c>
      <c r="C81" s="42" t="s">
        <v>81</v>
      </c>
      <c r="D81" s="56"/>
      <c r="E81" s="59"/>
      <c r="F81" s="37">
        <v>0.3</v>
      </c>
      <c r="G81" s="37">
        <v>3619.09</v>
      </c>
      <c r="H81" s="114">
        <f t="shared" ref="H81" si="11">SUM(F81*G81/1000)</f>
        <v>1.0857270000000001</v>
      </c>
      <c r="I81" s="13">
        <v>0</v>
      </c>
    </row>
    <row r="82" spans="1:9" ht="15.75" hidden="1" customHeight="1">
      <c r="A82" s="29"/>
      <c r="B82" s="146" t="s">
        <v>120</v>
      </c>
      <c r="C82" s="90"/>
      <c r="D82" s="31"/>
      <c r="E82" s="32"/>
      <c r="F82" s="91"/>
      <c r="G82" s="91"/>
      <c r="H82" s="92">
        <f>SUM(H58:H81)</f>
        <v>248.78712212000002</v>
      </c>
      <c r="I82" s="77"/>
    </row>
    <row r="83" spans="1:9" ht="15.75" hidden="1" customHeight="1">
      <c r="A83" s="94"/>
      <c r="B83" s="34" t="s">
        <v>121</v>
      </c>
      <c r="C83" s="130"/>
      <c r="D83" s="131"/>
      <c r="E83" s="132"/>
      <c r="F83" s="38">
        <f>232/10</f>
        <v>23.2</v>
      </c>
      <c r="G83" s="38">
        <v>12361.2</v>
      </c>
      <c r="H83" s="114">
        <f>G83*F83/1000</f>
        <v>286.77984000000004</v>
      </c>
      <c r="I83" s="95">
        <v>0</v>
      </c>
    </row>
    <row r="84" spans="1:9" ht="15.75" customHeight="1">
      <c r="A84" s="179" t="s">
        <v>140</v>
      </c>
      <c r="B84" s="180"/>
      <c r="C84" s="180"/>
      <c r="D84" s="180"/>
      <c r="E84" s="180"/>
      <c r="F84" s="180"/>
      <c r="G84" s="180"/>
      <c r="H84" s="180"/>
      <c r="I84" s="181"/>
    </row>
    <row r="85" spans="1:9" ht="15.75" customHeight="1">
      <c r="A85" s="96">
        <v>21</v>
      </c>
      <c r="B85" s="34" t="s">
        <v>123</v>
      </c>
      <c r="C85" s="40" t="s">
        <v>56</v>
      </c>
      <c r="D85" s="103" t="s">
        <v>57</v>
      </c>
      <c r="E85" s="36">
        <v>3053.4</v>
      </c>
      <c r="F85" s="36">
        <f>SUM(E85*12)</f>
        <v>36640.800000000003</v>
      </c>
      <c r="G85" s="36">
        <v>3.1</v>
      </c>
      <c r="H85" s="114">
        <f>SUM(F85*G85/1000)</f>
        <v>113.58648000000001</v>
      </c>
      <c r="I85" s="101">
        <f>F85/12*G85</f>
        <v>9465.5400000000009</v>
      </c>
    </row>
    <row r="86" spans="1:9" ht="31.5" customHeight="1">
      <c r="A86" s="29">
        <v>22</v>
      </c>
      <c r="B86" s="39" t="s">
        <v>82</v>
      </c>
      <c r="C86" s="40"/>
      <c r="D86" s="103" t="s">
        <v>57</v>
      </c>
      <c r="E86" s="121">
        <v>3053.4</v>
      </c>
      <c r="F86" s="36">
        <f>E86*12</f>
        <v>36640.800000000003</v>
      </c>
      <c r="G86" s="36">
        <v>3.5</v>
      </c>
      <c r="H86" s="114">
        <f>F86*G86/1000</f>
        <v>128.24280000000002</v>
      </c>
      <c r="I86" s="13">
        <f>F86/12*G86</f>
        <v>10686.9</v>
      </c>
    </row>
    <row r="87" spans="1:9" ht="15.75" customHeight="1">
      <c r="A87" s="29"/>
      <c r="B87" s="43" t="s">
        <v>85</v>
      </c>
      <c r="C87" s="90"/>
      <c r="D87" s="88"/>
      <c r="E87" s="91"/>
      <c r="F87" s="91"/>
      <c r="G87" s="91"/>
      <c r="H87" s="92">
        <f>SUM(H86)</f>
        <v>128.24280000000002</v>
      </c>
      <c r="I87" s="91">
        <f>I86+I85+I79+I78+I72+I64+I62+I51+I44+I43+I42+I40+I39+I38+I27+I26+I18+I17+I16</f>
        <v>63412.333439000002</v>
      </c>
    </row>
    <row r="88" spans="1:9" ht="15.75" customHeight="1">
      <c r="A88" s="188" t="s">
        <v>62</v>
      </c>
      <c r="B88" s="189"/>
      <c r="C88" s="189"/>
      <c r="D88" s="189"/>
      <c r="E88" s="189"/>
      <c r="F88" s="189"/>
      <c r="G88" s="189"/>
      <c r="H88" s="189"/>
      <c r="I88" s="190"/>
    </row>
    <row r="89" spans="1:9" ht="15.75" customHeight="1">
      <c r="A89" s="29" t="s">
        <v>229</v>
      </c>
      <c r="B89" s="57" t="s">
        <v>103</v>
      </c>
      <c r="C89" s="58" t="s">
        <v>95</v>
      </c>
      <c r="D89" s="52"/>
      <c r="E89" s="13"/>
      <c r="F89" s="13">
        <v>128</v>
      </c>
      <c r="G89" s="13">
        <v>55.55</v>
      </c>
      <c r="H89" s="89">
        <f t="shared" ref="H89" si="12">G89*F89/1000</f>
        <v>7.1103999999999994</v>
      </c>
      <c r="I89" s="13">
        <f>G89*64</f>
        <v>3555.2</v>
      </c>
    </row>
    <row r="90" spans="1:9" ht="31.5" customHeight="1">
      <c r="A90" s="29">
        <v>24</v>
      </c>
      <c r="B90" s="57" t="s">
        <v>93</v>
      </c>
      <c r="C90" s="58" t="s">
        <v>104</v>
      </c>
      <c r="D90" s="117"/>
      <c r="E90" s="36"/>
      <c r="F90" s="36">
        <v>4</v>
      </c>
      <c r="G90" s="36">
        <v>613.44000000000005</v>
      </c>
      <c r="H90" s="114">
        <f>F90*G90/1000</f>
        <v>2.4537600000000004</v>
      </c>
      <c r="I90" s="13">
        <f>G90*2</f>
        <v>1226.8800000000001</v>
      </c>
    </row>
    <row r="91" spans="1:9" ht="15.75" customHeight="1">
      <c r="A91" s="29">
        <v>25</v>
      </c>
      <c r="B91" s="57" t="s">
        <v>177</v>
      </c>
      <c r="C91" s="58" t="s">
        <v>165</v>
      </c>
      <c r="D91" s="117"/>
      <c r="E91" s="36"/>
      <c r="F91" s="36">
        <v>1</v>
      </c>
      <c r="G91" s="36">
        <v>70510.41</v>
      </c>
      <c r="H91" s="114">
        <f>F91*G91/1000</f>
        <v>70.510410000000007</v>
      </c>
      <c r="I91" s="13">
        <f>G91</f>
        <v>70510.41</v>
      </c>
    </row>
    <row r="92" spans="1:9" ht="15.75" customHeight="1">
      <c r="A92" s="29"/>
      <c r="B92" s="50" t="s">
        <v>53</v>
      </c>
      <c r="C92" s="46"/>
      <c r="D92" s="54"/>
      <c r="E92" s="46">
        <v>1</v>
      </c>
      <c r="F92" s="46"/>
      <c r="G92" s="46"/>
      <c r="H92" s="46"/>
      <c r="I92" s="32">
        <f>SUM(I90:I91)</f>
        <v>71737.290000000008</v>
      </c>
    </row>
    <row r="93" spans="1:9" ht="15.75" customHeight="1">
      <c r="A93" s="29"/>
      <c r="B93" s="52" t="s">
        <v>83</v>
      </c>
      <c r="C93" s="15"/>
      <c r="D93" s="15"/>
      <c r="E93" s="47"/>
      <c r="F93" s="47"/>
      <c r="G93" s="48"/>
      <c r="H93" s="48"/>
      <c r="I93" s="17">
        <v>0</v>
      </c>
    </row>
    <row r="94" spans="1:9" ht="15.75" customHeight="1">
      <c r="A94" s="55"/>
      <c r="B94" s="51" t="s">
        <v>151</v>
      </c>
      <c r="C94" s="35"/>
      <c r="D94" s="35"/>
      <c r="E94" s="35"/>
      <c r="F94" s="35"/>
      <c r="G94" s="35"/>
      <c r="H94" s="35"/>
      <c r="I94" s="49">
        <f>I87+I92</f>
        <v>135149.62343900002</v>
      </c>
    </row>
    <row r="95" spans="1:9" ht="15.75" customHeight="1">
      <c r="A95" s="199" t="s">
        <v>230</v>
      </c>
      <c r="B95" s="200"/>
      <c r="C95" s="200"/>
      <c r="D95" s="200"/>
      <c r="E95" s="200"/>
      <c r="F95" s="200"/>
      <c r="G95" s="200"/>
      <c r="H95" s="200"/>
      <c r="I95" s="200"/>
    </row>
    <row r="96" spans="1:9" ht="15.75">
      <c r="A96" s="191" t="s">
        <v>193</v>
      </c>
      <c r="B96" s="191"/>
      <c r="C96" s="191"/>
      <c r="D96" s="191"/>
      <c r="E96" s="191"/>
      <c r="F96" s="191"/>
      <c r="G96" s="191"/>
      <c r="H96" s="191"/>
      <c r="I96" s="191"/>
    </row>
    <row r="97" spans="1:9" ht="15.75">
      <c r="A97" s="62"/>
      <c r="B97" s="192" t="s">
        <v>194</v>
      </c>
      <c r="C97" s="192"/>
      <c r="D97" s="192"/>
      <c r="E97" s="192"/>
      <c r="F97" s="192"/>
      <c r="G97" s="192"/>
      <c r="H97" s="70"/>
      <c r="I97" s="3"/>
    </row>
    <row r="98" spans="1:9">
      <c r="A98" s="144"/>
      <c r="B98" s="193" t="s">
        <v>6</v>
      </c>
      <c r="C98" s="193"/>
      <c r="D98" s="193"/>
      <c r="E98" s="193"/>
      <c r="F98" s="193"/>
      <c r="G98" s="193"/>
      <c r="H98" s="24"/>
      <c r="I98" s="5"/>
    </row>
    <row r="99" spans="1:9" ht="15.75" customHeight="1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 customHeight="1">
      <c r="A100" s="194" t="s">
        <v>7</v>
      </c>
      <c r="B100" s="194"/>
      <c r="C100" s="194"/>
      <c r="D100" s="194"/>
      <c r="E100" s="194"/>
      <c r="F100" s="194"/>
      <c r="G100" s="194"/>
      <c r="H100" s="194"/>
      <c r="I100" s="194"/>
    </row>
    <row r="101" spans="1:9" ht="15.75" customHeight="1">
      <c r="A101" s="194" t="s">
        <v>8</v>
      </c>
      <c r="B101" s="194"/>
      <c r="C101" s="194"/>
      <c r="D101" s="194"/>
      <c r="E101" s="194"/>
      <c r="F101" s="194"/>
      <c r="G101" s="194"/>
      <c r="H101" s="194"/>
      <c r="I101" s="194"/>
    </row>
    <row r="102" spans="1:9" ht="15.75" customHeight="1">
      <c r="A102" s="195" t="s">
        <v>63</v>
      </c>
      <c r="B102" s="195"/>
      <c r="C102" s="195"/>
      <c r="D102" s="195"/>
      <c r="E102" s="195"/>
      <c r="F102" s="195"/>
      <c r="G102" s="195"/>
      <c r="H102" s="195"/>
      <c r="I102" s="195"/>
    </row>
    <row r="103" spans="1:9" ht="15.75" customHeight="1">
      <c r="A103" s="11"/>
    </row>
    <row r="104" spans="1:9" ht="15.75" customHeight="1">
      <c r="A104" s="196" t="s">
        <v>9</v>
      </c>
      <c r="B104" s="196"/>
      <c r="C104" s="196"/>
      <c r="D104" s="196"/>
      <c r="E104" s="196"/>
      <c r="F104" s="196"/>
      <c r="G104" s="196"/>
      <c r="H104" s="196"/>
      <c r="I104" s="196"/>
    </row>
    <row r="105" spans="1:9" ht="15.75" customHeight="1">
      <c r="A105" s="4"/>
    </row>
    <row r="106" spans="1:9" ht="15.75" customHeight="1">
      <c r="B106" s="145" t="s">
        <v>10</v>
      </c>
      <c r="C106" s="197" t="s">
        <v>94</v>
      </c>
      <c r="D106" s="197"/>
      <c r="E106" s="197"/>
      <c r="F106" s="68"/>
      <c r="I106" s="143"/>
    </row>
    <row r="107" spans="1:9" ht="15.75" customHeight="1">
      <c r="A107" s="144"/>
      <c r="C107" s="193" t="s">
        <v>11</v>
      </c>
      <c r="D107" s="193"/>
      <c r="E107" s="193"/>
      <c r="F107" s="24"/>
      <c r="I107" s="142" t="s">
        <v>12</v>
      </c>
    </row>
    <row r="108" spans="1:9" ht="15.75" customHeight="1">
      <c r="A108" s="25"/>
      <c r="C108" s="12"/>
      <c r="D108" s="12"/>
      <c r="G108" s="12"/>
      <c r="H108" s="12"/>
    </row>
    <row r="109" spans="1:9" ht="15.75" customHeight="1">
      <c r="B109" s="145" t="s">
        <v>13</v>
      </c>
      <c r="C109" s="198"/>
      <c r="D109" s="198"/>
      <c r="E109" s="198"/>
      <c r="F109" s="69"/>
      <c r="I109" s="143"/>
    </row>
    <row r="110" spans="1:9" ht="15.75" customHeight="1">
      <c r="A110" s="144"/>
      <c r="C110" s="187" t="s">
        <v>11</v>
      </c>
      <c r="D110" s="187"/>
      <c r="E110" s="187"/>
      <c r="F110" s="144"/>
      <c r="I110" s="142" t="s">
        <v>12</v>
      </c>
    </row>
    <row r="111" spans="1:9" ht="15.75" customHeight="1">
      <c r="A111" s="4" t="s">
        <v>14</v>
      </c>
    </row>
    <row r="112" spans="1:9">
      <c r="A112" s="201" t="s">
        <v>15</v>
      </c>
      <c r="B112" s="201"/>
      <c r="C112" s="201"/>
      <c r="D112" s="201"/>
      <c r="E112" s="201"/>
      <c r="F112" s="201"/>
      <c r="G112" s="201"/>
      <c r="H112" s="201"/>
      <c r="I112" s="201"/>
    </row>
    <row r="113" spans="1:9" ht="45" customHeight="1">
      <c r="A113" s="202" t="s">
        <v>16</v>
      </c>
      <c r="B113" s="202"/>
      <c r="C113" s="202"/>
      <c r="D113" s="202"/>
      <c r="E113" s="202"/>
      <c r="F113" s="202"/>
      <c r="G113" s="202"/>
      <c r="H113" s="202"/>
      <c r="I113" s="202"/>
    </row>
    <row r="114" spans="1:9" ht="30" customHeight="1">
      <c r="A114" s="202" t="s">
        <v>17</v>
      </c>
      <c r="B114" s="202"/>
      <c r="C114" s="202"/>
      <c r="D114" s="202"/>
      <c r="E114" s="202"/>
      <c r="F114" s="202"/>
      <c r="G114" s="202"/>
      <c r="H114" s="202"/>
      <c r="I114" s="202"/>
    </row>
    <row r="115" spans="1:9" ht="30" customHeight="1">
      <c r="A115" s="202" t="s">
        <v>21</v>
      </c>
      <c r="B115" s="202"/>
      <c r="C115" s="202"/>
      <c r="D115" s="202"/>
      <c r="E115" s="202"/>
      <c r="F115" s="202"/>
      <c r="G115" s="202"/>
      <c r="H115" s="202"/>
      <c r="I115" s="202"/>
    </row>
    <row r="116" spans="1:9" ht="15" customHeight="1">
      <c r="A116" s="202" t="s">
        <v>20</v>
      </c>
      <c r="B116" s="202"/>
      <c r="C116" s="202"/>
      <c r="D116" s="202"/>
      <c r="E116" s="202"/>
      <c r="F116" s="202"/>
      <c r="G116" s="202"/>
      <c r="H116" s="202"/>
      <c r="I116" s="202"/>
    </row>
  </sheetData>
  <autoFilter ref="I12:I66"/>
  <mergeCells count="30">
    <mergeCell ref="A112:I112"/>
    <mergeCell ref="A113:I113"/>
    <mergeCell ref="A114:I114"/>
    <mergeCell ref="A115:I115"/>
    <mergeCell ref="A116:I116"/>
    <mergeCell ref="R71:U71"/>
    <mergeCell ref="C110:E110"/>
    <mergeCell ref="A88:I88"/>
    <mergeCell ref="A96:I96"/>
    <mergeCell ref="B97:G97"/>
    <mergeCell ref="B98:G98"/>
    <mergeCell ref="A100:I100"/>
    <mergeCell ref="A101:I101"/>
    <mergeCell ref="A102:I102"/>
    <mergeCell ref="A104:I104"/>
    <mergeCell ref="C106:E106"/>
    <mergeCell ref="C107:E107"/>
    <mergeCell ref="C109:E109"/>
    <mergeCell ref="A84:I84"/>
    <mergeCell ref="A95:I95"/>
    <mergeCell ref="A3:I3"/>
    <mergeCell ref="A4:I4"/>
    <mergeCell ref="A5:I5"/>
    <mergeCell ref="A8:I8"/>
    <mergeCell ref="A10:I10"/>
    <mergeCell ref="A14:I14"/>
    <mergeCell ref="A15:I15"/>
    <mergeCell ref="A28:I28"/>
    <mergeCell ref="A45:I45"/>
    <mergeCell ref="A56:I5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20"/>
  <sheetViews>
    <sheetView workbookViewId="0">
      <selection activeCell="B101" sqref="B101:G10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89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82" t="s">
        <v>178</v>
      </c>
      <c r="B3" s="182"/>
      <c r="C3" s="182"/>
      <c r="D3" s="182"/>
      <c r="E3" s="182"/>
      <c r="F3" s="182"/>
      <c r="G3" s="182"/>
      <c r="H3" s="182"/>
      <c r="I3" s="182"/>
      <c r="J3" s="3"/>
      <c r="K3" s="3"/>
      <c r="L3" s="3"/>
    </row>
    <row r="4" spans="1:13" ht="31.5" customHeight="1">
      <c r="A4" s="183" t="s">
        <v>124</v>
      </c>
      <c r="B4" s="183"/>
      <c r="C4" s="183"/>
      <c r="D4" s="183"/>
      <c r="E4" s="183"/>
      <c r="F4" s="183"/>
      <c r="G4" s="183"/>
      <c r="H4" s="183"/>
      <c r="I4" s="183"/>
    </row>
    <row r="5" spans="1:13" ht="15.75" customHeight="1">
      <c r="A5" s="182" t="s">
        <v>179</v>
      </c>
      <c r="B5" s="184"/>
      <c r="C5" s="184"/>
      <c r="D5" s="184"/>
      <c r="E5" s="184"/>
      <c r="F5" s="184"/>
      <c r="G5" s="184"/>
      <c r="H5" s="184"/>
      <c r="I5" s="184"/>
      <c r="J5" s="2"/>
      <c r="K5" s="2"/>
      <c r="L5" s="2"/>
      <c r="M5" s="2"/>
    </row>
    <row r="6" spans="1:13" ht="15.75" customHeight="1">
      <c r="A6" s="2"/>
      <c r="B6" s="149"/>
      <c r="C6" s="149"/>
      <c r="D6" s="149"/>
      <c r="E6" s="149"/>
      <c r="F6" s="149"/>
      <c r="G6" s="149"/>
      <c r="H6" s="149"/>
      <c r="I6" s="30">
        <v>43190</v>
      </c>
      <c r="J6" s="2"/>
      <c r="K6" s="2"/>
      <c r="L6" s="2"/>
      <c r="M6" s="2"/>
    </row>
    <row r="7" spans="1:13" ht="15.75" customHeight="1">
      <c r="B7" s="150"/>
      <c r="C7" s="150"/>
      <c r="D7" s="15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85" t="s">
        <v>152</v>
      </c>
      <c r="B8" s="185"/>
      <c r="C8" s="185"/>
      <c r="D8" s="185"/>
      <c r="E8" s="185"/>
      <c r="F8" s="185"/>
      <c r="G8" s="185"/>
      <c r="H8" s="185"/>
      <c r="I8" s="18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86" t="s">
        <v>173</v>
      </c>
      <c r="B10" s="186"/>
      <c r="C10" s="186"/>
      <c r="D10" s="186"/>
      <c r="E10" s="186"/>
      <c r="F10" s="186"/>
      <c r="G10" s="186"/>
      <c r="H10" s="186"/>
      <c r="I10" s="18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7" t="s">
        <v>61</v>
      </c>
      <c r="B14" s="177"/>
      <c r="C14" s="177"/>
      <c r="D14" s="177"/>
      <c r="E14" s="177"/>
      <c r="F14" s="177"/>
      <c r="G14" s="177"/>
      <c r="H14" s="177"/>
      <c r="I14" s="177"/>
      <c r="J14" s="8"/>
      <c r="K14" s="8"/>
      <c r="L14" s="8"/>
      <c r="M14" s="8"/>
    </row>
    <row r="15" spans="1:13" ht="15.75" customHeight="1">
      <c r="A15" s="178" t="s">
        <v>4</v>
      </c>
      <c r="B15" s="178"/>
      <c r="C15" s="178"/>
      <c r="D15" s="178"/>
      <c r="E15" s="178"/>
      <c r="F15" s="178"/>
      <c r="G15" s="178"/>
      <c r="H15" s="178"/>
      <c r="I15" s="178"/>
      <c r="J15" s="8"/>
      <c r="K15" s="8"/>
      <c r="L15" s="8"/>
      <c r="M15" s="8"/>
    </row>
    <row r="16" spans="1:13" ht="15.75" customHeight="1">
      <c r="A16" s="29">
        <v>1</v>
      </c>
      <c r="B16" s="71" t="s">
        <v>90</v>
      </c>
      <c r="C16" s="72" t="s">
        <v>99</v>
      </c>
      <c r="D16" s="71" t="s">
        <v>125</v>
      </c>
      <c r="E16" s="73">
        <v>92.5</v>
      </c>
      <c r="F16" s="74">
        <f>SUM(E16*156/100)</f>
        <v>144.30000000000001</v>
      </c>
      <c r="G16" s="74">
        <v>230</v>
      </c>
      <c r="H16" s="78">
        <f t="shared" ref="H16:H25" si="0">SUM(F16*G16/1000)</f>
        <v>33.189</v>
      </c>
      <c r="I16" s="13">
        <f>F16/12*G16</f>
        <v>2765.75</v>
      </c>
      <c r="J16" s="8"/>
      <c r="K16" s="8"/>
      <c r="L16" s="8"/>
      <c r="M16" s="8"/>
    </row>
    <row r="17" spans="1:13" ht="15.75" customHeight="1">
      <c r="A17" s="29">
        <v>2</v>
      </c>
      <c r="B17" s="71" t="s">
        <v>91</v>
      </c>
      <c r="C17" s="72" t="s">
        <v>99</v>
      </c>
      <c r="D17" s="71" t="s">
        <v>126</v>
      </c>
      <c r="E17" s="73">
        <v>288.8</v>
      </c>
      <c r="F17" s="74">
        <f>SUM(E17*104/100)</f>
        <v>300.35200000000003</v>
      </c>
      <c r="G17" s="74">
        <v>230</v>
      </c>
      <c r="H17" s="78">
        <f t="shared" si="0"/>
        <v>69.080960000000005</v>
      </c>
      <c r="I17" s="13">
        <f>F17/12*G17</f>
        <v>5756.7466666666678</v>
      </c>
      <c r="J17" s="22"/>
      <c r="K17" s="8"/>
      <c r="L17" s="8"/>
      <c r="M17" s="8"/>
    </row>
    <row r="18" spans="1:13" ht="15.75" customHeight="1">
      <c r="A18" s="29">
        <v>3</v>
      </c>
      <c r="B18" s="71" t="s">
        <v>92</v>
      </c>
      <c r="C18" s="72" t="s">
        <v>99</v>
      </c>
      <c r="D18" s="71" t="s">
        <v>149</v>
      </c>
      <c r="E18" s="73">
        <f>SUM(E16+E17)</f>
        <v>381.3</v>
      </c>
      <c r="F18" s="74">
        <f>SUM(E18*12/100)</f>
        <v>45.756</v>
      </c>
      <c r="G18" s="74">
        <v>661.67</v>
      </c>
      <c r="H18" s="78">
        <f t="shared" si="0"/>
        <v>30.275372519999998</v>
      </c>
      <c r="I18" s="13">
        <f>F18/12*G18</f>
        <v>2522.9477099999999</v>
      </c>
      <c r="J18" s="22"/>
      <c r="K18" s="8"/>
      <c r="L18" s="8"/>
      <c r="M18" s="8"/>
    </row>
    <row r="19" spans="1:13" ht="15.75" hidden="1" customHeight="1">
      <c r="A19" s="29">
        <v>4</v>
      </c>
      <c r="B19" s="71" t="s">
        <v>107</v>
      </c>
      <c r="C19" s="72" t="s">
        <v>108</v>
      </c>
      <c r="D19" s="71" t="s">
        <v>109</v>
      </c>
      <c r="E19" s="73">
        <v>19.2</v>
      </c>
      <c r="F19" s="74">
        <f>SUM(E19/10)</f>
        <v>1.92</v>
      </c>
      <c r="G19" s="74">
        <v>223.17</v>
      </c>
      <c r="H19" s="78">
        <f t="shared" si="0"/>
        <v>0.42848639999999993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4</v>
      </c>
      <c r="B20" s="71" t="s">
        <v>98</v>
      </c>
      <c r="C20" s="72" t="s">
        <v>99</v>
      </c>
      <c r="D20" s="71" t="s">
        <v>153</v>
      </c>
      <c r="E20" s="73">
        <v>27.3</v>
      </c>
      <c r="F20" s="74">
        <f>SUM(E20*2/100)</f>
        <v>0.54600000000000004</v>
      </c>
      <c r="G20" s="74">
        <v>285.76</v>
      </c>
      <c r="H20" s="78">
        <f t="shared" si="0"/>
        <v>0.15602495999999999</v>
      </c>
      <c r="I20" s="13">
        <f>F20/2*G20</f>
        <v>78.012479999999996</v>
      </c>
      <c r="J20" s="22"/>
      <c r="K20" s="8"/>
      <c r="L20" s="8"/>
      <c r="M20" s="8"/>
    </row>
    <row r="21" spans="1:13" ht="15.75" hidden="1" customHeight="1">
      <c r="A21" s="29">
        <v>5</v>
      </c>
      <c r="B21" s="71" t="s">
        <v>105</v>
      </c>
      <c r="C21" s="72" t="s">
        <v>99</v>
      </c>
      <c r="D21" s="71" t="s">
        <v>153</v>
      </c>
      <c r="E21" s="73">
        <v>9.08</v>
      </c>
      <c r="F21" s="74">
        <f>SUM(E21*2/100)</f>
        <v>0.18160000000000001</v>
      </c>
      <c r="G21" s="74">
        <v>283.44</v>
      </c>
      <c r="H21" s="78">
        <f>SUM(F21*G21/1000)</f>
        <v>5.1472704000000001E-2</v>
      </c>
      <c r="I21" s="13">
        <f>F21/2*G21</f>
        <v>25.736352</v>
      </c>
      <c r="J21" s="22"/>
      <c r="K21" s="8"/>
      <c r="L21" s="8"/>
      <c r="M21" s="8"/>
    </row>
    <row r="22" spans="1:13" ht="15.75" hidden="1" customHeight="1">
      <c r="A22" s="29">
        <v>7</v>
      </c>
      <c r="B22" s="71" t="s">
        <v>100</v>
      </c>
      <c r="C22" s="72" t="s">
        <v>54</v>
      </c>
      <c r="D22" s="71" t="s">
        <v>109</v>
      </c>
      <c r="E22" s="76">
        <v>30</v>
      </c>
      <c r="F22" s="74">
        <f>SUM(E22/100)</f>
        <v>0.3</v>
      </c>
      <c r="G22" s="74">
        <v>58.08</v>
      </c>
      <c r="H22" s="78">
        <f t="shared" si="0"/>
        <v>1.7423999999999999E-2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6</v>
      </c>
      <c r="B23" s="71" t="s">
        <v>101</v>
      </c>
      <c r="C23" s="72" t="s">
        <v>54</v>
      </c>
      <c r="D23" s="71" t="s">
        <v>109</v>
      </c>
      <c r="E23" s="73">
        <v>20</v>
      </c>
      <c r="F23" s="74">
        <f>SUM(E23/100)</f>
        <v>0.2</v>
      </c>
      <c r="G23" s="74">
        <v>511.12</v>
      </c>
      <c r="H23" s="78">
        <f t="shared" si="0"/>
        <v>0.10222400000000001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71" t="s">
        <v>102</v>
      </c>
      <c r="C24" s="72" t="s">
        <v>54</v>
      </c>
      <c r="D24" s="71" t="s">
        <v>109</v>
      </c>
      <c r="E24" s="73">
        <v>8.5</v>
      </c>
      <c r="F24" s="74">
        <f>SUM(E24/100)</f>
        <v>8.5000000000000006E-2</v>
      </c>
      <c r="G24" s="74">
        <v>683.05</v>
      </c>
      <c r="H24" s="78">
        <f t="shared" si="0"/>
        <v>5.805925E-2</v>
      </c>
      <c r="I24" s="13">
        <v>0</v>
      </c>
      <c r="J24" s="22"/>
      <c r="K24" s="8"/>
      <c r="L24" s="8"/>
      <c r="M24" s="8"/>
    </row>
    <row r="25" spans="1:13" ht="15.75" hidden="1" customHeight="1">
      <c r="A25" s="94">
        <v>7</v>
      </c>
      <c r="B25" s="83" t="s">
        <v>106</v>
      </c>
      <c r="C25" s="84" t="s">
        <v>54</v>
      </c>
      <c r="D25" s="83" t="s">
        <v>55</v>
      </c>
      <c r="E25" s="81">
        <v>20</v>
      </c>
      <c r="F25" s="85">
        <f>SUM(E25/100)</f>
        <v>0.2</v>
      </c>
      <c r="G25" s="85">
        <v>283.44</v>
      </c>
      <c r="H25" s="82">
        <f t="shared" si="0"/>
        <v>5.6688000000000002E-2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4</v>
      </c>
      <c r="B26" s="34" t="s">
        <v>66</v>
      </c>
      <c r="C26" s="44" t="s">
        <v>33</v>
      </c>
      <c r="D26" s="34" t="s">
        <v>154</v>
      </c>
      <c r="E26" s="118">
        <v>0.05</v>
      </c>
      <c r="F26" s="33">
        <f>SUM(E26*182)</f>
        <v>9.1</v>
      </c>
      <c r="G26" s="33">
        <v>264.85000000000002</v>
      </c>
      <c r="H26" s="119">
        <f t="shared" ref="H26:H27" si="1">SUM(F26*G26/1000)</f>
        <v>2.4101350000000004</v>
      </c>
      <c r="I26" s="13">
        <f>F26/12*G26</f>
        <v>200.84458333333333</v>
      </c>
      <c r="J26" s="23"/>
    </row>
    <row r="27" spans="1:13" ht="15.75" customHeight="1">
      <c r="A27" s="29">
        <v>5</v>
      </c>
      <c r="B27" s="120" t="s">
        <v>23</v>
      </c>
      <c r="C27" s="44" t="s">
        <v>24</v>
      </c>
      <c r="D27" s="34"/>
      <c r="E27" s="121">
        <v>3053.4</v>
      </c>
      <c r="F27" s="33">
        <f>SUM(E27*12)</f>
        <v>36640.800000000003</v>
      </c>
      <c r="G27" s="33">
        <v>4.09</v>
      </c>
      <c r="H27" s="119">
        <f t="shared" si="1"/>
        <v>149.860872</v>
      </c>
      <c r="I27" s="13">
        <f>F27/12*G27</f>
        <v>12488.405999999999</v>
      </c>
      <c r="J27" s="23"/>
    </row>
    <row r="28" spans="1:13" ht="15.75" customHeight="1">
      <c r="A28" s="178" t="s">
        <v>150</v>
      </c>
      <c r="B28" s="178"/>
      <c r="C28" s="178"/>
      <c r="D28" s="178"/>
      <c r="E28" s="178"/>
      <c r="F28" s="178"/>
      <c r="G28" s="178"/>
      <c r="H28" s="178"/>
      <c r="I28" s="178"/>
      <c r="J28" s="22"/>
      <c r="K28" s="8"/>
      <c r="L28" s="8"/>
      <c r="M28" s="8"/>
    </row>
    <row r="29" spans="1:13" ht="15.75" hidden="1" customHeight="1">
      <c r="A29" s="96"/>
      <c r="B29" s="104" t="s">
        <v>28</v>
      </c>
      <c r="C29" s="98"/>
      <c r="D29" s="97"/>
      <c r="E29" s="99"/>
      <c r="F29" s="100"/>
      <c r="G29" s="100"/>
      <c r="H29" s="105"/>
      <c r="I29" s="106"/>
      <c r="J29" s="22"/>
      <c r="K29" s="8"/>
      <c r="L29" s="8"/>
      <c r="M29" s="8"/>
    </row>
    <row r="30" spans="1:13" ht="15.75" hidden="1" customHeight="1">
      <c r="A30" s="29">
        <v>6</v>
      </c>
      <c r="B30" s="71" t="s">
        <v>110</v>
      </c>
      <c r="C30" s="72" t="s">
        <v>111</v>
      </c>
      <c r="D30" s="71" t="s">
        <v>127</v>
      </c>
      <c r="E30" s="74">
        <v>317.7</v>
      </c>
      <c r="F30" s="74">
        <f>SUM(E30*52/1000)</f>
        <v>16.520399999999999</v>
      </c>
      <c r="G30" s="74">
        <v>204.44</v>
      </c>
      <c r="H30" s="78">
        <f t="shared" ref="H30:H36" si="2">SUM(F30*G30/1000)</f>
        <v>3.3774305759999996</v>
      </c>
      <c r="I30" s="13">
        <f t="shared" ref="I30:I34" si="3">F30/6*G30</f>
        <v>562.90509599999996</v>
      </c>
      <c r="J30" s="22"/>
      <c r="K30" s="8"/>
      <c r="L30" s="8"/>
      <c r="M30" s="8"/>
    </row>
    <row r="31" spans="1:13" ht="31.5" hidden="1" customHeight="1">
      <c r="A31" s="29">
        <v>7</v>
      </c>
      <c r="B31" s="71" t="s">
        <v>137</v>
      </c>
      <c r="C31" s="72" t="s">
        <v>111</v>
      </c>
      <c r="D31" s="71" t="s">
        <v>128</v>
      </c>
      <c r="E31" s="74">
        <v>146.1</v>
      </c>
      <c r="F31" s="74">
        <f>SUM(E31*78/1000)</f>
        <v>11.395799999999999</v>
      </c>
      <c r="G31" s="74">
        <v>339.21</v>
      </c>
      <c r="H31" s="78">
        <f t="shared" si="2"/>
        <v>3.8655693179999995</v>
      </c>
      <c r="I31" s="13">
        <f t="shared" si="3"/>
        <v>644.26155299999994</v>
      </c>
      <c r="J31" s="22"/>
      <c r="K31" s="8"/>
      <c r="L31" s="8"/>
      <c r="M31" s="8"/>
    </row>
    <row r="32" spans="1:13" ht="15.75" hidden="1" customHeight="1">
      <c r="A32" s="29">
        <v>11</v>
      </c>
      <c r="B32" s="71" t="s">
        <v>27</v>
      </c>
      <c r="C32" s="72" t="s">
        <v>111</v>
      </c>
      <c r="D32" s="71" t="s">
        <v>55</v>
      </c>
      <c r="E32" s="74">
        <f>E30</f>
        <v>317.7</v>
      </c>
      <c r="F32" s="74">
        <f>SUM(E32/1000)</f>
        <v>0.31769999999999998</v>
      </c>
      <c r="G32" s="74">
        <v>3961.23</v>
      </c>
      <c r="H32" s="78">
        <f t="shared" si="2"/>
        <v>1.2584827709999999</v>
      </c>
      <c r="I32" s="13">
        <f>F32*G32</f>
        <v>1258.482771</v>
      </c>
      <c r="J32" s="22"/>
      <c r="K32" s="8"/>
      <c r="L32" s="8"/>
      <c r="M32" s="8"/>
    </row>
    <row r="33" spans="1:14" ht="15.75" hidden="1" customHeight="1">
      <c r="A33" s="29">
        <v>8</v>
      </c>
      <c r="B33" s="71" t="s">
        <v>155</v>
      </c>
      <c r="C33" s="72" t="s">
        <v>41</v>
      </c>
      <c r="D33" s="71" t="s">
        <v>65</v>
      </c>
      <c r="E33" s="74">
        <v>5</v>
      </c>
      <c r="F33" s="74">
        <f>E33*155/100</f>
        <v>7.75</v>
      </c>
      <c r="G33" s="74">
        <v>1707.63</v>
      </c>
      <c r="H33" s="78">
        <f t="shared" si="2"/>
        <v>13.234132500000001</v>
      </c>
      <c r="I33" s="13">
        <f t="shared" si="3"/>
        <v>2205.6887500000003</v>
      </c>
      <c r="J33" s="22"/>
      <c r="K33" s="8"/>
      <c r="L33" s="8"/>
      <c r="M33" s="8"/>
    </row>
    <row r="34" spans="1:14" ht="15.75" hidden="1" customHeight="1">
      <c r="A34" s="29">
        <v>9</v>
      </c>
      <c r="B34" s="71" t="s">
        <v>112</v>
      </c>
      <c r="C34" s="72" t="s">
        <v>31</v>
      </c>
      <c r="D34" s="71" t="s">
        <v>65</v>
      </c>
      <c r="E34" s="80">
        <f>1/6</f>
        <v>0.16666666666666666</v>
      </c>
      <c r="F34" s="74">
        <f>155/6</f>
        <v>25.833333333333332</v>
      </c>
      <c r="G34" s="74">
        <v>74.349999999999994</v>
      </c>
      <c r="H34" s="78">
        <f t="shared" si="2"/>
        <v>1.920708333333333</v>
      </c>
      <c r="I34" s="13">
        <f t="shared" si="3"/>
        <v>320.11805555555554</v>
      </c>
      <c r="J34" s="22"/>
      <c r="K34" s="8"/>
      <c r="L34" s="8"/>
      <c r="M34" s="8"/>
    </row>
    <row r="35" spans="1:14" ht="15.75" hidden="1" customHeight="1">
      <c r="A35" s="29"/>
      <c r="B35" s="34" t="s">
        <v>67</v>
      </c>
      <c r="C35" s="44" t="s">
        <v>33</v>
      </c>
      <c r="D35" s="34" t="s">
        <v>69</v>
      </c>
      <c r="E35" s="121"/>
      <c r="F35" s="33">
        <v>2</v>
      </c>
      <c r="G35" s="33">
        <v>250.92</v>
      </c>
      <c r="H35" s="119">
        <f t="shared" si="2"/>
        <v>0.50183999999999995</v>
      </c>
      <c r="I35" s="13">
        <v>0</v>
      </c>
      <c r="J35" s="22"/>
      <c r="K35" s="8"/>
    </row>
    <row r="36" spans="1:14" ht="15.75" hidden="1" customHeight="1">
      <c r="A36" s="29"/>
      <c r="B36" s="34" t="s">
        <v>68</v>
      </c>
      <c r="C36" s="44" t="s">
        <v>32</v>
      </c>
      <c r="D36" s="34" t="s">
        <v>69</v>
      </c>
      <c r="E36" s="121"/>
      <c r="F36" s="33">
        <v>1</v>
      </c>
      <c r="G36" s="33">
        <v>1490.31</v>
      </c>
      <c r="H36" s="119">
        <f t="shared" si="2"/>
        <v>1.49031</v>
      </c>
      <c r="I36" s="13"/>
      <c r="J36" s="22"/>
      <c r="K36" s="8"/>
    </row>
    <row r="37" spans="1:14" ht="15.75" customHeight="1">
      <c r="A37" s="29"/>
      <c r="B37" s="93" t="s">
        <v>5</v>
      </c>
      <c r="C37" s="72"/>
      <c r="D37" s="71"/>
      <c r="E37" s="73"/>
      <c r="F37" s="74"/>
      <c r="G37" s="74"/>
      <c r="H37" s="78" t="s">
        <v>132</v>
      </c>
      <c r="I37" s="79"/>
      <c r="J37" s="23"/>
    </row>
    <row r="38" spans="1:14" ht="15.75" customHeight="1">
      <c r="A38" s="29">
        <v>9</v>
      </c>
      <c r="B38" s="71" t="s">
        <v>26</v>
      </c>
      <c r="C38" s="72" t="s">
        <v>32</v>
      </c>
      <c r="D38" s="71"/>
      <c r="E38" s="73"/>
      <c r="F38" s="74">
        <v>3</v>
      </c>
      <c r="G38" s="74">
        <v>2003</v>
      </c>
      <c r="H38" s="78">
        <f t="shared" ref="H38:H44" si="4">SUM(F38*G38/1000)</f>
        <v>6.0090000000000003</v>
      </c>
      <c r="I38" s="13">
        <f t="shared" ref="I38:I42" si="5">F38/6*G38</f>
        <v>1001.5</v>
      </c>
      <c r="J38" s="23"/>
    </row>
    <row r="39" spans="1:14" ht="15.75" customHeight="1">
      <c r="A39" s="29">
        <v>10</v>
      </c>
      <c r="B39" s="71" t="s">
        <v>70</v>
      </c>
      <c r="C39" s="72" t="s">
        <v>29</v>
      </c>
      <c r="D39" s="71" t="s">
        <v>156</v>
      </c>
      <c r="E39" s="74">
        <v>160.6</v>
      </c>
      <c r="F39" s="74">
        <f>SUM(E39*18/1000)</f>
        <v>2.8907999999999996</v>
      </c>
      <c r="G39" s="74">
        <v>2757.78</v>
      </c>
      <c r="H39" s="78">
        <f t="shared" si="4"/>
        <v>7.972190423999999</v>
      </c>
      <c r="I39" s="13">
        <f t="shared" si="5"/>
        <v>1328.698404</v>
      </c>
      <c r="J39" s="23"/>
    </row>
    <row r="40" spans="1:14" ht="15.75" customHeight="1">
      <c r="A40" s="29">
        <v>11</v>
      </c>
      <c r="B40" s="71" t="s">
        <v>71</v>
      </c>
      <c r="C40" s="72" t="s">
        <v>29</v>
      </c>
      <c r="D40" s="71" t="s">
        <v>129</v>
      </c>
      <c r="E40" s="73">
        <v>89.1</v>
      </c>
      <c r="F40" s="74">
        <f>SUM(E40*155/1000)</f>
        <v>13.810499999999999</v>
      </c>
      <c r="G40" s="74">
        <v>460.02</v>
      </c>
      <c r="H40" s="78">
        <f t="shared" si="4"/>
        <v>6.3531062099999991</v>
      </c>
      <c r="I40" s="13">
        <f t="shared" si="5"/>
        <v>1058.8510349999999</v>
      </c>
      <c r="J40" s="23"/>
    </row>
    <row r="41" spans="1:14" ht="15.75" hidden="1" customHeight="1">
      <c r="A41" s="29">
        <v>12</v>
      </c>
      <c r="B41" s="71" t="s">
        <v>157</v>
      </c>
      <c r="C41" s="72" t="s">
        <v>158</v>
      </c>
      <c r="D41" s="71" t="s">
        <v>69</v>
      </c>
      <c r="E41" s="73"/>
      <c r="F41" s="74">
        <v>39</v>
      </c>
      <c r="G41" s="74">
        <v>301.70999999999998</v>
      </c>
      <c r="H41" s="78">
        <f t="shared" si="4"/>
        <v>11.766689999999999</v>
      </c>
      <c r="I41" s="13">
        <v>0</v>
      </c>
      <c r="J41" s="23"/>
    </row>
    <row r="42" spans="1:14" ht="47.25" customHeight="1">
      <c r="A42" s="29">
        <v>12</v>
      </c>
      <c r="B42" s="71" t="s">
        <v>88</v>
      </c>
      <c r="C42" s="72" t="s">
        <v>111</v>
      </c>
      <c r="D42" s="71" t="s">
        <v>159</v>
      </c>
      <c r="E42" s="74">
        <v>46.5</v>
      </c>
      <c r="F42" s="74">
        <f>SUM(E42*35/1000)</f>
        <v>1.6274999999999999</v>
      </c>
      <c r="G42" s="74">
        <v>7611.16</v>
      </c>
      <c r="H42" s="78">
        <f t="shared" si="4"/>
        <v>12.3871629</v>
      </c>
      <c r="I42" s="13">
        <f t="shared" si="5"/>
        <v>2064.5271499999999</v>
      </c>
      <c r="J42" s="23"/>
      <c r="L42" s="19"/>
      <c r="M42" s="20"/>
      <c r="N42" s="21"/>
    </row>
    <row r="43" spans="1:14" ht="15.75" customHeight="1">
      <c r="A43" s="94">
        <v>13</v>
      </c>
      <c r="B43" s="83" t="s">
        <v>113</v>
      </c>
      <c r="C43" s="84" t="s">
        <v>111</v>
      </c>
      <c r="D43" s="83" t="s">
        <v>72</v>
      </c>
      <c r="E43" s="85">
        <v>89.1</v>
      </c>
      <c r="F43" s="85">
        <f>SUM(E43*45/1000)</f>
        <v>4.0094999999999992</v>
      </c>
      <c r="G43" s="85">
        <v>562.25</v>
      </c>
      <c r="H43" s="82">
        <f t="shared" si="4"/>
        <v>2.2543413749999996</v>
      </c>
      <c r="I43" s="95">
        <f>(F43/7.5*1.5)*G43</f>
        <v>450.86827499999993</v>
      </c>
      <c r="J43" s="23"/>
      <c r="L43" s="19"/>
      <c r="M43" s="20"/>
      <c r="N43" s="21"/>
    </row>
    <row r="44" spans="1:14" ht="15.75" customHeight="1">
      <c r="A44" s="29">
        <v>14</v>
      </c>
      <c r="B44" s="14" t="s">
        <v>73</v>
      </c>
      <c r="C44" s="16" t="s">
        <v>33</v>
      </c>
      <c r="D44" s="14"/>
      <c r="E44" s="18"/>
      <c r="F44" s="13">
        <v>0.9</v>
      </c>
      <c r="G44" s="13">
        <v>974.83</v>
      </c>
      <c r="H44" s="13">
        <f t="shared" si="4"/>
        <v>0.8773470000000001</v>
      </c>
      <c r="I44" s="95">
        <f>(F44/7.5*1.5)*G44</f>
        <v>175.46940000000004</v>
      </c>
      <c r="J44" s="23"/>
      <c r="L44" s="19"/>
      <c r="M44" s="20"/>
      <c r="N44" s="21"/>
    </row>
    <row r="45" spans="1:14" ht="15.75" hidden="1" customHeight="1">
      <c r="A45" s="179" t="s">
        <v>138</v>
      </c>
      <c r="B45" s="180"/>
      <c r="C45" s="180"/>
      <c r="D45" s="180"/>
      <c r="E45" s="180"/>
      <c r="F45" s="180"/>
      <c r="G45" s="180"/>
      <c r="H45" s="180"/>
      <c r="I45" s="181"/>
      <c r="J45" s="23"/>
      <c r="L45" s="19"/>
      <c r="M45" s="20"/>
      <c r="N45" s="21"/>
    </row>
    <row r="46" spans="1:14" ht="15.75" hidden="1" customHeight="1">
      <c r="A46" s="29">
        <v>12</v>
      </c>
      <c r="B46" s="39" t="s">
        <v>114</v>
      </c>
      <c r="C46" s="40" t="s">
        <v>111</v>
      </c>
      <c r="D46" s="39" t="s">
        <v>43</v>
      </c>
      <c r="E46" s="17">
        <v>1632.75</v>
      </c>
      <c r="F46" s="36">
        <f>SUM(E46*2/1000)</f>
        <v>3.2654999999999998</v>
      </c>
      <c r="G46" s="36">
        <v>1062</v>
      </c>
      <c r="H46" s="36">
        <f t="shared" ref="H46:H55" si="6">SUM(F46*G46/1000)</f>
        <v>3.4679609999999998</v>
      </c>
      <c r="I46" s="13">
        <f>F46/2*G46</f>
        <v>1733.9804999999999</v>
      </c>
      <c r="J46" s="23"/>
      <c r="L46" s="19"/>
      <c r="M46" s="20"/>
      <c r="N46" s="21"/>
    </row>
    <row r="47" spans="1:14" ht="15.75" hidden="1" customHeight="1">
      <c r="A47" s="29">
        <v>13</v>
      </c>
      <c r="B47" s="39" t="s">
        <v>36</v>
      </c>
      <c r="C47" s="40" t="s">
        <v>111</v>
      </c>
      <c r="D47" s="39" t="s">
        <v>43</v>
      </c>
      <c r="E47" s="17">
        <v>53.75</v>
      </c>
      <c r="F47" s="36">
        <f>SUM(E47*2/1000)</f>
        <v>0.1075</v>
      </c>
      <c r="G47" s="36">
        <v>759.98</v>
      </c>
      <c r="H47" s="36">
        <f t="shared" si="6"/>
        <v>8.1697850000000002E-2</v>
      </c>
      <c r="I47" s="13">
        <f t="shared" ref="I47:I54" si="7">F47/2*G47</f>
        <v>40.848925000000001</v>
      </c>
      <c r="J47" s="23"/>
      <c r="L47" s="19"/>
      <c r="M47" s="20"/>
      <c r="N47" s="21"/>
    </row>
    <row r="48" spans="1:14" ht="15.75" hidden="1" customHeight="1">
      <c r="A48" s="29">
        <v>14</v>
      </c>
      <c r="B48" s="39" t="s">
        <v>37</v>
      </c>
      <c r="C48" s="40" t="s">
        <v>111</v>
      </c>
      <c r="D48" s="39" t="s">
        <v>43</v>
      </c>
      <c r="E48" s="17">
        <v>2285.6</v>
      </c>
      <c r="F48" s="36">
        <f>SUM(E48*2/1000)</f>
        <v>4.5712000000000002</v>
      </c>
      <c r="G48" s="36">
        <v>759.98</v>
      </c>
      <c r="H48" s="36">
        <f t="shared" si="6"/>
        <v>3.4740205760000005</v>
      </c>
      <c r="I48" s="13">
        <f t="shared" si="7"/>
        <v>1737.0102880000002</v>
      </c>
      <c r="J48" s="23"/>
      <c r="L48" s="19"/>
      <c r="M48" s="20"/>
      <c r="N48" s="21"/>
    </row>
    <row r="49" spans="1:14" ht="15.75" hidden="1" customHeight="1">
      <c r="A49" s="29">
        <v>15</v>
      </c>
      <c r="B49" s="39" t="s">
        <v>38</v>
      </c>
      <c r="C49" s="40" t="s">
        <v>111</v>
      </c>
      <c r="D49" s="39" t="s">
        <v>43</v>
      </c>
      <c r="E49" s="17">
        <v>1860</v>
      </c>
      <c r="F49" s="36">
        <f>SUM(E49*2/1000)</f>
        <v>3.72</v>
      </c>
      <c r="G49" s="36">
        <v>795.82</v>
      </c>
      <c r="H49" s="36">
        <f t="shared" si="6"/>
        <v>2.9604504</v>
      </c>
      <c r="I49" s="13">
        <f t="shared" si="7"/>
        <v>1480.2252000000001</v>
      </c>
      <c r="J49" s="23"/>
      <c r="L49" s="19"/>
      <c r="M49" s="20"/>
      <c r="N49" s="21"/>
    </row>
    <row r="50" spans="1:14" ht="15.75" hidden="1" customHeight="1">
      <c r="A50" s="29">
        <v>16</v>
      </c>
      <c r="B50" s="39" t="s">
        <v>34</v>
      </c>
      <c r="C50" s="40" t="s">
        <v>35</v>
      </c>
      <c r="D50" s="39" t="s">
        <v>43</v>
      </c>
      <c r="E50" s="17">
        <v>120.5</v>
      </c>
      <c r="F50" s="36">
        <f>SUM(E50*2/100)</f>
        <v>2.41</v>
      </c>
      <c r="G50" s="36">
        <v>95.49</v>
      </c>
      <c r="H50" s="36">
        <f t="shared" si="6"/>
        <v>0.2301309</v>
      </c>
      <c r="I50" s="13">
        <f t="shared" si="7"/>
        <v>115.06545</v>
      </c>
      <c r="J50" s="23"/>
      <c r="L50" s="19"/>
      <c r="M50" s="20"/>
      <c r="N50" s="21"/>
    </row>
    <row r="51" spans="1:14" ht="15.75" hidden="1" customHeight="1">
      <c r="A51" s="29">
        <v>15</v>
      </c>
      <c r="B51" s="39" t="s">
        <v>58</v>
      </c>
      <c r="C51" s="40" t="s">
        <v>111</v>
      </c>
      <c r="D51" s="39" t="s">
        <v>141</v>
      </c>
      <c r="E51" s="17">
        <v>3053.4</v>
      </c>
      <c r="F51" s="36">
        <f>SUM(E51*5/1000)</f>
        <v>15.266999999999999</v>
      </c>
      <c r="G51" s="36">
        <v>1591.6</v>
      </c>
      <c r="H51" s="36">
        <f t="shared" si="6"/>
        <v>24.298957199999997</v>
      </c>
      <c r="I51" s="13">
        <f>F51/5*G51</f>
        <v>4859.79144</v>
      </c>
      <c r="J51" s="23"/>
      <c r="L51" s="19"/>
      <c r="M51" s="20"/>
      <c r="N51" s="21"/>
    </row>
    <row r="52" spans="1:14" ht="31.5" hidden="1" customHeight="1">
      <c r="A52" s="29">
        <v>16</v>
      </c>
      <c r="B52" s="39" t="s">
        <v>115</v>
      </c>
      <c r="C52" s="40" t="s">
        <v>111</v>
      </c>
      <c r="D52" s="39" t="s">
        <v>43</v>
      </c>
      <c r="E52" s="17">
        <f>E51</f>
        <v>3053.4</v>
      </c>
      <c r="F52" s="36">
        <f>SUM(E52*2/1000)</f>
        <v>6.1067999999999998</v>
      </c>
      <c r="G52" s="36">
        <v>1591.6</v>
      </c>
      <c r="H52" s="36">
        <f t="shared" si="6"/>
        <v>9.7195828800000008</v>
      </c>
      <c r="I52" s="13">
        <f t="shared" si="7"/>
        <v>4859.79144</v>
      </c>
      <c r="J52" s="23"/>
      <c r="L52" s="19"/>
      <c r="M52" s="20"/>
      <c r="N52" s="21"/>
    </row>
    <row r="53" spans="1:14" ht="31.5" hidden="1" customHeight="1">
      <c r="A53" s="29">
        <v>17</v>
      </c>
      <c r="B53" s="39" t="s">
        <v>133</v>
      </c>
      <c r="C53" s="40" t="s">
        <v>39</v>
      </c>
      <c r="D53" s="39" t="s">
        <v>43</v>
      </c>
      <c r="E53" s="17">
        <v>20</v>
      </c>
      <c r="F53" s="36">
        <f>SUM(E53*2/100)</f>
        <v>0.4</v>
      </c>
      <c r="G53" s="36">
        <v>3581.13</v>
      </c>
      <c r="H53" s="36">
        <f t="shared" si="6"/>
        <v>1.4324520000000003</v>
      </c>
      <c r="I53" s="13">
        <f t="shared" si="7"/>
        <v>716.22600000000011</v>
      </c>
      <c r="J53" s="23"/>
      <c r="L53" s="19"/>
      <c r="M53" s="20"/>
      <c r="N53" s="21"/>
    </row>
    <row r="54" spans="1:14" ht="15.75" hidden="1" customHeight="1">
      <c r="A54" s="29">
        <v>18</v>
      </c>
      <c r="B54" s="39" t="s">
        <v>40</v>
      </c>
      <c r="C54" s="40" t="s">
        <v>41</v>
      </c>
      <c r="D54" s="39" t="s">
        <v>43</v>
      </c>
      <c r="E54" s="17">
        <v>1</v>
      </c>
      <c r="F54" s="36">
        <v>0.02</v>
      </c>
      <c r="G54" s="36">
        <v>7412.92</v>
      </c>
      <c r="H54" s="36">
        <f t="shared" si="6"/>
        <v>0.14825839999999998</v>
      </c>
      <c r="I54" s="13">
        <f t="shared" si="7"/>
        <v>74.129199999999997</v>
      </c>
      <c r="J54" s="23"/>
      <c r="L54" s="19"/>
      <c r="M54" s="20"/>
      <c r="N54" s="21"/>
    </row>
    <row r="55" spans="1:14" ht="15.75" hidden="1" customHeight="1">
      <c r="A55" s="29">
        <v>16</v>
      </c>
      <c r="B55" s="39" t="s">
        <v>42</v>
      </c>
      <c r="C55" s="40" t="s">
        <v>95</v>
      </c>
      <c r="D55" s="39" t="s">
        <v>74</v>
      </c>
      <c r="E55" s="17">
        <v>128</v>
      </c>
      <c r="F55" s="36">
        <f>SUM(E55)*3</f>
        <v>384</v>
      </c>
      <c r="G55" s="37">
        <v>86.15</v>
      </c>
      <c r="H55" s="36">
        <f t="shared" si="6"/>
        <v>33.081600000000009</v>
      </c>
      <c r="I55" s="13">
        <f>E55*G55</f>
        <v>11027.2</v>
      </c>
      <c r="J55" s="23"/>
      <c r="L55" s="19"/>
      <c r="M55" s="20"/>
      <c r="N55" s="21"/>
    </row>
    <row r="56" spans="1:14" ht="15.75" customHeight="1">
      <c r="A56" s="179" t="s">
        <v>143</v>
      </c>
      <c r="B56" s="180"/>
      <c r="C56" s="180"/>
      <c r="D56" s="180"/>
      <c r="E56" s="180"/>
      <c r="F56" s="180"/>
      <c r="G56" s="180"/>
      <c r="H56" s="180"/>
      <c r="I56" s="181"/>
      <c r="J56" s="23"/>
      <c r="L56" s="19"/>
      <c r="M56" s="20"/>
      <c r="N56" s="21"/>
    </row>
    <row r="57" spans="1:14" ht="15.75" hidden="1" customHeight="1">
      <c r="A57" s="96"/>
      <c r="B57" s="104" t="s">
        <v>44</v>
      </c>
      <c r="C57" s="98"/>
      <c r="D57" s="97"/>
      <c r="E57" s="99"/>
      <c r="F57" s="100"/>
      <c r="G57" s="100"/>
      <c r="H57" s="105"/>
      <c r="I57" s="106"/>
      <c r="J57" s="23"/>
      <c r="L57" s="19"/>
      <c r="M57" s="20"/>
      <c r="N57" s="21"/>
    </row>
    <row r="58" spans="1:14" ht="31.5" hidden="1" customHeight="1">
      <c r="A58" s="29">
        <v>15</v>
      </c>
      <c r="B58" s="71" t="s">
        <v>116</v>
      </c>
      <c r="C58" s="72" t="s">
        <v>99</v>
      </c>
      <c r="D58" s="71" t="s">
        <v>117</v>
      </c>
      <c r="E58" s="73">
        <v>92.7</v>
      </c>
      <c r="F58" s="74">
        <f>SUM(E58*6/100)</f>
        <v>5.5620000000000003</v>
      </c>
      <c r="G58" s="13">
        <v>2431.1799999999998</v>
      </c>
      <c r="H58" s="78">
        <f>SUM(F58*G58/1000)</f>
        <v>13.522223159999999</v>
      </c>
      <c r="I58" s="13">
        <f>F58/6*G58</f>
        <v>2253.7038600000001</v>
      </c>
      <c r="J58" s="23"/>
      <c r="L58" s="19"/>
      <c r="M58" s="20"/>
      <c r="N58" s="21"/>
    </row>
    <row r="59" spans="1:14" ht="15.75" hidden="1" customHeight="1">
      <c r="A59" s="29"/>
      <c r="B59" s="71" t="s">
        <v>134</v>
      </c>
      <c r="C59" s="72" t="s">
        <v>135</v>
      </c>
      <c r="D59" s="14" t="s">
        <v>69</v>
      </c>
      <c r="E59" s="73"/>
      <c r="F59" s="74">
        <v>2</v>
      </c>
      <c r="G59" s="67">
        <v>1582.05</v>
      </c>
      <c r="H59" s="78">
        <f>SUM(F59*G59/1000)</f>
        <v>3.1640999999999999</v>
      </c>
      <c r="I59" s="13">
        <f>G59*2</f>
        <v>3164.1</v>
      </c>
      <c r="J59" s="23"/>
      <c r="L59" s="19"/>
      <c r="M59" s="20"/>
      <c r="N59" s="21"/>
    </row>
    <row r="60" spans="1:14" ht="15.75" customHeight="1">
      <c r="A60" s="29"/>
      <c r="B60" s="93" t="s">
        <v>45</v>
      </c>
      <c r="C60" s="72"/>
      <c r="D60" s="71"/>
      <c r="E60" s="73"/>
      <c r="F60" s="74"/>
      <c r="G60" s="74"/>
      <c r="H60" s="75" t="s">
        <v>132</v>
      </c>
      <c r="I60" s="79"/>
      <c r="J60" s="23"/>
      <c r="L60" s="19"/>
      <c r="M60" s="20"/>
      <c r="N60" s="21"/>
    </row>
    <row r="61" spans="1:14" ht="15.75" hidden="1" customHeight="1">
      <c r="A61" s="29"/>
      <c r="B61" s="34" t="s">
        <v>46</v>
      </c>
      <c r="C61" s="44" t="s">
        <v>99</v>
      </c>
      <c r="D61" s="34" t="s">
        <v>55</v>
      </c>
      <c r="E61" s="123">
        <v>145</v>
      </c>
      <c r="F61" s="33">
        <f>SUM(E61/100)</f>
        <v>1.45</v>
      </c>
      <c r="G61" s="36">
        <v>1040.8399999999999</v>
      </c>
      <c r="H61" s="124">
        <v>9.1679999999999993</v>
      </c>
      <c r="I61" s="13">
        <v>0</v>
      </c>
      <c r="J61" s="23"/>
      <c r="L61" s="19"/>
      <c r="M61" s="20"/>
      <c r="N61" s="21"/>
    </row>
    <row r="62" spans="1:14" ht="15.75" customHeight="1">
      <c r="A62" s="29">
        <v>15</v>
      </c>
      <c r="B62" s="125" t="s">
        <v>96</v>
      </c>
      <c r="C62" s="126" t="s">
        <v>25</v>
      </c>
      <c r="D62" s="125" t="s">
        <v>30</v>
      </c>
      <c r="E62" s="123">
        <v>200</v>
      </c>
      <c r="F62" s="33">
        <f>SUM(E62*12)</f>
        <v>2400</v>
      </c>
      <c r="G62" s="127">
        <v>1.2</v>
      </c>
      <c r="H62" s="128">
        <f>G62*F62/1000</f>
        <v>2.88</v>
      </c>
      <c r="I62" s="13">
        <f>F62/12*G62</f>
        <v>240</v>
      </c>
      <c r="J62" s="23"/>
      <c r="L62" s="19"/>
      <c r="M62" s="20"/>
      <c r="N62" s="21"/>
    </row>
    <row r="63" spans="1:14" ht="15.75" customHeight="1">
      <c r="A63" s="29"/>
      <c r="B63" s="102" t="s">
        <v>47</v>
      </c>
      <c r="C63" s="84"/>
      <c r="D63" s="83"/>
      <c r="E63" s="81"/>
      <c r="F63" s="85"/>
      <c r="G63" s="85"/>
      <c r="H63" s="86" t="s">
        <v>132</v>
      </c>
      <c r="I63" s="79"/>
      <c r="J63" s="23"/>
      <c r="L63" s="19"/>
      <c r="M63" s="20"/>
      <c r="N63" s="21"/>
    </row>
    <row r="64" spans="1:14" ht="15.75" customHeight="1">
      <c r="A64" s="29">
        <v>16</v>
      </c>
      <c r="B64" s="56" t="s">
        <v>48</v>
      </c>
      <c r="C64" s="40" t="s">
        <v>95</v>
      </c>
      <c r="D64" s="39" t="s">
        <v>69</v>
      </c>
      <c r="E64" s="17">
        <v>6</v>
      </c>
      <c r="F64" s="33">
        <f>SUM(E64)</f>
        <v>6</v>
      </c>
      <c r="G64" s="36">
        <v>291.68</v>
      </c>
      <c r="H64" s="114">
        <f t="shared" ref="H64:H72" si="8">SUM(F64*G64/1000)</f>
        <v>1.7500799999999999</v>
      </c>
      <c r="I64" s="13">
        <f>G64*3</f>
        <v>875.04</v>
      </c>
      <c r="J64" s="23"/>
      <c r="L64" s="19"/>
    </row>
    <row r="65" spans="1:22" ht="15.75" hidden="1" customHeight="1">
      <c r="A65" s="29"/>
      <c r="B65" s="56" t="s">
        <v>49</v>
      </c>
      <c r="C65" s="40" t="s">
        <v>95</v>
      </c>
      <c r="D65" s="39" t="s">
        <v>69</v>
      </c>
      <c r="E65" s="17">
        <v>4</v>
      </c>
      <c r="F65" s="33">
        <f>SUM(E65)</f>
        <v>4</v>
      </c>
      <c r="G65" s="36">
        <v>100.01</v>
      </c>
      <c r="H65" s="114">
        <f t="shared" si="8"/>
        <v>0.40004000000000001</v>
      </c>
      <c r="I65" s="13">
        <v>0</v>
      </c>
      <c r="J65" s="23"/>
      <c r="L65" s="19"/>
    </row>
    <row r="66" spans="1:22" ht="15.75" hidden="1" customHeight="1">
      <c r="A66" s="29"/>
      <c r="B66" s="56" t="s">
        <v>50</v>
      </c>
      <c r="C66" s="42" t="s">
        <v>118</v>
      </c>
      <c r="D66" s="39" t="s">
        <v>55</v>
      </c>
      <c r="E66" s="121">
        <v>15552</v>
      </c>
      <c r="F66" s="37">
        <f>SUM(E66/100)</f>
        <v>155.52000000000001</v>
      </c>
      <c r="G66" s="36">
        <v>278.24</v>
      </c>
      <c r="H66" s="114">
        <f t="shared" si="8"/>
        <v>43.271884800000009</v>
      </c>
      <c r="I66" s="13">
        <v>0</v>
      </c>
    </row>
    <row r="67" spans="1:22" ht="15.75" hidden="1" customHeight="1">
      <c r="A67" s="29"/>
      <c r="B67" s="56" t="s">
        <v>51</v>
      </c>
      <c r="C67" s="40" t="s">
        <v>119</v>
      </c>
      <c r="D67" s="39"/>
      <c r="E67" s="121">
        <v>15552</v>
      </c>
      <c r="F67" s="36">
        <f>SUM(E67/1000)</f>
        <v>15.552</v>
      </c>
      <c r="G67" s="36">
        <v>216.68</v>
      </c>
      <c r="H67" s="114">
        <f t="shared" si="8"/>
        <v>3.3698073600000003</v>
      </c>
      <c r="I67" s="13">
        <v>0</v>
      </c>
    </row>
    <row r="68" spans="1:22" ht="15.75" hidden="1" customHeight="1">
      <c r="A68" s="29"/>
      <c r="B68" s="56" t="s">
        <v>52</v>
      </c>
      <c r="C68" s="40" t="s">
        <v>81</v>
      </c>
      <c r="D68" s="39" t="s">
        <v>55</v>
      </c>
      <c r="E68" s="121">
        <v>2432</v>
      </c>
      <c r="F68" s="36">
        <f>SUM(E68/100)</f>
        <v>24.32</v>
      </c>
      <c r="G68" s="36">
        <v>2720.94</v>
      </c>
      <c r="H68" s="114">
        <f t="shared" si="8"/>
        <v>66.173260800000008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29"/>
      <c r="B69" s="53" t="s">
        <v>75</v>
      </c>
      <c r="C69" s="40" t="s">
        <v>33</v>
      </c>
      <c r="D69" s="39"/>
      <c r="E69" s="121">
        <v>14.8</v>
      </c>
      <c r="F69" s="36">
        <f>SUM(E69)</f>
        <v>14.8</v>
      </c>
      <c r="G69" s="36">
        <v>42.61</v>
      </c>
      <c r="H69" s="114">
        <f t="shared" si="8"/>
        <v>0.63062800000000008</v>
      </c>
      <c r="I69" s="13">
        <v>0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31.5" hidden="1" customHeight="1">
      <c r="A70" s="29"/>
      <c r="B70" s="53" t="s">
        <v>76</v>
      </c>
      <c r="C70" s="40" t="s">
        <v>33</v>
      </c>
      <c r="D70" s="39"/>
      <c r="E70" s="121">
        <f>E69</f>
        <v>14.8</v>
      </c>
      <c r="F70" s="36">
        <f>SUM(E70)</f>
        <v>14.8</v>
      </c>
      <c r="G70" s="36">
        <v>46.04</v>
      </c>
      <c r="H70" s="114">
        <f t="shared" si="8"/>
        <v>0.681392</v>
      </c>
      <c r="I70" s="13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hidden="1" customHeight="1">
      <c r="A71" s="29">
        <v>22</v>
      </c>
      <c r="B71" s="39" t="s">
        <v>59</v>
      </c>
      <c r="C71" s="40" t="s">
        <v>60</v>
      </c>
      <c r="D71" s="39" t="s">
        <v>55</v>
      </c>
      <c r="E71" s="17">
        <v>5</v>
      </c>
      <c r="F71" s="33">
        <f>SUM(E71)</f>
        <v>5</v>
      </c>
      <c r="G71" s="36">
        <v>65.42</v>
      </c>
      <c r="H71" s="114">
        <f t="shared" si="8"/>
        <v>0.3271</v>
      </c>
      <c r="I71" s="13">
        <f>G71*4</f>
        <v>261.68</v>
      </c>
      <c r="J71" s="5"/>
      <c r="K71" s="5"/>
      <c r="L71" s="5"/>
      <c r="M71" s="5"/>
      <c r="N71" s="5"/>
      <c r="O71" s="5"/>
      <c r="P71" s="5"/>
      <c r="Q71" s="5"/>
      <c r="R71" s="187"/>
      <c r="S71" s="187"/>
      <c r="T71" s="187"/>
      <c r="U71" s="187"/>
    </row>
    <row r="72" spans="1:22" ht="15.75" customHeight="1">
      <c r="A72" s="29">
        <v>17</v>
      </c>
      <c r="B72" s="39" t="s">
        <v>160</v>
      </c>
      <c r="C72" s="45" t="s">
        <v>161</v>
      </c>
      <c r="D72" s="39" t="s">
        <v>69</v>
      </c>
      <c r="E72" s="17">
        <f>E51</f>
        <v>3053.4</v>
      </c>
      <c r="F72" s="33">
        <f>SUM(E72*12)</f>
        <v>36640.800000000003</v>
      </c>
      <c r="G72" s="36">
        <v>2.2799999999999998</v>
      </c>
      <c r="H72" s="114">
        <f t="shared" si="8"/>
        <v>83.541024000000007</v>
      </c>
      <c r="I72" s="13">
        <f>F72/12*G72</f>
        <v>6961.7519999999995</v>
      </c>
      <c r="J72" s="5"/>
      <c r="K72" s="5"/>
      <c r="L72" s="5"/>
      <c r="M72" s="5"/>
      <c r="N72" s="5"/>
      <c r="O72" s="5"/>
      <c r="P72" s="5"/>
      <c r="Q72" s="5"/>
      <c r="R72" s="151"/>
      <c r="S72" s="151"/>
      <c r="T72" s="151"/>
      <c r="U72" s="151"/>
    </row>
    <row r="73" spans="1:22" ht="15.75" customHeight="1">
      <c r="A73" s="29"/>
      <c r="B73" s="148" t="s">
        <v>77</v>
      </c>
      <c r="C73" s="16"/>
      <c r="D73" s="14"/>
      <c r="E73" s="18"/>
      <c r="F73" s="13"/>
      <c r="G73" s="13"/>
      <c r="H73" s="87" t="s">
        <v>132</v>
      </c>
      <c r="I73" s="79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2" ht="15.75" hidden="1" customHeight="1">
      <c r="A74" s="29">
        <v>19</v>
      </c>
      <c r="B74" s="39" t="s">
        <v>162</v>
      </c>
      <c r="C74" s="40" t="s">
        <v>163</v>
      </c>
      <c r="D74" s="39" t="s">
        <v>69</v>
      </c>
      <c r="E74" s="17">
        <v>1</v>
      </c>
      <c r="F74" s="36">
        <f>E74</f>
        <v>1</v>
      </c>
      <c r="G74" s="36">
        <v>1029.1199999999999</v>
      </c>
      <c r="H74" s="113">
        <f t="shared" ref="H74:H75" si="9">SUM(F74*G74/1000)</f>
        <v>1.0291199999999998</v>
      </c>
      <c r="I74" s="13">
        <v>0</v>
      </c>
    </row>
    <row r="75" spans="1:22" ht="15.75" hidden="1" customHeight="1">
      <c r="A75" s="29"/>
      <c r="B75" s="39" t="s">
        <v>164</v>
      </c>
      <c r="C75" s="40" t="s">
        <v>165</v>
      </c>
      <c r="D75" s="129"/>
      <c r="E75" s="17">
        <v>1</v>
      </c>
      <c r="F75" s="36">
        <v>1</v>
      </c>
      <c r="G75" s="36">
        <v>735</v>
      </c>
      <c r="H75" s="113">
        <f t="shared" si="9"/>
        <v>0.73499999999999999</v>
      </c>
      <c r="I75" s="13">
        <v>0</v>
      </c>
    </row>
    <row r="76" spans="1:22" ht="15.75" customHeight="1">
      <c r="A76" s="29">
        <v>18</v>
      </c>
      <c r="B76" s="39" t="s">
        <v>78</v>
      </c>
      <c r="C76" s="40" t="s">
        <v>79</v>
      </c>
      <c r="D76" s="39" t="s">
        <v>69</v>
      </c>
      <c r="E76" s="17">
        <v>5</v>
      </c>
      <c r="F76" s="33">
        <f>SUM(E76/10)</f>
        <v>0.5</v>
      </c>
      <c r="G76" s="36">
        <v>657.87</v>
      </c>
      <c r="H76" s="113">
        <f>SUM(F76*G76/1000)</f>
        <v>0.32893499999999998</v>
      </c>
      <c r="I76" s="13">
        <f>G76*0.4</f>
        <v>263.14800000000002</v>
      </c>
    </row>
    <row r="77" spans="1:22" ht="15.75" hidden="1" customHeight="1">
      <c r="A77" s="29"/>
      <c r="B77" s="39" t="s">
        <v>130</v>
      </c>
      <c r="C77" s="40" t="s">
        <v>95</v>
      </c>
      <c r="D77" s="39" t="s">
        <v>69</v>
      </c>
      <c r="E77" s="17">
        <v>1</v>
      </c>
      <c r="F77" s="36">
        <f>E77</f>
        <v>1</v>
      </c>
      <c r="G77" s="36">
        <v>1118.72</v>
      </c>
      <c r="H77" s="113">
        <f>SUM(F77*G77/1000)</f>
        <v>1.1187199999999999</v>
      </c>
      <c r="I77" s="13">
        <v>0</v>
      </c>
    </row>
    <row r="78" spans="1:22" ht="15.75" customHeight="1">
      <c r="A78" s="29">
        <v>19</v>
      </c>
      <c r="B78" s="115" t="s">
        <v>166</v>
      </c>
      <c r="C78" s="116" t="s">
        <v>95</v>
      </c>
      <c r="D78" s="39" t="s">
        <v>69</v>
      </c>
      <c r="E78" s="17">
        <v>2</v>
      </c>
      <c r="F78" s="33">
        <f>E78*12</f>
        <v>24</v>
      </c>
      <c r="G78" s="36">
        <v>53.42</v>
      </c>
      <c r="H78" s="113">
        <f t="shared" ref="H78:H79" si="10">SUM(F78*G78/1000)</f>
        <v>1.2820799999999999</v>
      </c>
      <c r="I78" s="13">
        <f>G78*2</f>
        <v>106.84</v>
      </c>
    </row>
    <row r="79" spans="1:22" ht="31.5" customHeight="1">
      <c r="A79" s="29">
        <v>20</v>
      </c>
      <c r="B79" s="115" t="s">
        <v>167</v>
      </c>
      <c r="C79" s="116" t="s">
        <v>95</v>
      </c>
      <c r="D79" s="39" t="s">
        <v>30</v>
      </c>
      <c r="E79" s="17">
        <v>1</v>
      </c>
      <c r="F79" s="33">
        <f>E79*12</f>
        <v>12</v>
      </c>
      <c r="G79" s="36">
        <v>1194</v>
      </c>
      <c r="H79" s="113">
        <f t="shared" si="10"/>
        <v>14.327999999999999</v>
      </c>
      <c r="I79" s="13">
        <f>G79</f>
        <v>1194</v>
      </c>
    </row>
    <row r="80" spans="1:22" ht="15.75" hidden="1" customHeight="1">
      <c r="A80" s="29"/>
      <c r="B80" s="90" t="s">
        <v>80</v>
      </c>
      <c r="C80" s="16"/>
      <c r="D80" s="14"/>
      <c r="E80" s="18"/>
      <c r="F80" s="18"/>
      <c r="G80" s="18"/>
      <c r="H80" s="18"/>
      <c r="I80" s="79"/>
    </row>
    <row r="81" spans="1:9" ht="15.75" hidden="1" customHeight="1">
      <c r="A81" s="29"/>
      <c r="B81" s="41" t="s">
        <v>122</v>
      </c>
      <c r="C81" s="42" t="s">
        <v>81</v>
      </c>
      <c r="D81" s="56"/>
      <c r="E81" s="59"/>
      <c r="F81" s="37">
        <v>0.3</v>
      </c>
      <c r="G81" s="37">
        <v>3619.09</v>
      </c>
      <c r="H81" s="114">
        <f t="shared" ref="H81" si="11">SUM(F81*G81/1000)</f>
        <v>1.0857270000000001</v>
      </c>
      <c r="I81" s="13">
        <v>0</v>
      </c>
    </row>
    <row r="82" spans="1:9" ht="15.75" hidden="1" customHeight="1">
      <c r="A82" s="29"/>
      <c r="B82" s="148" t="s">
        <v>120</v>
      </c>
      <c r="C82" s="90"/>
      <c r="D82" s="31"/>
      <c r="E82" s="32"/>
      <c r="F82" s="91"/>
      <c r="G82" s="91"/>
      <c r="H82" s="92">
        <f>SUM(H58:H81)</f>
        <v>248.78712212000002</v>
      </c>
      <c r="I82" s="77"/>
    </row>
    <row r="83" spans="1:9" ht="15.75" hidden="1" customHeight="1">
      <c r="A83" s="94"/>
      <c r="B83" s="34" t="s">
        <v>121</v>
      </c>
      <c r="C83" s="130"/>
      <c r="D83" s="131"/>
      <c r="E83" s="132"/>
      <c r="F83" s="38">
        <f>232/10</f>
        <v>23.2</v>
      </c>
      <c r="G83" s="38">
        <v>12361.2</v>
      </c>
      <c r="H83" s="114">
        <f>G83*F83/1000</f>
        <v>286.77984000000004</v>
      </c>
      <c r="I83" s="95">
        <v>0</v>
      </c>
    </row>
    <row r="84" spans="1:9" ht="15.75" customHeight="1">
      <c r="A84" s="179" t="s">
        <v>144</v>
      </c>
      <c r="B84" s="180"/>
      <c r="C84" s="180"/>
      <c r="D84" s="180"/>
      <c r="E84" s="180"/>
      <c r="F84" s="180"/>
      <c r="G84" s="180"/>
      <c r="H84" s="180"/>
      <c r="I84" s="181"/>
    </row>
    <row r="85" spans="1:9" ht="15.75" customHeight="1">
      <c r="A85" s="96">
        <v>21</v>
      </c>
      <c r="B85" s="34" t="s">
        <v>123</v>
      </c>
      <c r="C85" s="40" t="s">
        <v>56</v>
      </c>
      <c r="D85" s="103" t="s">
        <v>57</v>
      </c>
      <c r="E85" s="36">
        <v>3053.4</v>
      </c>
      <c r="F85" s="36">
        <f>SUM(E85*12)</f>
        <v>36640.800000000003</v>
      </c>
      <c r="G85" s="36">
        <v>3.1</v>
      </c>
      <c r="H85" s="114">
        <f>SUM(F85*G85/1000)</f>
        <v>113.58648000000001</v>
      </c>
      <c r="I85" s="101">
        <f>F85/12*G85</f>
        <v>9465.5400000000009</v>
      </c>
    </row>
    <row r="86" spans="1:9" ht="31.5" customHeight="1">
      <c r="A86" s="29">
        <v>22</v>
      </c>
      <c r="B86" s="39" t="s">
        <v>82</v>
      </c>
      <c r="C86" s="40"/>
      <c r="D86" s="103" t="s">
        <v>57</v>
      </c>
      <c r="E86" s="121">
        <v>3053.4</v>
      </c>
      <c r="F86" s="36">
        <f>E86*12</f>
        <v>36640.800000000003</v>
      </c>
      <c r="G86" s="36">
        <v>3.5</v>
      </c>
      <c r="H86" s="114">
        <f>F86*G86/1000</f>
        <v>128.24280000000002</v>
      </c>
      <c r="I86" s="13">
        <f>F86/12*G86</f>
        <v>10686.9</v>
      </c>
    </row>
    <row r="87" spans="1:9" ht="15.75" customHeight="1">
      <c r="A87" s="29"/>
      <c r="B87" s="43" t="s">
        <v>85</v>
      </c>
      <c r="C87" s="90"/>
      <c r="D87" s="88"/>
      <c r="E87" s="91"/>
      <c r="F87" s="91"/>
      <c r="G87" s="91"/>
      <c r="H87" s="92">
        <f>SUM(H86)</f>
        <v>128.24280000000002</v>
      </c>
      <c r="I87" s="91">
        <f>I86+I85+I79+I78+I76+I72+I64+I62+I44+I43+I42+I40+I39+I38+I27+I26+I18+I17+I16</f>
        <v>59607.829224000008</v>
      </c>
    </row>
    <row r="88" spans="1:9" ht="15.75" customHeight="1">
      <c r="A88" s="188" t="s">
        <v>62</v>
      </c>
      <c r="B88" s="189"/>
      <c r="C88" s="189"/>
      <c r="D88" s="189"/>
      <c r="E88" s="189"/>
      <c r="F88" s="189"/>
      <c r="G88" s="189"/>
      <c r="H88" s="189"/>
      <c r="I88" s="190"/>
    </row>
    <row r="89" spans="1:9" ht="15.75" customHeight="1">
      <c r="A89" s="29" t="s">
        <v>229</v>
      </c>
      <c r="B89" s="57" t="s">
        <v>103</v>
      </c>
      <c r="C89" s="58" t="s">
        <v>95</v>
      </c>
      <c r="D89" s="52"/>
      <c r="E89" s="13"/>
      <c r="F89" s="13">
        <v>128</v>
      </c>
      <c r="G89" s="13">
        <v>55.55</v>
      </c>
      <c r="H89" s="89">
        <f t="shared" ref="H89" si="12">G89*F89/1000</f>
        <v>7.1103999999999994</v>
      </c>
      <c r="I89" s="13">
        <f>G89*64</f>
        <v>3555.2</v>
      </c>
    </row>
    <row r="90" spans="1:9" ht="31.5" customHeight="1">
      <c r="A90" s="29">
        <v>24</v>
      </c>
      <c r="B90" s="57" t="s">
        <v>93</v>
      </c>
      <c r="C90" s="58" t="s">
        <v>104</v>
      </c>
      <c r="D90" s="117"/>
      <c r="E90" s="36"/>
      <c r="F90" s="36">
        <v>4</v>
      </c>
      <c r="G90" s="36">
        <v>613.44000000000005</v>
      </c>
      <c r="H90" s="114">
        <f>F90*G90/1000</f>
        <v>2.4537600000000004</v>
      </c>
      <c r="I90" s="13">
        <f>G90*2</f>
        <v>1226.8800000000001</v>
      </c>
    </row>
    <row r="91" spans="1:9" ht="31.5" customHeight="1">
      <c r="A91" s="29">
        <v>25</v>
      </c>
      <c r="B91" s="57" t="s">
        <v>180</v>
      </c>
      <c r="C91" s="58" t="s">
        <v>104</v>
      </c>
      <c r="D91" s="117"/>
      <c r="E91" s="36"/>
      <c r="F91" s="36">
        <v>1</v>
      </c>
      <c r="G91" s="36">
        <v>835.68</v>
      </c>
      <c r="H91" s="114">
        <f>F91*G91/1000</f>
        <v>0.83567999999999998</v>
      </c>
      <c r="I91" s="13">
        <f>G91</f>
        <v>835.68</v>
      </c>
    </row>
    <row r="92" spans="1:9" ht="15.75" customHeight="1">
      <c r="A92" s="29">
        <v>26</v>
      </c>
      <c r="B92" s="57" t="s">
        <v>181</v>
      </c>
      <c r="C92" s="58" t="s">
        <v>104</v>
      </c>
      <c r="D92" s="117"/>
      <c r="E92" s="36"/>
      <c r="F92" s="36">
        <v>1</v>
      </c>
      <c r="G92" s="36">
        <v>214.8</v>
      </c>
      <c r="H92" s="114">
        <f>F92*G92/1000</f>
        <v>0.21480000000000002</v>
      </c>
      <c r="I92" s="13">
        <f t="shared" ref="I92:I95" si="13">G92</f>
        <v>214.8</v>
      </c>
    </row>
    <row r="93" spans="1:9" ht="15.75" customHeight="1">
      <c r="A93" s="29">
        <v>27</v>
      </c>
      <c r="B93" s="57" t="s">
        <v>86</v>
      </c>
      <c r="C93" s="58" t="s">
        <v>95</v>
      </c>
      <c r="D93" s="117"/>
      <c r="E93" s="36"/>
      <c r="F93" s="36">
        <v>1</v>
      </c>
      <c r="G93" s="36">
        <v>197.48</v>
      </c>
      <c r="H93" s="114">
        <f>F93*G93/1000</f>
        <v>0.19747999999999999</v>
      </c>
      <c r="I93" s="13">
        <f t="shared" si="13"/>
        <v>197.48</v>
      </c>
    </row>
    <row r="94" spans="1:9" ht="31.5" customHeight="1">
      <c r="A94" s="29">
        <v>28</v>
      </c>
      <c r="B94" s="57" t="s">
        <v>87</v>
      </c>
      <c r="C94" s="58" t="s">
        <v>39</v>
      </c>
      <c r="D94" s="117"/>
      <c r="E94" s="36"/>
      <c r="F94" s="36">
        <v>0.01</v>
      </c>
      <c r="G94" s="36">
        <v>3724.37</v>
      </c>
      <c r="H94" s="114">
        <f t="shared" ref="H94" si="14">F94*G94/1000</f>
        <v>3.7243699999999998E-2</v>
      </c>
      <c r="I94" s="13">
        <f>G94*0.01</f>
        <v>37.243699999999997</v>
      </c>
    </row>
    <row r="95" spans="1:9" ht="31.5" customHeight="1">
      <c r="A95" s="29">
        <v>29</v>
      </c>
      <c r="B95" s="57" t="s">
        <v>84</v>
      </c>
      <c r="C95" s="58" t="s">
        <v>95</v>
      </c>
      <c r="D95" s="52"/>
      <c r="E95" s="13"/>
      <c r="F95" s="13">
        <v>1</v>
      </c>
      <c r="G95" s="13">
        <v>86.69</v>
      </c>
      <c r="H95" s="89">
        <f>F95*G95/1000</f>
        <v>8.6690000000000003E-2</v>
      </c>
      <c r="I95" s="13">
        <f t="shared" si="13"/>
        <v>86.69</v>
      </c>
    </row>
    <row r="96" spans="1:9" ht="15.75" customHeight="1">
      <c r="A96" s="29"/>
      <c r="B96" s="50" t="s">
        <v>53</v>
      </c>
      <c r="C96" s="46"/>
      <c r="D96" s="54"/>
      <c r="E96" s="46">
        <v>1</v>
      </c>
      <c r="F96" s="46"/>
      <c r="G96" s="46"/>
      <c r="H96" s="46"/>
      <c r="I96" s="32">
        <f>SUM(I90:I95)</f>
        <v>2598.7737000000002</v>
      </c>
    </row>
    <row r="97" spans="1:9" ht="15.75" customHeight="1">
      <c r="A97" s="29"/>
      <c r="B97" s="52" t="s">
        <v>83</v>
      </c>
      <c r="C97" s="15"/>
      <c r="D97" s="15"/>
      <c r="E97" s="47"/>
      <c r="F97" s="47"/>
      <c r="G97" s="48"/>
      <c r="H97" s="48"/>
      <c r="I97" s="17">
        <v>0</v>
      </c>
    </row>
    <row r="98" spans="1:9" ht="15.75" customHeight="1">
      <c r="A98" s="55"/>
      <c r="B98" s="51" t="s">
        <v>151</v>
      </c>
      <c r="C98" s="35"/>
      <c r="D98" s="35"/>
      <c r="E98" s="35"/>
      <c r="F98" s="35"/>
      <c r="G98" s="35"/>
      <c r="H98" s="35"/>
      <c r="I98" s="49">
        <f>I87+I96</f>
        <v>62206.602924000006</v>
      </c>
    </row>
    <row r="99" spans="1:9" ht="15.75" customHeight="1">
      <c r="A99" s="199" t="s">
        <v>196</v>
      </c>
      <c r="B99" s="200"/>
      <c r="C99" s="200"/>
      <c r="D99" s="200"/>
      <c r="E99" s="200"/>
      <c r="F99" s="200"/>
      <c r="G99" s="200"/>
      <c r="H99" s="200"/>
      <c r="I99" s="200"/>
    </row>
    <row r="100" spans="1:9" ht="15.75">
      <c r="A100" s="191" t="s">
        <v>231</v>
      </c>
      <c r="B100" s="191"/>
      <c r="C100" s="191"/>
      <c r="D100" s="191"/>
      <c r="E100" s="191"/>
      <c r="F100" s="191"/>
      <c r="G100" s="191"/>
      <c r="H100" s="191"/>
      <c r="I100" s="191"/>
    </row>
    <row r="101" spans="1:9" ht="15.75">
      <c r="A101" s="62"/>
      <c r="B101" s="192" t="s">
        <v>232</v>
      </c>
      <c r="C101" s="192"/>
      <c r="D101" s="192"/>
      <c r="E101" s="192"/>
      <c r="F101" s="192"/>
      <c r="G101" s="192"/>
      <c r="H101" s="70"/>
      <c r="I101" s="3"/>
    </row>
    <row r="102" spans="1:9">
      <c r="A102" s="151"/>
      <c r="B102" s="193" t="s">
        <v>6</v>
      </c>
      <c r="C102" s="193"/>
      <c r="D102" s="193"/>
      <c r="E102" s="193"/>
      <c r="F102" s="193"/>
      <c r="G102" s="193"/>
      <c r="H102" s="24"/>
      <c r="I102" s="5"/>
    </row>
    <row r="103" spans="1:9" ht="15.75" customHeight="1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 customHeight="1">
      <c r="A104" s="194" t="s">
        <v>7</v>
      </c>
      <c r="B104" s="194"/>
      <c r="C104" s="194"/>
      <c r="D104" s="194"/>
      <c r="E104" s="194"/>
      <c r="F104" s="194"/>
      <c r="G104" s="194"/>
      <c r="H104" s="194"/>
      <c r="I104" s="194"/>
    </row>
    <row r="105" spans="1:9" ht="15.75" customHeight="1">
      <c r="A105" s="194" t="s">
        <v>8</v>
      </c>
      <c r="B105" s="194"/>
      <c r="C105" s="194"/>
      <c r="D105" s="194"/>
      <c r="E105" s="194"/>
      <c r="F105" s="194"/>
      <c r="G105" s="194"/>
      <c r="H105" s="194"/>
      <c r="I105" s="194"/>
    </row>
    <row r="106" spans="1:9" ht="15.75" customHeight="1">
      <c r="A106" s="195" t="s">
        <v>63</v>
      </c>
      <c r="B106" s="195"/>
      <c r="C106" s="195"/>
      <c r="D106" s="195"/>
      <c r="E106" s="195"/>
      <c r="F106" s="195"/>
      <c r="G106" s="195"/>
      <c r="H106" s="195"/>
      <c r="I106" s="195"/>
    </row>
    <row r="107" spans="1:9" ht="15.75" customHeight="1">
      <c r="A107" s="11"/>
    </row>
    <row r="108" spans="1:9" ht="15.75" customHeight="1">
      <c r="A108" s="196" t="s">
        <v>9</v>
      </c>
      <c r="B108" s="196"/>
      <c r="C108" s="196"/>
      <c r="D108" s="196"/>
      <c r="E108" s="196"/>
      <c r="F108" s="196"/>
      <c r="G108" s="196"/>
      <c r="H108" s="196"/>
      <c r="I108" s="196"/>
    </row>
    <row r="109" spans="1:9" ht="15.75" customHeight="1">
      <c r="A109" s="4"/>
    </row>
    <row r="110" spans="1:9" ht="15.75" customHeight="1">
      <c r="B110" s="150" t="s">
        <v>10</v>
      </c>
      <c r="C110" s="197" t="s">
        <v>94</v>
      </c>
      <c r="D110" s="197"/>
      <c r="E110" s="197"/>
      <c r="F110" s="68"/>
      <c r="I110" s="153"/>
    </row>
    <row r="111" spans="1:9" ht="15.75" customHeight="1">
      <c r="A111" s="151"/>
      <c r="C111" s="193" t="s">
        <v>11</v>
      </c>
      <c r="D111" s="193"/>
      <c r="E111" s="193"/>
      <c r="F111" s="24"/>
      <c r="I111" s="152" t="s">
        <v>12</v>
      </c>
    </row>
    <row r="112" spans="1:9" ht="15.75" customHeight="1">
      <c r="A112" s="25"/>
      <c r="C112" s="12"/>
      <c r="D112" s="12"/>
      <c r="G112" s="12"/>
      <c r="H112" s="12"/>
    </row>
    <row r="113" spans="1:9" ht="15.75" customHeight="1">
      <c r="B113" s="150" t="s">
        <v>13</v>
      </c>
      <c r="C113" s="198"/>
      <c r="D113" s="198"/>
      <c r="E113" s="198"/>
      <c r="F113" s="69"/>
      <c r="I113" s="153"/>
    </row>
    <row r="114" spans="1:9" ht="15.75" customHeight="1">
      <c r="A114" s="151"/>
      <c r="C114" s="187" t="s">
        <v>11</v>
      </c>
      <c r="D114" s="187"/>
      <c r="E114" s="187"/>
      <c r="F114" s="151"/>
      <c r="I114" s="152" t="s">
        <v>12</v>
      </c>
    </row>
    <row r="115" spans="1:9" ht="15.75" customHeight="1">
      <c r="A115" s="4" t="s">
        <v>14</v>
      </c>
    </row>
    <row r="116" spans="1:9">
      <c r="A116" s="201" t="s">
        <v>15</v>
      </c>
      <c r="B116" s="201"/>
      <c r="C116" s="201"/>
      <c r="D116" s="201"/>
      <c r="E116" s="201"/>
      <c r="F116" s="201"/>
      <c r="G116" s="201"/>
      <c r="H116" s="201"/>
      <c r="I116" s="201"/>
    </row>
    <row r="117" spans="1:9" ht="45" customHeight="1">
      <c r="A117" s="202" t="s">
        <v>16</v>
      </c>
      <c r="B117" s="202"/>
      <c r="C117" s="202"/>
      <c r="D117" s="202"/>
      <c r="E117" s="202"/>
      <c r="F117" s="202"/>
      <c r="G117" s="202"/>
      <c r="H117" s="202"/>
      <c r="I117" s="202"/>
    </row>
    <row r="118" spans="1:9" ht="30" customHeight="1">
      <c r="A118" s="202" t="s">
        <v>17</v>
      </c>
      <c r="B118" s="202"/>
      <c r="C118" s="202"/>
      <c r="D118" s="202"/>
      <c r="E118" s="202"/>
      <c r="F118" s="202"/>
      <c r="G118" s="202"/>
      <c r="H118" s="202"/>
      <c r="I118" s="202"/>
    </row>
    <row r="119" spans="1:9" ht="30" customHeight="1">
      <c r="A119" s="202" t="s">
        <v>21</v>
      </c>
      <c r="B119" s="202"/>
      <c r="C119" s="202"/>
      <c r="D119" s="202"/>
      <c r="E119" s="202"/>
      <c r="F119" s="202"/>
      <c r="G119" s="202"/>
      <c r="H119" s="202"/>
      <c r="I119" s="202"/>
    </row>
    <row r="120" spans="1:9" ht="15" customHeight="1">
      <c r="A120" s="202" t="s">
        <v>20</v>
      </c>
      <c r="B120" s="202"/>
      <c r="C120" s="202"/>
      <c r="D120" s="202"/>
      <c r="E120" s="202"/>
      <c r="F120" s="202"/>
      <c r="G120" s="202"/>
      <c r="H120" s="202"/>
      <c r="I120" s="202"/>
    </row>
  </sheetData>
  <autoFilter ref="I12:I66"/>
  <mergeCells count="30">
    <mergeCell ref="A14:I14"/>
    <mergeCell ref="A15:I15"/>
    <mergeCell ref="A28:I28"/>
    <mergeCell ref="A45:I45"/>
    <mergeCell ref="A56:I56"/>
    <mergeCell ref="A3:I3"/>
    <mergeCell ref="A4:I4"/>
    <mergeCell ref="A5:I5"/>
    <mergeCell ref="A8:I8"/>
    <mergeCell ref="A10:I10"/>
    <mergeCell ref="R71:U71"/>
    <mergeCell ref="C114:E114"/>
    <mergeCell ref="A88:I88"/>
    <mergeCell ref="A100:I100"/>
    <mergeCell ref="B101:G101"/>
    <mergeCell ref="B102:G102"/>
    <mergeCell ref="A104:I104"/>
    <mergeCell ref="A105:I105"/>
    <mergeCell ref="A106:I106"/>
    <mergeCell ref="A108:I108"/>
    <mergeCell ref="C110:E110"/>
    <mergeCell ref="C111:E111"/>
    <mergeCell ref="C113:E113"/>
    <mergeCell ref="A84:I84"/>
    <mergeCell ref="A99:I99"/>
    <mergeCell ref="A116:I116"/>
    <mergeCell ref="A117:I117"/>
    <mergeCell ref="A118:I118"/>
    <mergeCell ref="A119:I119"/>
    <mergeCell ref="A120:I12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rowBreaks count="1" manualBreakCount="1">
    <brk id="107" max="8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119"/>
  <sheetViews>
    <sheetView workbookViewId="0">
      <selection activeCell="I58" sqref="I58"/>
    </sheetView>
  </sheetViews>
  <sheetFormatPr defaultRowHeight="15"/>
  <cols>
    <col min="2" max="2" width="51.5703125" customWidth="1"/>
    <col min="3" max="3" width="18.28515625" customWidth="1"/>
    <col min="4" max="4" width="18.42578125" customWidth="1"/>
    <col min="5" max="6" width="0" hidden="1" customWidth="1"/>
    <col min="7" max="7" width="18.42578125" customWidth="1"/>
    <col min="8" max="8" width="0" hidden="1" customWidth="1"/>
    <col min="9" max="9" width="18" customWidth="1"/>
  </cols>
  <sheetData>
    <row r="1" spans="1:9" ht="15.75">
      <c r="A1" s="27" t="s">
        <v>89</v>
      </c>
      <c r="I1" s="26"/>
    </row>
    <row r="2" spans="1:9" ht="15.75">
      <c r="A2" s="28" t="s">
        <v>64</v>
      </c>
    </row>
    <row r="3" spans="1:9" ht="15.75">
      <c r="A3" s="182" t="s">
        <v>190</v>
      </c>
      <c r="B3" s="182"/>
      <c r="C3" s="182"/>
      <c r="D3" s="182"/>
      <c r="E3" s="182"/>
      <c r="F3" s="182"/>
      <c r="G3" s="182"/>
      <c r="H3" s="182"/>
      <c r="I3" s="182"/>
    </row>
    <row r="4" spans="1:9" ht="33.75" customHeight="1">
      <c r="A4" s="183" t="s">
        <v>124</v>
      </c>
      <c r="B4" s="183"/>
      <c r="C4" s="183"/>
      <c r="D4" s="183"/>
      <c r="E4" s="183"/>
      <c r="F4" s="183"/>
      <c r="G4" s="183"/>
      <c r="H4" s="183"/>
      <c r="I4" s="183"/>
    </row>
    <row r="5" spans="1:9" ht="15.75">
      <c r="A5" s="182" t="s">
        <v>191</v>
      </c>
      <c r="B5" s="184"/>
      <c r="C5" s="184"/>
      <c r="D5" s="184"/>
      <c r="E5" s="184"/>
      <c r="F5" s="184"/>
      <c r="G5" s="184"/>
      <c r="H5" s="184"/>
      <c r="I5" s="184"/>
    </row>
    <row r="6" spans="1:9" ht="15.75">
      <c r="A6" s="2"/>
      <c r="B6" s="158"/>
      <c r="C6" s="158"/>
      <c r="D6" s="158"/>
      <c r="E6" s="158"/>
      <c r="F6" s="158"/>
      <c r="G6" s="158"/>
      <c r="H6" s="158"/>
      <c r="I6" s="30">
        <v>43220</v>
      </c>
    </row>
    <row r="7" spans="1:9" ht="15.75">
      <c r="B7" s="154"/>
      <c r="C7" s="154"/>
      <c r="D7" s="154"/>
      <c r="E7" s="3"/>
      <c r="F7" s="3"/>
      <c r="G7" s="3"/>
      <c r="H7" s="3"/>
    </row>
    <row r="8" spans="1:9" ht="90" customHeight="1">
      <c r="A8" s="185" t="s">
        <v>152</v>
      </c>
      <c r="B8" s="185"/>
      <c r="C8" s="185"/>
      <c r="D8" s="185"/>
      <c r="E8" s="185"/>
      <c r="F8" s="185"/>
      <c r="G8" s="185"/>
      <c r="H8" s="185"/>
      <c r="I8" s="185"/>
    </row>
    <row r="9" spans="1:9" ht="15.75">
      <c r="A9" s="4"/>
    </row>
    <row r="10" spans="1:9" ht="15.75">
      <c r="A10" s="186" t="s">
        <v>173</v>
      </c>
      <c r="B10" s="186"/>
      <c r="C10" s="186"/>
      <c r="D10" s="186"/>
      <c r="E10" s="186"/>
      <c r="F10" s="186"/>
      <c r="G10" s="186"/>
      <c r="H10" s="186"/>
      <c r="I10" s="186"/>
    </row>
    <row r="11" spans="1:9" ht="15.75">
      <c r="A11" s="4"/>
    </row>
    <row r="12" spans="1:9" ht="53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177" t="s">
        <v>61</v>
      </c>
      <c r="B14" s="177"/>
      <c r="C14" s="177"/>
      <c r="D14" s="177"/>
      <c r="E14" s="177"/>
      <c r="F14" s="177"/>
      <c r="G14" s="177"/>
      <c r="H14" s="177"/>
      <c r="I14" s="177"/>
    </row>
    <row r="15" spans="1:9">
      <c r="A15" s="178" t="s">
        <v>4</v>
      </c>
      <c r="B15" s="178"/>
      <c r="C15" s="178"/>
      <c r="D15" s="178"/>
      <c r="E15" s="178"/>
      <c r="F15" s="178"/>
      <c r="G15" s="178"/>
      <c r="H15" s="178"/>
      <c r="I15" s="178"/>
    </row>
    <row r="16" spans="1:9">
      <c r="A16" s="29">
        <v>1</v>
      </c>
      <c r="B16" s="71" t="s">
        <v>90</v>
      </c>
      <c r="C16" s="72" t="s">
        <v>99</v>
      </c>
      <c r="D16" s="71" t="s">
        <v>125</v>
      </c>
      <c r="E16" s="73">
        <v>92.5</v>
      </c>
      <c r="F16" s="74">
        <f>SUM(E16*156/100)</f>
        <v>144.30000000000001</v>
      </c>
      <c r="G16" s="74">
        <v>230</v>
      </c>
      <c r="H16" s="78">
        <f t="shared" ref="H16:H27" si="0">SUM(F16*G16/1000)</f>
        <v>33.189</v>
      </c>
      <c r="I16" s="13">
        <f>F16/12*G16</f>
        <v>2765.75</v>
      </c>
    </row>
    <row r="17" spans="1:9">
      <c r="A17" s="29">
        <v>2</v>
      </c>
      <c r="B17" s="71" t="s">
        <v>91</v>
      </c>
      <c r="C17" s="72" t="s">
        <v>99</v>
      </c>
      <c r="D17" s="71" t="s">
        <v>126</v>
      </c>
      <c r="E17" s="73">
        <v>288.8</v>
      </c>
      <c r="F17" s="74">
        <f>SUM(E17*104/100)</f>
        <v>300.35200000000003</v>
      </c>
      <c r="G17" s="74">
        <v>230</v>
      </c>
      <c r="H17" s="78">
        <f t="shared" si="0"/>
        <v>69.080960000000005</v>
      </c>
      <c r="I17" s="13">
        <f>F17/12*G17</f>
        <v>5756.7466666666678</v>
      </c>
    </row>
    <row r="18" spans="1:9">
      <c r="A18" s="29">
        <v>3</v>
      </c>
      <c r="B18" s="71" t="s">
        <v>92</v>
      </c>
      <c r="C18" s="72" t="s">
        <v>99</v>
      </c>
      <c r="D18" s="71" t="s">
        <v>149</v>
      </c>
      <c r="E18" s="73">
        <f>SUM(E16+E17)</f>
        <v>381.3</v>
      </c>
      <c r="F18" s="74">
        <f>SUM(E18*12/100)</f>
        <v>45.756</v>
      </c>
      <c r="G18" s="74">
        <v>661.67</v>
      </c>
      <c r="H18" s="78">
        <f t="shared" si="0"/>
        <v>30.275372519999998</v>
      </c>
      <c r="I18" s="13">
        <f>F18/12*G18</f>
        <v>2522.9477099999999</v>
      </c>
    </row>
    <row r="19" spans="1:9" hidden="1">
      <c r="A19" s="29">
        <v>4</v>
      </c>
      <c r="B19" s="71" t="s">
        <v>107</v>
      </c>
      <c r="C19" s="72" t="s">
        <v>108</v>
      </c>
      <c r="D19" s="71" t="s">
        <v>109</v>
      </c>
      <c r="E19" s="73">
        <v>19.2</v>
      </c>
      <c r="F19" s="74">
        <f>SUM(E19/10)</f>
        <v>1.92</v>
      </c>
      <c r="G19" s="74">
        <v>223.17</v>
      </c>
      <c r="H19" s="78">
        <f t="shared" si="0"/>
        <v>0.42848639999999993</v>
      </c>
      <c r="I19" s="13">
        <v>0</v>
      </c>
    </row>
    <row r="20" spans="1:9" hidden="1">
      <c r="A20" s="29">
        <v>4</v>
      </c>
      <c r="B20" s="71" t="s">
        <v>98</v>
      </c>
      <c r="C20" s="72" t="s">
        <v>99</v>
      </c>
      <c r="D20" s="71" t="s">
        <v>153</v>
      </c>
      <c r="E20" s="73">
        <v>27.3</v>
      </c>
      <c r="F20" s="74">
        <f>SUM(E20*2/100)</f>
        <v>0.54600000000000004</v>
      </c>
      <c r="G20" s="74">
        <v>285.76</v>
      </c>
      <c r="H20" s="78">
        <f t="shared" si="0"/>
        <v>0.15602495999999999</v>
      </c>
      <c r="I20" s="13">
        <f>F20/2*G20</f>
        <v>78.012479999999996</v>
      </c>
    </row>
    <row r="21" spans="1:9" hidden="1">
      <c r="A21" s="29">
        <v>5</v>
      </c>
      <c r="B21" s="71" t="s">
        <v>105</v>
      </c>
      <c r="C21" s="72" t="s">
        <v>99</v>
      </c>
      <c r="D21" s="71" t="s">
        <v>153</v>
      </c>
      <c r="E21" s="73">
        <v>9.08</v>
      </c>
      <c r="F21" s="74">
        <f>SUM(E21*2/100)</f>
        <v>0.18160000000000001</v>
      </c>
      <c r="G21" s="74">
        <v>283.44</v>
      </c>
      <c r="H21" s="78">
        <f>SUM(F21*G21/1000)</f>
        <v>5.1472704000000001E-2</v>
      </c>
      <c r="I21" s="13">
        <f>F21/2*G21</f>
        <v>25.736352</v>
      </c>
    </row>
    <row r="22" spans="1:9" hidden="1">
      <c r="A22" s="29">
        <v>7</v>
      </c>
      <c r="B22" s="71" t="s">
        <v>100</v>
      </c>
      <c r="C22" s="72" t="s">
        <v>54</v>
      </c>
      <c r="D22" s="71" t="s">
        <v>109</v>
      </c>
      <c r="E22" s="76">
        <v>30</v>
      </c>
      <c r="F22" s="74">
        <f>SUM(E22/100)</f>
        <v>0.3</v>
      </c>
      <c r="G22" s="74">
        <v>58.08</v>
      </c>
      <c r="H22" s="78">
        <f t="shared" si="0"/>
        <v>1.7423999999999999E-2</v>
      </c>
      <c r="I22" s="13">
        <v>0</v>
      </c>
    </row>
    <row r="23" spans="1:9" hidden="1">
      <c r="A23" s="29">
        <v>6</v>
      </c>
      <c r="B23" s="71" t="s">
        <v>101</v>
      </c>
      <c r="C23" s="72" t="s">
        <v>54</v>
      </c>
      <c r="D23" s="71" t="s">
        <v>109</v>
      </c>
      <c r="E23" s="73">
        <v>20</v>
      </c>
      <c r="F23" s="74">
        <f>SUM(E23/100)</f>
        <v>0.2</v>
      </c>
      <c r="G23" s="74">
        <v>511.12</v>
      </c>
      <c r="H23" s="78">
        <f t="shared" si="0"/>
        <v>0.10222400000000001</v>
      </c>
      <c r="I23" s="13">
        <v>0</v>
      </c>
    </row>
    <row r="24" spans="1:9" hidden="1">
      <c r="A24" s="29">
        <v>9</v>
      </c>
      <c r="B24" s="71" t="s">
        <v>102</v>
      </c>
      <c r="C24" s="72" t="s">
        <v>54</v>
      </c>
      <c r="D24" s="71" t="s">
        <v>109</v>
      </c>
      <c r="E24" s="73">
        <v>8.5</v>
      </c>
      <c r="F24" s="74">
        <f>SUM(E24/100)</f>
        <v>8.5000000000000006E-2</v>
      </c>
      <c r="G24" s="74">
        <v>683.05</v>
      </c>
      <c r="H24" s="78">
        <f t="shared" si="0"/>
        <v>5.805925E-2</v>
      </c>
      <c r="I24" s="13">
        <v>0</v>
      </c>
    </row>
    <row r="25" spans="1:9" ht="30" hidden="1">
      <c r="A25" s="94">
        <v>7</v>
      </c>
      <c r="B25" s="83" t="s">
        <v>106</v>
      </c>
      <c r="C25" s="84" t="s">
        <v>54</v>
      </c>
      <c r="D25" s="83" t="s">
        <v>55</v>
      </c>
      <c r="E25" s="81">
        <v>20</v>
      </c>
      <c r="F25" s="85">
        <f>SUM(E25/100)</f>
        <v>0.2</v>
      </c>
      <c r="G25" s="85">
        <v>283.44</v>
      </c>
      <c r="H25" s="82">
        <f t="shared" si="0"/>
        <v>5.6688000000000002E-2</v>
      </c>
      <c r="I25" s="13">
        <v>0</v>
      </c>
    </row>
    <row r="26" spans="1:9">
      <c r="A26" s="29">
        <v>4</v>
      </c>
      <c r="B26" s="34" t="s">
        <v>66</v>
      </c>
      <c r="C26" s="44" t="s">
        <v>33</v>
      </c>
      <c r="D26" s="34" t="s">
        <v>154</v>
      </c>
      <c r="E26" s="118">
        <v>0.05</v>
      </c>
      <c r="F26" s="33">
        <f>SUM(E26*182)</f>
        <v>9.1</v>
      </c>
      <c r="G26" s="33">
        <v>264.85000000000002</v>
      </c>
      <c r="H26" s="119">
        <f t="shared" si="0"/>
        <v>2.4101350000000004</v>
      </c>
      <c r="I26" s="13">
        <f>F26/12*G26</f>
        <v>200.84458333333333</v>
      </c>
    </row>
    <row r="27" spans="1:9">
      <c r="A27" s="29">
        <v>5</v>
      </c>
      <c r="B27" s="120" t="s">
        <v>23</v>
      </c>
      <c r="C27" s="44" t="s">
        <v>24</v>
      </c>
      <c r="D27" s="34"/>
      <c r="E27" s="121">
        <v>3053.4</v>
      </c>
      <c r="F27" s="33">
        <f>SUM(E27*12)</f>
        <v>36640.800000000003</v>
      </c>
      <c r="G27" s="33">
        <v>4.09</v>
      </c>
      <c r="H27" s="119">
        <f t="shared" si="0"/>
        <v>149.860872</v>
      </c>
      <c r="I27" s="13">
        <f>F27/12*G27</f>
        <v>12488.405999999999</v>
      </c>
    </row>
    <row r="28" spans="1:9">
      <c r="A28" s="178" t="s">
        <v>150</v>
      </c>
      <c r="B28" s="178"/>
      <c r="C28" s="178"/>
      <c r="D28" s="178"/>
      <c r="E28" s="178"/>
      <c r="F28" s="178"/>
      <c r="G28" s="178"/>
      <c r="H28" s="178"/>
      <c r="I28" s="178"/>
    </row>
    <row r="29" spans="1:9" hidden="1">
      <c r="A29" s="96"/>
      <c r="B29" s="104" t="s">
        <v>28</v>
      </c>
      <c r="C29" s="98"/>
      <c r="D29" s="97"/>
      <c r="E29" s="99"/>
      <c r="F29" s="100"/>
      <c r="G29" s="100"/>
      <c r="H29" s="105"/>
      <c r="I29" s="106"/>
    </row>
    <row r="30" spans="1:9" hidden="1">
      <c r="A30" s="29">
        <v>6</v>
      </c>
      <c r="B30" s="71" t="s">
        <v>110</v>
      </c>
      <c r="C30" s="72" t="s">
        <v>111</v>
      </c>
      <c r="D30" s="71" t="s">
        <v>127</v>
      </c>
      <c r="E30" s="74">
        <v>317.7</v>
      </c>
      <c r="F30" s="74">
        <f>SUM(E30*52/1000)</f>
        <v>16.520399999999999</v>
      </c>
      <c r="G30" s="74">
        <v>204.44</v>
      </c>
      <c r="H30" s="78">
        <f t="shared" ref="H30:H36" si="1">SUM(F30*G30/1000)</f>
        <v>3.3774305759999996</v>
      </c>
      <c r="I30" s="13">
        <f t="shared" ref="I30:I34" si="2">F30/6*G30</f>
        <v>562.90509599999996</v>
      </c>
    </row>
    <row r="31" spans="1:9" ht="45" hidden="1">
      <c r="A31" s="29">
        <v>7</v>
      </c>
      <c r="B31" s="71" t="s">
        <v>137</v>
      </c>
      <c r="C31" s="72" t="s">
        <v>111</v>
      </c>
      <c r="D31" s="71" t="s">
        <v>128</v>
      </c>
      <c r="E31" s="74">
        <v>146.1</v>
      </c>
      <c r="F31" s="74">
        <f>SUM(E31*78/1000)</f>
        <v>11.395799999999999</v>
      </c>
      <c r="G31" s="74">
        <v>339.21</v>
      </c>
      <c r="H31" s="78">
        <f t="shared" si="1"/>
        <v>3.8655693179999995</v>
      </c>
      <c r="I31" s="13">
        <f t="shared" si="2"/>
        <v>644.26155299999994</v>
      </c>
    </row>
    <row r="32" spans="1:9" hidden="1">
      <c r="A32" s="29">
        <v>11</v>
      </c>
      <c r="B32" s="71" t="s">
        <v>27</v>
      </c>
      <c r="C32" s="72" t="s">
        <v>111</v>
      </c>
      <c r="D32" s="71" t="s">
        <v>55</v>
      </c>
      <c r="E32" s="74">
        <f>E30</f>
        <v>317.7</v>
      </c>
      <c r="F32" s="74">
        <f>SUM(E32/1000)</f>
        <v>0.31769999999999998</v>
      </c>
      <c r="G32" s="74">
        <v>3961.23</v>
      </c>
      <c r="H32" s="78">
        <f t="shared" si="1"/>
        <v>1.2584827709999999</v>
      </c>
      <c r="I32" s="13">
        <f>F32*G32</f>
        <v>1258.482771</v>
      </c>
    </row>
    <row r="33" spans="1:9" hidden="1">
      <c r="A33" s="29">
        <v>8</v>
      </c>
      <c r="B33" s="71" t="s">
        <v>155</v>
      </c>
      <c r="C33" s="72" t="s">
        <v>41</v>
      </c>
      <c r="D33" s="71" t="s">
        <v>65</v>
      </c>
      <c r="E33" s="74">
        <v>5</v>
      </c>
      <c r="F33" s="74">
        <f>E33*155/100</f>
        <v>7.75</v>
      </c>
      <c r="G33" s="74">
        <v>1707.63</v>
      </c>
      <c r="H33" s="78">
        <f t="shared" si="1"/>
        <v>13.234132500000001</v>
      </c>
      <c r="I33" s="13">
        <f t="shared" si="2"/>
        <v>2205.6887500000003</v>
      </c>
    </row>
    <row r="34" spans="1:9" hidden="1">
      <c r="A34" s="29">
        <v>9</v>
      </c>
      <c r="B34" s="71" t="s">
        <v>112</v>
      </c>
      <c r="C34" s="72" t="s">
        <v>31</v>
      </c>
      <c r="D34" s="71" t="s">
        <v>65</v>
      </c>
      <c r="E34" s="80">
        <f>1/6</f>
        <v>0.16666666666666666</v>
      </c>
      <c r="F34" s="74">
        <f>155/6</f>
        <v>25.833333333333332</v>
      </c>
      <c r="G34" s="74">
        <v>74.349999999999994</v>
      </c>
      <c r="H34" s="78">
        <f t="shared" si="1"/>
        <v>1.920708333333333</v>
      </c>
      <c r="I34" s="13">
        <f t="shared" si="2"/>
        <v>320.11805555555554</v>
      </c>
    </row>
    <row r="35" spans="1:9" hidden="1">
      <c r="A35" s="29"/>
      <c r="B35" s="34" t="s">
        <v>67</v>
      </c>
      <c r="C35" s="44" t="s">
        <v>33</v>
      </c>
      <c r="D35" s="34" t="s">
        <v>69</v>
      </c>
      <c r="E35" s="121"/>
      <c r="F35" s="33">
        <v>2</v>
      </c>
      <c r="G35" s="33">
        <v>250.92</v>
      </c>
      <c r="H35" s="119">
        <f t="shared" si="1"/>
        <v>0.50183999999999995</v>
      </c>
      <c r="I35" s="13">
        <v>0</v>
      </c>
    </row>
    <row r="36" spans="1:9" hidden="1">
      <c r="A36" s="29"/>
      <c r="B36" s="34" t="s">
        <v>68</v>
      </c>
      <c r="C36" s="44" t="s">
        <v>32</v>
      </c>
      <c r="D36" s="34" t="s">
        <v>69</v>
      </c>
      <c r="E36" s="121"/>
      <c r="F36" s="33">
        <v>1</v>
      </c>
      <c r="G36" s="33">
        <v>1490.31</v>
      </c>
      <c r="H36" s="119">
        <f t="shared" si="1"/>
        <v>1.49031</v>
      </c>
      <c r="I36" s="13"/>
    </row>
    <row r="37" spans="1:9">
      <c r="A37" s="29"/>
      <c r="B37" s="93" t="s">
        <v>5</v>
      </c>
      <c r="C37" s="72"/>
      <c r="D37" s="71"/>
      <c r="E37" s="73"/>
      <c r="F37" s="74"/>
      <c r="G37" s="74"/>
      <c r="H37" s="78" t="s">
        <v>132</v>
      </c>
      <c r="I37" s="79"/>
    </row>
    <row r="38" spans="1:9">
      <c r="A38" s="29">
        <v>6</v>
      </c>
      <c r="B38" s="71" t="s">
        <v>26</v>
      </c>
      <c r="C38" s="72" t="s">
        <v>32</v>
      </c>
      <c r="D38" s="71"/>
      <c r="E38" s="73"/>
      <c r="F38" s="74">
        <v>3</v>
      </c>
      <c r="G38" s="74">
        <v>2003</v>
      </c>
      <c r="H38" s="78">
        <f t="shared" ref="H38:H44" si="3">SUM(F38*G38/1000)</f>
        <v>6.0090000000000003</v>
      </c>
      <c r="I38" s="13">
        <f t="shared" ref="I38:I42" si="4">F38/6*G38</f>
        <v>1001.5</v>
      </c>
    </row>
    <row r="39" spans="1:9">
      <c r="A39" s="29">
        <v>7</v>
      </c>
      <c r="B39" s="71" t="s">
        <v>70</v>
      </c>
      <c r="C39" s="72" t="s">
        <v>29</v>
      </c>
      <c r="D39" s="71" t="s">
        <v>156</v>
      </c>
      <c r="E39" s="74">
        <v>160.6</v>
      </c>
      <c r="F39" s="74">
        <f>SUM(E39*18/1000)</f>
        <v>2.8907999999999996</v>
      </c>
      <c r="G39" s="74">
        <v>2757.78</v>
      </c>
      <c r="H39" s="78">
        <f t="shared" si="3"/>
        <v>7.972190423999999</v>
      </c>
      <c r="I39" s="13">
        <f t="shared" si="4"/>
        <v>1328.698404</v>
      </c>
    </row>
    <row r="40" spans="1:9">
      <c r="A40" s="29">
        <v>8</v>
      </c>
      <c r="B40" s="71" t="s">
        <v>71</v>
      </c>
      <c r="C40" s="72" t="s">
        <v>29</v>
      </c>
      <c r="D40" s="71" t="s">
        <v>129</v>
      </c>
      <c r="E40" s="73">
        <v>89.1</v>
      </c>
      <c r="F40" s="74">
        <f>SUM(E40*155/1000)</f>
        <v>13.810499999999999</v>
      </c>
      <c r="G40" s="74">
        <v>460.02</v>
      </c>
      <c r="H40" s="78">
        <f t="shared" si="3"/>
        <v>6.3531062099999991</v>
      </c>
      <c r="I40" s="13">
        <f t="shared" si="4"/>
        <v>1058.8510349999999</v>
      </c>
    </row>
    <row r="41" spans="1:9" hidden="1">
      <c r="A41" s="29">
        <v>12</v>
      </c>
      <c r="B41" s="71" t="s">
        <v>157</v>
      </c>
      <c r="C41" s="72" t="s">
        <v>158</v>
      </c>
      <c r="D41" s="71" t="s">
        <v>69</v>
      </c>
      <c r="E41" s="73"/>
      <c r="F41" s="74">
        <v>39</v>
      </c>
      <c r="G41" s="74">
        <v>301.70999999999998</v>
      </c>
      <c r="H41" s="78">
        <f t="shared" si="3"/>
        <v>11.766689999999999</v>
      </c>
      <c r="I41" s="13">
        <v>0</v>
      </c>
    </row>
    <row r="42" spans="1:9" ht="60">
      <c r="A42" s="29">
        <v>9</v>
      </c>
      <c r="B42" s="71" t="s">
        <v>88</v>
      </c>
      <c r="C42" s="72" t="s">
        <v>111</v>
      </c>
      <c r="D42" s="71" t="s">
        <v>159</v>
      </c>
      <c r="E42" s="74">
        <v>46.5</v>
      </c>
      <c r="F42" s="74">
        <f>SUM(E42*35/1000)</f>
        <v>1.6274999999999999</v>
      </c>
      <c r="G42" s="74">
        <v>7611.16</v>
      </c>
      <c r="H42" s="78">
        <f t="shared" si="3"/>
        <v>12.3871629</v>
      </c>
      <c r="I42" s="13">
        <f t="shared" si="4"/>
        <v>2064.5271499999999</v>
      </c>
    </row>
    <row r="43" spans="1:9">
      <c r="A43" s="94">
        <v>10</v>
      </c>
      <c r="B43" s="83" t="s">
        <v>113</v>
      </c>
      <c r="C43" s="84" t="s">
        <v>111</v>
      </c>
      <c r="D43" s="83" t="s">
        <v>72</v>
      </c>
      <c r="E43" s="85">
        <v>89.1</v>
      </c>
      <c r="F43" s="85">
        <f>SUM(E43*45/1000)</f>
        <v>4.0094999999999992</v>
      </c>
      <c r="G43" s="85">
        <v>562.25</v>
      </c>
      <c r="H43" s="82">
        <f t="shared" si="3"/>
        <v>2.2543413749999996</v>
      </c>
      <c r="I43" s="95">
        <f>(F43/7.5*1.5)*G43</f>
        <v>450.86827499999993</v>
      </c>
    </row>
    <row r="44" spans="1:9">
      <c r="A44" s="29">
        <v>11</v>
      </c>
      <c r="B44" s="14" t="s">
        <v>73</v>
      </c>
      <c r="C44" s="16" t="s">
        <v>33</v>
      </c>
      <c r="D44" s="14"/>
      <c r="E44" s="18"/>
      <c r="F44" s="13">
        <v>0.9</v>
      </c>
      <c r="G44" s="13">
        <v>974.83</v>
      </c>
      <c r="H44" s="13">
        <f t="shared" si="3"/>
        <v>0.8773470000000001</v>
      </c>
      <c r="I44" s="95">
        <f>(F44/7.5*1.5)*G44</f>
        <v>175.46940000000004</v>
      </c>
    </row>
    <row r="45" spans="1:9" hidden="1">
      <c r="A45" s="179" t="s">
        <v>138</v>
      </c>
      <c r="B45" s="180"/>
      <c r="C45" s="180"/>
      <c r="D45" s="180"/>
      <c r="E45" s="180"/>
      <c r="F45" s="180"/>
      <c r="G45" s="180"/>
      <c r="H45" s="180"/>
      <c r="I45" s="181"/>
    </row>
    <row r="46" spans="1:9" hidden="1">
      <c r="A46" s="29">
        <v>12</v>
      </c>
      <c r="B46" s="39" t="s">
        <v>114</v>
      </c>
      <c r="C46" s="40" t="s">
        <v>111</v>
      </c>
      <c r="D46" s="39" t="s">
        <v>43</v>
      </c>
      <c r="E46" s="17">
        <v>1632.75</v>
      </c>
      <c r="F46" s="36">
        <f>SUM(E46*2/1000)</f>
        <v>3.2654999999999998</v>
      </c>
      <c r="G46" s="36">
        <v>1062</v>
      </c>
      <c r="H46" s="36">
        <f t="shared" ref="H46:H55" si="5">SUM(F46*G46/1000)</f>
        <v>3.4679609999999998</v>
      </c>
      <c r="I46" s="13">
        <f>F46/2*G46</f>
        <v>1733.9804999999999</v>
      </c>
    </row>
    <row r="47" spans="1:9" hidden="1">
      <c r="A47" s="29">
        <v>13</v>
      </c>
      <c r="B47" s="39" t="s">
        <v>36</v>
      </c>
      <c r="C47" s="40" t="s">
        <v>111</v>
      </c>
      <c r="D47" s="39" t="s">
        <v>43</v>
      </c>
      <c r="E47" s="17">
        <v>53.75</v>
      </c>
      <c r="F47" s="36">
        <f>SUM(E47*2/1000)</f>
        <v>0.1075</v>
      </c>
      <c r="G47" s="36">
        <v>759.98</v>
      </c>
      <c r="H47" s="36">
        <f t="shared" si="5"/>
        <v>8.1697850000000002E-2</v>
      </c>
      <c r="I47" s="13">
        <f t="shared" ref="I47:I54" si="6">F47/2*G47</f>
        <v>40.848925000000001</v>
      </c>
    </row>
    <row r="48" spans="1:9" hidden="1">
      <c r="A48" s="29">
        <v>14</v>
      </c>
      <c r="B48" s="39" t="s">
        <v>37</v>
      </c>
      <c r="C48" s="40" t="s">
        <v>111</v>
      </c>
      <c r="D48" s="39" t="s">
        <v>43</v>
      </c>
      <c r="E48" s="17">
        <v>2285.6</v>
      </c>
      <c r="F48" s="36">
        <f>SUM(E48*2/1000)</f>
        <v>4.5712000000000002</v>
      </c>
      <c r="G48" s="36">
        <v>759.98</v>
      </c>
      <c r="H48" s="36">
        <f t="shared" si="5"/>
        <v>3.4740205760000005</v>
      </c>
      <c r="I48" s="13">
        <f t="shared" si="6"/>
        <v>1737.0102880000002</v>
      </c>
    </row>
    <row r="49" spans="1:9" hidden="1">
      <c r="A49" s="29">
        <v>15</v>
      </c>
      <c r="B49" s="39" t="s">
        <v>38</v>
      </c>
      <c r="C49" s="40" t="s">
        <v>111</v>
      </c>
      <c r="D49" s="39" t="s">
        <v>43</v>
      </c>
      <c r="E49" s="17">
        <v>1860</v>
      </c>
      <c r="F49" s="36">
        <f>SUM(E49*2/1000)</f>
        <v>3.72</v>
      </c>
      <c r="G49" s="36">
        <v>795.82</v>
      </c>
      <c r="H49" s="36">
        <f t="shared" si="5"/>
        <v>2.9604504</v>
      </c>
      <c r="I49" s="13">
        <f t="shared" si="6"/>
        <v>1480.2252000000001</v>
      </c>
    </row>
    <row r="50" spans="1:9" hidden="1">
      <c r="A50" s="29">
        <v>16</v>
      </c>
      <c r="B50" s="39" t="s">
        <v>34</v>
      </c>
      <c r="C50" s="40" t="s">
        <v>35</v>
      </c>
      <c r="D50" s="39" t="s">
        <v>43</v>
      </c>
      <c r="E50" s="17">
        <v>120.5</v>
      </c>
      <c r="F50" s="36">
        <f>SUM(E50*2/100)</f>
        <v>2.41</v>
      </c>
      <c r="G50" s="36">
        <v>95.49</v>
      </c>
      <c r="H50" s="36">
        <f t="shared" si="5"/>
        <v>0.2301309</v>
      </c>
      <c r="I50" s="13">
        <f t="shared" si="6"/>
        <v>115.06545</v>
      </c>
    </row>
    <row r="51" spans="1:9" hidden="1">
      <c r="A51" s="29">
        <v>15</v>
      </c>
      <c r="B51" s="39" t="s">
        <v>58</v>
      </c>
      <c r="C51" s="40" t="s">
        <v>111</v>
      </c>
      <c r="D51" s="39" t="s">
        <v>141</v>
      </c>
      <c r="E51" s="17">
        <v>3053.4</v>
      </c>
      <c r="F51" s="36">
        <f>SUM(E51*5/1000)</f>
        <v>15.266999999999999</v>
      </c>
      <c r="G51" s="36">
        <v>1591.6</v>
      </c>
      <c r="H51" s="36">
        <f t="shared" si="5"/>
        <v>24.298957199999997</v>
      </c>
      <c r="I51" s="13">
        <f>F51/5*G51</f>
        <v>4859.79144</v>
      </c>
    </row>
    <row r="52" spans="1:9" ht="45" hidden="1">
      <c r="A52" s="29">
        <v>16</v>
      </c>
      <c r="B52" s="39" t="s">
        <v>115</v>
      </c>
      <c r="C52" s="40" t="s">
        <v>111</v>
      </c>
      <c r="D52" s="39" t="s">
        <v>43</v>
      </c>
      <c r="E52" s="17">
        <f>E51</f>
        <v>3053.4</v>
      </c>
      <c r="F52" s="36">
        <f>SUM(E52*2/1000)</f>
        <v>6.1067999999999998</v>
      </c>
      <c r="G52" s="36">
        <v>1591.6</v>
      </c>
      <c r="H52" s="36">
        <f t="shared" si="5"/>
        <v>9.7195828800000008</v>
      </c>
      <c r="I52" s="13">
        <f t="shared" si="6"/>
        <v>4859.79144</v>
      </c>
    </row>
    <row r="53" spans="1:9" ht="30" hidden="1">
      <c r="A53" s="29">
        <v>17</v>
      </c>
      <c r="B53" s="39" t="s">
        <v>133</v>
      </c>
      <c r="C53" s="40" t="s">
        <v>39</v>
      </c>
      <c r="D53" s="39" t="s">
        <v>43</v>
      </c>
      <c r="E53" s="17">
        <v>20</v>
      </c>
      <c r="F53" s="36">
        <f>SUM(E53*2/100)</f>
        <v>0.4</v>
      </c>
      <c r="G53" s="36">
        <v>3581.13</v>
      </c>
      <c r="H53" s="36">
        <f t="shared" si="5"/>
        <v>1.4324520000000003</v>
      </c>
      <c r="I53" s="13">
        <f t="shared" si="6"/>
        <v>716.22600000000011</v>
      </c>
    </row>
    <row r="54" spans="1:9" hidden="1">
      <c r="A54" s="29">
        <v>18</v>
      </c>
      <c r="B54" s="39" t="s">
        <v>40</v>
      </c>
      <c r="C54" s="40" t="s">
        <v>41</v>
      </c>
      <c r="D54" s="39" t="s">
        <v>43</v>
      </c>
      <c r="E54" s="17">
        <v>1</v>
      </c>
      <c r="F54" s="36">
        <v>0.02</v>
      </c>
      <c r="G54" s="36">
        <v>7412.92</v>
      </c>
      <c r="H54" s="36">
        <f t="shared" si="5"/>
        <v>0.14825839999999998</v>
      </c>
      <c r="I54" s="13">
        <f t="shared" si="6"/>
        <v>74.129199999999997</v>
      </c>
    </row>
    <row r="55" spans="1:9" hidden="1">
      <c r="A55" s="29">
        <v>16</v>
      </c>
      <c r="B55" s="39" t="s">
        <v>42</v>
      </c>
      <c r="C55" s="40" t="s">
        <v>95</v>
      </c>
      <c r="D55" s="39" t="s">
        <v>74</v>
      </c>
      <c r="E55" s="17">
        <v>128</v>
      </c>
      <c r="F55" s="36">
        <f>SUM(E55)*3</f>
        <v>384</v>
      </c>
      <c r="G55" s="37">
        <v>86.15</v>
      </c>
      <c r="H55" s="36">
        <f t="shared" si="5"/>
        <v>33.081600000000009</v>
      </c>
      <c r="I55" s="13">
        <f>E55*G55</f>
        <v>11027.2</v>
      </c>
    </row>
    <row r="56" spans="1:9">
      <c r="A56" s="179" t="s">
        <v>143</v>
      </c>
      <c r="B56" s="180"/>
      <c r="C56" s="180"/>
      <c r="D56" s="180"/>
      <c r="E56" s="180"/>
      <c r="F56" s="180"/>
      <c r="G56" s="180"/>
      <c r="H56" s="180"/>
      <c r="I56" s="181"/>
    </row>
    <row r="57" spans="1:9">
      <c r="A57" s="96"/>
      <c r="B57" s="104" t="s">
        <v>44</v>
      </c>
      <c r="C57" s="98"/>
      <c r="D57" s="97"/>
      <c r="E57" s="99"/>
      <c r="F57" s="100"/>
      <c r="G57" s="100"/>
      <c r="H57" s="105"/>
      <c r="I57" s="106"/>
    </row>
    <row r="58" spans="1:9" ht="30">
      <c r="A58" s="29">
        <v>12</v>
      </c>
      <c r="B58" s="71" t="s">
        <v>116</v>
      </c>
      <c r="C58" s="72" t="s">
        <v>99</v>
      </c>
      <c r="D58" s="71" t="s">
        <v>117</v>
      </c>
      <c r="E58" s="73">
        <v>92.7</v>
      </c>
      <c r="F58" s="74">
        <f>SUM(E58*6/100)</f>
        <v>5.5620000000000003</v>
      </c>
      <c r="G58" s="13">
        <v>2431.1799999999998</v>
      </c>
      <c r="H58" s="78">
        <f>SUM(F58*G58/1000)</f>
        <v>13.522223159999999</v>
      </c>
      <c r="I58" s="13">
        <f>G58*0.12</f>
        <v>291.74159999999995</v>
      </c>
    </row>
    <row r="59" spans="1:9">
      <c r="A59" s="29">
        <v>13</v>
      </c>
      <c r="B59" s="71" t="s">
        <v>134</v>
      </c>
      <c r="C59" s="72" t="s">
        <v>135</v>
      </c>
      <c r="D59" s="14" t="s">
        <v>69</v>
      </c>
      <c r="E59" s="73"/>
      <c r="F59" s="74">
        <v>2</v>
      </c>
      <c r="G59" s="67">
        <v>1582.05</v>
      </c>
      <c r="H59" s="78">
        <f>SUM(F59*G59/1000)</f>
        <v>3.1640999999999999</v>
      </c>
      <c r="I59" s="13">
        <f>G59*1</f>
        <v>1582.05</v>
      </c>
    </row>
    <row r="60" spans="1:9">
      <c r="A60" s="29"/>
      <c r="B60" s="93" t="s">
        <v>45</v>
      </c>
      <c r="C60" s="72"/>
      <c r="D60" s="71"/>
      <c r="E60" s="73"/>
      <c r="F60" s="74"/>
      <c r="G60" s="74"/>
      <c r="H60" s="75" t="s">
        <v>132</v>
      </c>
      <c r="I60" s="79"/>
    </row>
    <row r="61" spans="1:9" hidden="1">
      <c r="A61" s="29"/>
      <c r="B61" s="34" t="s">
        <v>46</v>
      </c>
      <c r="C61" s="44" t="s">
        <v>99</v>
      </c>
      <c r="D61" s="34" t="s">
        <v>55</v>
      </c>
      <c r="E61" s="123">
        <v>145</v>
      </c>
      <c r="F61" s="33">
        <f>SUM(E61/100)</f>
        <v>1.45</v>
      </c>
      <c r="G61" s="36">
        <v>1040.8399999999999</v>
      </c>
      <c r="H61" s="124">
        <v>9.1679999999999993</v>
      </c>
      <c r="I61" s="13">
        <v>0</v>
      </c>
    </row>
    <row r="62" spans="1:9">
      <c r="A62" s="29">
        <v>14</v>
      </c>
      <c r="B62" s="125" t="s">
        <v>96</v>
      </c>
      <c r="C62" s="126" t="s">
        <v>25</v>
      </c>
      <c r="D62" s="125" t="s">
        <v>30</v>
      </c>
      <c r="E62" s="123">
        <v>200</v>
      </c>
      <c r="F62" s="33">
        <f>SUM(E62*12)</f>
        <v>2400</v>
      </c>
      <c r="G62" s="127">
        <v>1.2</v>
      </c>
      <c r="H62" s="128">
        <f>G62*F62/1000</f>
        <v>2.88</v>
      </c>
      <c r="I62" s="13">
        <f>F62/12*G62</f>
        <v>240</v>
      </c>
    </row>
    <row r="63" spans="1:9" ht="19.5" customHeight="1">
      <c r="A63" s="29"/>
      <c r="B63" s="102" t="s">
        <v>47</v>
      </c>
      <c r="C63" s="84"/>
      <c r="D63" s="83"/>
      <c r="E63" s="81"/>
      <c r="F63" s="85"/>
      <c r="G63" s="85"/>
      <c r="H63" s="86" t="s">
        <v>132</v>
      </c>
      <c r="I63" s="79"/>
    </row>
    <row r="64" spans="1:9" ht="17.25" customHeight="1">
      <c r="A64" s="29">
        <v>15</v>
      </c>
      <c r="B64" s="56" t="s">
        <v>48</v>
      </c>
      <c r="C64" s="40" t="s">
        <v>95</v>
      </c>
      <c r="D64" s="39" t="s">
        <v>69</v>
      </c>
      <c r="E64" s="17">
        <v>6</v>
      </c>
      <c r="F64" s="33">
        <f>SUM(E64)</f>
        <v>6</v>
      </c>
      <c r="G64" s="36">
        <v>291.68</v>
      </c>
      <c r="H64" s="114">
        <f t="shared" ref="H64:H72" si="7">SUM(F64*G64/1000)</f>
        <v>1.7500799999999999</v>
      </c>
      <c r="I64" s="13">
        <f>G64</f>
        <v>291.68</v>
      </c>
    </row>
    <row r="65" spans="1:9" ht="25.5" hidden="1" customHeight="1">
      <c r="A65" s="29"/>
      <c r="B65" s="56" t="s">
        <v>49</v>
      </c>
      <c r="C65" s="40" t="s">
        <v>95</v>
      </c>
      <c r="D65" s="39" t="s">
        <v>69</v>
      </c>
      <c r="E65" s="17">
        <v>4</v>
      </c>
      <c r="F65" s="33">
        <f>SUM(E65)</f>
        <v>4</v>
      </c>
      <c r="G65" s="36">
        <v>100.01</v>
      </c>
      <c r="H65" s="114">
        <f t="shared" si="7"/>
        <v>0.40004000000000001</v>
      </c>
      <c r="I65" s="13">
        <v>0</v>
      </c>
    </row>
    <row r="66" spans="1:9" ht="18.75" hidden="1" customHeight="1">
      <c r="A66" s="29"/>
      <c r="B66" s="56" t="s">
        <v>50</v>
      </c>
      <c r="C66" s="42" t="s">
        <v>118</v>
      </c>
      <c r="D66" s="39" t="s">
        <v>55</v>
      </c>
      <c r="E66" s="121">
        <v>15552</v>
      </c>
      <c r="F66" s="37">
        <f>SUM(E66/100)</f>
        <v>155.52000000000001</v>
      </c>
      <c r="G66" s="36">
        <v>278.24</v>
      </c>
      <c r="H66" s="114">
        <f t="shared" si="7"/>
        <v>43.271884800000009</v>
      </c>
      <c r="I66" s="13">
        <v>0</v>
      </c>
    </row>
    <row r="67" spans="1:9" ht="19.5" hidden="1" customHeight="1">
      <c r="A67" s="29"/>
      <c r="B67" s="56" t="s">
        <v>51</v>
      </c>
      <c r="C67" s="40" t="s">
        <v>119</v>
      </c>
      <c r="D67" s="39"/>
      <c r="E67" s="121">
        <v>15552</v>
      </c>
      <c r="F67" s="36">
        <f>SUM(E67/1000)</f>
        <v>15.552</v>
      </c>
      <c r="G67" s="36">
        <v>216.68</v>
      </c>
      <c r="H67" s="114">
        <f t="shared" si="7"/>
        <v>3.3698073600000003</v>
      </c>
      <c r="I67" s="13">
        <v>0</v>
      </c>
    </row>
    <row r="68" spans="1:9" ht="22.5" hidden="1" customHeight="1">
      <c r="A68" s="29"/>
      <c r="B68" s="56" t="s">
        <v>52</v>
      </c>
      <c r="C68" s="40" t="s">
        <v>81</v>
      </c>
      <c r="D68" s="39" t="s">
        <v>55</v>
      </c>
      <c r="E68" s="121">
        <v>2432</v>
      </c>
      <c r="F68" s="36">
        <f>SUM(E68/100)</f>
        <v>24.32</v>
      </c>
      <c r="G68" s="36">
        <v>2720.94</v>
      </c>
      <c r="H68" s="114">
        <f t="shared" si="7"/>
        <v>66.173260800000008</v>
      </c>
      <c r="I68" s="13">
        <v>0</v>
      </c>
    </row>
    <row r="69" spans="1:9" ht="21.75" hidden="1" customHeight="1">
      <c r="A69" s="29"/>
      <c r="B69" s="53" t="s">
        <v>75</v>
      </c>
      <c r="C69" s="40" t="s">
        <v>33</v>
      </c>
      <c r="D69" s="39"/>
      <c r="E69" s="121">
        <v>14.8</v>
      </c>
      <c r="F69" s="36">
        <f>SUM(E69)</f>
        <v>14.8</v>
      </c>
      <c r="G69" s="36">
        <v>42.61</v>
      </c>
      <c r="H69" s="114">
        <f t="shared" si="7"/>
        <v>0.63062800000000008</v>
      </c>
      <c r="I69" s="13">
        <v>0</v>
      </c>
    </row>
    <row r="70" spans="1:9" ht="16.5" hidden="1" customHeight="1">
      <c r="A70" s="29"/>
      <c r="B70" s="53" t="s">
        <v>76</v>
      </c>
      <c r="C70" s="40" t="s">
        <v>33</v>
      </c>
      <c r="D70" s="39"/>
      <c r="E70" s="121">
        <f>E69</f>
        <v>14.8</v>
      </c>
      <c r="F70" s="36">
        <f>SUM(E70)</f>
        <v>14.8</v>
      </c>
      <c r="G70" s="36">
        <v>46.04</v>
      </c>
      <c r="H70" s="114">
        <f t="shared" si="7"/>
        <v>0.681392</v>
      </c>
      <c r="I70" s="13">
        <v>0</v>
      </c>
    </row>
    <row r="71" spans="1:9" ht="16.5" hidden="1" customHeight="1">
      <c r="A71" s="29">
        <v>22</v>
      </c>
      <c r="B71" s="39" t="s">
        <v>59</v>
      </c>
      <c r="C71" s="40" t="s">
        <v>60</v>
      </c>
      <c r="D71" s="39" t="s">
        <v>55</v>
      </c>
      <c r="E71" s="17">
        <v>5</v>
      </c>
      <c r="F71" s="33">
        <f>SUM(E71)</f>
        <v>5</v>
      </c>
      <c r="G71" s="36">
        <v>65.42</v>
      </c>
      <c r="H71" s="114">
        <f t="shared" si="7"/>
        <v>0.3271</v>
      </c>
      <c r="I71" s="13">
        <f>G71*4</f>
        <v>261.68</v>
      </c>
    </row>
    <row r="72" spans="1:9" ht="21" customHeight="1">
      <c r="A72" s="29">
        <v>16</v>
      </c>
      <c r="B72" s="39" t="s">
        <v>160</v>
      </c>
      <c r="C72" s="45" t="s">
        <v>161</v>
      </c>
      <c r="D72" s="39" t="s">
        <v>69</v>
      </c>
      <c r="E72" s="17">
        <f>E51</f>
        <v>3053.4</v>
      </c>
      <c r="F72" s="33">
        <f>SUM(E72*12)</f>
        <v>36640.800000000003</v>
      </c>
      <c r="G72" s="36">
        <v>2.2799999999999998</v>
      </c>
      <c r="H72" s="114">
        <f t="shared" si="7"/>
        <v>83.541024000000007</v>
      </c>
      <c r="I72" s="13">
        <f>F72/12*G72</f>
        <v>6961.7519999999995</v>
      </c>
    </row>
    <row r="73" spans="1:9">
      <c r="A73" s="29"/>
      <c r="B73" s="159" t="s">
        <v>77</v>
      </c>
      <c r="C73" s="16"/>
      <c r="D73" s="14"/>
      <c r="E73" s="18"/>
      <c r="F73" s="13"/>
      <c r="G73" s="13"/>
      <c r="H73" s="87" t="s">
        <v>132</v>
      </c>
      <c r="I73" s="79"/>
    </row>
    <row r="74" spans="1:9" hidden="1">
      <c r="A74" s="29">
        <v>19</v>
      </c>
      <c r="B74" s="39" t="s">
        <v>162</v>
      </c>
      <c r="C74" s="40" t="s">
        <v>163</v>
      </c>
      <c r="D74" s="39" t="s">
        <v>69</v>
      </c>
      <c r="E74" s="17">
        <v>1</v>
      </c>
      <c r="F74" s="36">
        <f>E74</f>
        <v>1</v>
      </c>
      <c r="G74" s="36">
        <v>1029.1199999999999</v>
      </c>
      <c r="H74" s="114">
        <f t="shared" ref="H74:H75" si="8">SUM(F74*G74/1000)</f>
        <v>1.0291199999999998</v>
      </c>
      <c r="I74" s="13">
        <v>0</v>
      </c>
    </row>
    <row r="75" spans="1:9" ht="13.5" hidden="1" customHeight="1">
      <c r="A75" s="29"/>
      <c r="B75" s="39" t="s">
        <v>164</v>
      </c>
      <c r="C75" s="40" t="s">
        <v>165</v>
      </c>
      <c r="D75" s="129"/>
      <c r="E75" s="17">
        <v>1</v>
      </c>
      <c r="F75" s="36">
        <v>1</v>
      </c>
      <c r="G75" s="36">
        <v>735</v>
      </c>
      <c r="H75" s="114">
        <f t="shared" si="8"/>
        <v>0.73499999999999999</v>
      </c>
      <c r="I75" s="13">
        <v>0</v>
      </c>
    </row>
    <row r="76" spans="1:9" hidden="1">
      <c r="A76" s="29">
        <v>19</v>
      </c>
      <c r="B76" s="39" t="s">
        <v>78</v>
      </c>
      <c r="C76" s="40" t="s">
        <v>79</v>
      </c>
      <c r="D76" s="39" t="s">
        <v>69</v>
      </c>
      <c r="E76" s="17">
        <v>5</v>
      </c>
      <c r="F76" s="33">
        <f>SUM(E76/10)</f>
        <v>0.5</v>
      </c>
      <c r="G76" s="36">
        <v>657.87</v>
      </c>
      <c r="H76" s="114">
        <f>SUM(F76*G76/1000)</f>
        <v>0.32893499999999998</v>
      </c>
      <c r="I76" s="13">
        <f>G76*0.4</f>
        <v>263.14800000000002</v>
      </c>
    </row>
    <row r="77" spans="1:9" hidden="1">
      <c r="A77" s="29"/>
      <c r="B77" s="39" t="s">
        <v>130</v>
      </c>
      <c r="C77" s="40" t="s">
        <v>95</v>
      </c>
      <c r="D77" s="39" t="s">
        <v>69</v>
      </c>
      <c r="E77" s="17">
        <v>1</v>
      </c>
      <c r="F77" s="36">
        <f>E77</f>
        <v>1</v>
      </c>
      <c r="G77" s="36">
        <v>1118.72</v>
      </c>
      <c r="H77" s="114">
        <f>SUM(F77*G77/1000)</f>
        <v>1.1187199999999999</v>
      </c>
      <c r="I77" s="13">
        <v>0</v>
      </c>
    </row>
    <row r="78" spans="1:9" ht="30">
      <c r="A78" s="29">
        <v>17</v>
      </c>
      <c r="B78" s="115" t="s">
        <v>166</v>
      </c>
      <c r="C78" s="116" t="s">
        <v>95</v>
      </c>
      <c r="D78" s="39" t="s">
        <v>69</v>
      </c>
      <c r="E78" s="17">
        <v>2</v>
      </c>
      <c r="F78" s="33">
        <f>E78*12</f>
        <v>24</v>
      </c>
      <c r="G78" s="36">
        <v>53.42</v>
      </c>
      <c r="H78" s="114">
        <f t="shared" ref="H78:H79" si="9">SUM(F78*G78/1000)</f>
        <v>1.2820799999999999</v>
      </c>
      <c r="I78" s="13">
        <f>G78*2</f>
        <v>106.84</v>
      </c>
    </row>
    <row r="79" spans="1:9" ht="30">
      <c r="A79" s="29">
        <v>18</v>
      </c>
      <c r="B79" s="115" t="s">
        <v>167</v>
      </c>
      <c r="C79" s="116" t="s">
        <v>95</v>
      </c>
      <c r="D79" s="39" t="s">
        <v>30</v>
      </c>
      <c r="E79" s="17">
        <v>1</v>
      </c>
      <c r="F79" s="33">
        <f>E79*12</f>
        <v>12</v>
      </c>
      <c r="G79" s="36">
        <v>1194</v>
      </c>
      <c r="H79" s="114">
        <f t="shared" si="9"/>
        <v>14.327999999999999</v>
      </c>
      <c r="I79" s="13">
        <f>G79</f>
        <v>1194</v>
      </c>
    </row>
    <row r="80" spans="1:9" hidden="1">
      <c r="A80" s="29"/>
      <c r="B80" s="90" t="s">
        <v>80</v>
      </c>
      <c r="C80" s="16"/>
      <c r="D80" s="14"/>
      <c r="E80" s="18"/>
      <c r="F80" s="18"/>
      <c r="G80" s="18"/>
      <c r="H80" s="18"/>
      <c r="I80" s="79"/>
    </row>
    <row r="81" spans="1:9" hidden="1">
      <c r="A81" s="29"/>
      <c r="B81" s="41" t="s">
        <v>122</v>
      </c>
      <c r="C81" s="42" t="s">
        <v>81</v>
      </c>
      <c r="D81" s="56"/>
      <c r="E81" s="59"/>
      <c r="F81" s="37">
        <v>0.3</v>
      </c>
      <c r="G81" s="37">
        <v>3619.09</v>
      </c>
      <c r="H81" s="114">
        <f t="shared" ref="H81" si="10">SUM(F81*G81/1000)</f>
        <v>1.0857270000000001</v>
      </c>
      <c r="I81" s="13">
        <v>0</v>
      </c>
    </row>
    <row r="82" spans="1:9" ht="28.5" hidden="1">
      <c r="A82" s="29"/>
      <c r="B82" s="159" t="s">
        <v>120</v>
      </c>
      <c r="C82" s="90"/>
      <c r="D82" s="31"/>
      <c r="E82" s="32"/>
      <c r="F82" s="91"/>
      <c r="G82" s="91"/>
      <c r="H82" s="92">
        <f>SUM(H58:H81)</f>
        <v>248.78712212000002</v>
      </c>
      <c r="I82" s="77"/>
    </row>
    <row r="83" spans="1:9">
      <c r="A83" s="179" t="s">
        <v>144</v>
      </c>
      <c r="B83" s="180"/>
      <c r="C83" s="180"/>
      <c r="D83" s="180"/>
      <c r="E83" s="180"/>
      <c r="F83" s="180"/>
      <c r="G83" s="180"/>
      <c r="H83" s="180"/>
      <c r="I83" s="181"/>
    </row>
    <row r="84" spans="1:9">
      <c r="A84" s="96">
        <v>19</v>
      </c>
      <c r="B84" s="34" t="s">
        <v>123</v>
      </c>
      <c r="C84" s="40" t="s">
        <v>56</v>
      </c>
      <c r="D84" s="103" t="s">
        <v>57</v>
      </c>
      <c r="E84" s="36">
        <v>3053.4</v>
      </c>
      <c r="F84" s="36">
        <f>SUM(E84*12)</f>
        <v>36640.800000000003</v>
      </c>
      <c r="G84" s="36">
        <v>3.1</v>
      </c>
      <c r="H84" s="114">
        <f>SUM(F84*G84/1000)</f>
        <v>113.58648000000001</v>
      </c>
      <c r="I84" s="101">
        <f>F84/12*G84</f>
        <v>9465.5400000000009</v>
      </c>
    </row>
    <row r="85" spans="1:9" ht="30">
      <c r="A85" s="29">
        <v>20</v>
      </c>
      <c r="B85" s="39" t="s">
        <v>82</v>
      </c>
      <c r="C85" s="40"/>
      <c r="D85" s="103" t="s">
        <v>57</v>
      </c>
      <c r="E85" s="121">
        <v>3053.4</v>
      </c>
      <c r="F85" s="36">
        <f>E85*12</f>
        <v>36640.800000000003</v>
      </c>
      <c r="G85" s="36">
        <v>3.5</v>
      </c>
      <c r="H85" s="114">
        <f>F85*G85/1000</f>
        <v>128.24280000000002</v>
      </c>
      <c r="I85" s="13">
        <f>F85/12*G85</f>
        <v>10686.9</v>
      </c>
    </row>
    <row r="86" spans="1:9">
      <c r="A86" s="29"/>
      <c r="B86" s="43" t="s">
        <v>85</v>
      </c>
      <c r="C86" s="90"/>
      <c r="D86" s="88"/>
      <c r="E86" s="91"/>
      <c r="F86" s="91"/>
      <c r="G86" s="91"/>
      <c r="H86" s="92">
        <f>SUM(H85)</f>
        <v>128.24280000000002</v>
      </c>
      <c r="I86" s="91">
        <f>I85+I84+I79+I78+I72+I64+I62+I59+I58+I44+I43+I42+I40+I39+I38+I27+I26+I18+I17+I16</f>
        <v>60635.112824000003</v>
      </c>
    </row>
    <row r="87" spans="1:9">
      <c r="A87" s="188" t="s">
        <v>62</v>
      </c>
      <c r="B87" s="189"/>
      <c r="C87" s="189"/>
      <c r="D87" s="189"/>
      <c r="E87" s="189"/>
      <c r="F87" s="189"/>
      <c r="G87" s="189"/>
      <c r="H87" s="189"/>
      <c r="I87" s="190"/>
    </row>
    <row r="88" spans="1:9" ht="30">
      <c r="A88" s="29" t="s">
        <v>197</v>
      </c>
      <c r="B88" s="57" t="s">
        <v>103</v>
      </c>
      <c r="C88" s="58" t="s">
        <v>95</v>
      </c>
      <c r="D88" s="52"/>
      <c r="E88" s="13"/>
      <c r="F88" s="13">
        <v>128</v>
      </c>
      <c r="G88" s="13">
        <v>55.55</v>
      </c>
      <c r="H88" s="89">
        <f t="shared" ref="H88" si="11">G88*F88/1000</f>
        <v>7.1103999999999994</v>
      </c>
      <c r="I88" s="13">
        <f>G88*64</f>
        <v>3555.2</v>
      </c>
    </row>
    <row r="89" spans="1:9" ht="30">
      <c r="A89" s="29">
        <v>22</v>
      </c>
      <c r="B89" s="57" t="s">
        <v>93</v>
      </c>
      <c r="C89" s="58" t="s">
        <v>104</v>
      </c>
      <c r="D89" s="117"/>
      <c r="E89" s="36"/>
      <c r="F89" s="36">
        <v>4</v>
      </c>
      <c r="G89" s="36">
        <v>613.44000000000005</v>
      </c>
      <c r="H89" s="114">
        <f>F89*G89/1000</f>
        <v>2.4537600000000004</v>
      </c>
      <c r="I89" s="13">
        <f>G89*1</f>
        <v>613.44000000000005</v>
      </c>
    </row>
    <row r="90" spans="1:9">
      <c r="A90" s="29">
        <v>23</v>
      </c>
      <c r="B90" s="57" t="s">
        <v>184</v>
      </c>
      <c r="C90" s="58" t="s">
        <v>95</v>
      </c>
      <c r="D90" s="117"/>
      <c r="E90" s="36"/>
      <c r="F90" s="36"/>
      <c r="G90" s="36">
        <v>38.67</v>
      </c>
      <c r="H90" s="114"/>
      <c r="I90" s="13">
        <f>G90*1</f>
        <v>38.67</v>
      </c>
    </row>
    <row r="91" spans="1:9">
      <c r="A91" s="29">
        <v>24</v>
      </c>
      <c r="B91" s="115" t="s">
        <v>192</v>
      </c>
      <c r="C91" s="116" t="s">
        <v>104</v>
      </c>
      <c r="D91" s="117"/>
      <c r="E91" s="36"/>
      <c r="F91" s="36"/>
      <c r="G91" s="13">
        <v>1233.78</v>
      </c>
      <c r="H91" s="114"/>
      <c r="I91" s="13">
        <f>G91*1</f>
        <v>1233.78</v>
      </c>
    </row>
    <row r="92" spans="1:9" ht="30">
      <c r="A92" s="29">
        <v>25</v>
      </c>
      <c r="B92" s="57" t="s">
        <v>180</v>
      </c>
      <c r="C92" s="58" t="s">
        <v>104</v>
      </c>
      <c r="D92" s="117"/>
      <c r="E92" s="36"/>
      <c r="F92" s="36">
        <v>1</v>
      </c>
      <c r="G92" s="36">
        <v>893.02</v>
      </c>
      <c r="H92" s="114">
        <f>F92*G92/1000</f>
        <v>0.89302000000000004</v>
      </c>
      <c r="I92" s="13">
        <f>G92</f>
        <v>893.02</v>
      </c>
    </row>
    <row r="93" spans="1:9">
      <c r="A93" s="29">
        <v>26</v>
      </c>
      <c r="B93" s="115" t="s">
        <v>169</v>
      </c>
      <c r="C93" s="116" t="s">
        <v>170</v>
      </c>
      <c r="D93" s="117"/>
      <c r="E93" s="36"/>
      <c r="F93" s="36">
        <v>1</v>
      </c>
      <c r="G93" s="36">
        <v>202.48</v>
      </c>
      <c r="H93" s="114">
        <f>F93*G93/1000</f>
        <v>0.20247999999999999</v>
      </c>
      <c r="I93" s="13">
        <f>G93*1</f>
        <v>202.48</v>
      </c>
    </row>
    <row r="94" spans="1:9">
      <c r="A94" s="29">
        <v>27</v>
      </c>
      <c r="B94" s="115" t="s">
        <v>182</v>
      </c>
      <c r="C94" s="141" t="s">
        <v>183</v>
      </c>
      <c r="D94" s="117"/>
      <c r="E94" s="36"/>
      <c r="F94" s="36">
        <v>0.01</v>
      </c>
      <c r="G94" s="36">
        <v>161.49</v>
      </c>
      <c r="H94" s="114">
        <f t="shared" ref="H94" si="12">F94*G94/1000</f>
        <v>1.6149000000000003E-3</v>
      </c>
      <c r="I94" s="13">
        <f>G94*1</f>
        <v>161.49</v>
      </c>
    </row>
    <row r="95" spans="1:9">
      <c r="A95" s="29"/>
      <c r="B95" s="50" t="s">
        <v>53</v>
      </c>
      <c r="C95" s="46"/>
      <c r="D95" s="54"/>
      <c r="E95" s="46">
        <v>1</v>
      </c>
      <c r="F95" s="46"/>
      <c r="G95" s="46"/>
      <c r="H95" s="46"/>
      <c r="I95" s="32">
        <f>SUM(I89:I94)</f>
        <v>3142.88</v>
      </c>
    </row>
    <row r="96" spans="1:9">
      <c r="A96" s="29"/>
      <c r="B96" s="52" t="s">
        <v>83</v>
      </c>
      <c r="C96" s="15"/>
      <c r="D96" s="15"/>
      <c r="E96" s="47"/>
      <c r="F96" s="47"/>
      <c r="G96" s="48"/>
      <c r="H96" s="48"/>
      <c r="I96" s="17">
        <v>0</v>
      </c>
    </row>
    <row r="97" spans="1:9">
      <c r="A97" s="55"/>
      <c r="B97" s="51" t="s">
        <v>151</v>
      </c>
      <c r="C97" s="35"/>
      <c r="D97" s="35"/>
      <c r="E97" s="35"/>
      <c r="F97" s="35"/>
      <c r="G97" s="35"/>
      <c r="H97" s="35"/>
      <c r="I97" s="49">
        <f>I86+I95</f>
        <v>63777.992824000001</v>
      </c>
    </row>
    <row r="98" spans="1:9">
      <c r="A98" s="199" t="s">
        <v>200</v>
      </c>
      <c r="B98" s="200"/>
      <c r="C98" s="200"/>
      <c r="D98" s="200"/>
      <c r="E98" s="200"/>
      <c r="F98" s="200"/>
      <c r="G98" s="200"/>
      <c r="H98" s="200"/>
      <c r="I98" s="200"/>
    </row>
    <row r="99" spans="1:9" ht="15.75">
      <c r="A99" s="191" t="s">
        <v>198</v>
      </c>
      <c r="B99" s="191"/>
      <c r="C99" s="191"/>
      <c r="D99" s="191"/>
      <c r="E99" s="191"/>
      <c r="F99" s="191"/>
      <c r="G99" s="191"/>
      <c r="H99" s="191"/>
      <c r="I99" s="191"/>
    </row>
    <row r="100" spans="1:9" ht="15.75">
      <c r="A100" s="62"/>
      <c r="B100" s="192" t="s">
        <v>199</v>
      </c>
      <c r="C100" s="192"/>
      <c r="D100" s="192"/>
      <c r="E100" s="192"/>
      <c r="F100" s="192"/>
      <c r="G100" s="192"/>
      <c r="H100" s="70"/>
      <c r="I100" s="3"/>
    </row>
    <row r="101" spans="1:9">
      <c r="A101" s="157"/>
      <c r="B101" s="193" t="s">
        <v>6</v>
      </c>
      <c r="C101" s="193"/>
      <c r="D101" s="193"/>
      <c r="E101" s="193"/>
      <c r="F101" s="193"/>
      <c r="G101" s="193"/>
      <c r="H101" s="24"/>
      <c r="I101" s="5"/>
    </row>
    <row r="102" spans="1:9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>
      <c r="A103" s="194" t="s">
        <v>7</v>
      </c>
      <c r="B103" s="194"/>
      <c r="C103" s="194"/>
      <c r="D103" s="194"/>
      <c r="E103" s="194"/>
      <c r="F103" s="194"/>
      <c r="G103" s="194"/>
      <c r="H103" s="194"/>
      <c r="I103" s="194"/>
    </row>
    <row r="104" spans="1:9" ht="15.75">
      <c r="A104" s="194" t="s">
        <v>8</v>
      </c>
      <c r="B104" s="194"/>
      <c r="C104" s="194"/>
      <c r="D104" s="194"/>
      <c r="E104" s="194"/>
      <c r="F104" s="194"/>
      <c r="G104" s="194"/>
      <c r="H104" s="194"/>
      <c r="I104" s="194"/>
    </row>
    <row r="105" spans="1:9" ht="15.75">
      <c r="A105" s="195" t="s">
        <v>63</v>
      </c>
      <c r="B105" s="195"/>
      <c r="C105" s="195"/>
      <c r="D105" s="195"/>
      <c r="E105" s="195"/>
      <c r="F105" s="195"/>
      <c r="G105" s="195"/>
      <c r="H105" s="195"/>
      <c r="I105" s="195"/>
    </row>
    <row r="106" spans="1:9" ht="15.75">
      <c r="A106" s="11"/>
    </row>
    <row r="107" spans="1:9" ht="15.75">
      <c r="A107" s="196" t="s">
        <v>9</v>
      </c>
      <c r="B107" s="196"/>
      <c r="C107" s="196"/>
      <c r="D107" s="196"/>
      <c r="E107" s="196"/>
      <c r="F107" s="196"/>
      <c r="G107" s="196"/>
      <c r="H107" s="196"/>
      <c r="I107" s="196"/>
    </row>
    <row r="108" spans="1:9" ht="15.75">
      <c r="A108" s="4"/>
    </row>
    <row r="109" spans="1:9" ht="15.75">
      <c r="B109" s="154" t="s">
        <v>10</v>
      </c>
      <c r="C109" s="197" t="s">
        <v>94</v>
      </c>
      <c r="D109" s="197"/>
      <c r="E109" s="197"/>
      <c r="F109" s="68"/>
      <c r="I109" s="156"/>
    </row>
    <row r="110" spans="1:9">
      <c r="A110" s="157"/>
      <c r="C110" s="193" t="s">
        <v>11</v>
      </c>
      <c r="D110" s="193"/>
      <c r="E110" s="193"/>
      <c r="F110" s="24"/>
      <c r="I110" s="155" t="s">
        <v>12</v>
      </c>
    </row>
    <row r="111" spans="1:9" ht="15.75">
      <c r="A111" s="25"/>
      <c r="C111" s="12"/>
      <c r="D111" s="12"/>
      <c r="G111" s="12"/>
      <c r="H111" s="12"/>
    </row>
    <row r="112" spans="1:9" ht="15.75">
      <c r="B112" s="154" t="s">
        <v>13</v>
      </c>
      <c r="C112" s="198"/>
      <c r="D112" s="198"/>
      <c r="E112" s="198"/>
      <c r="F112" s="69"/>
      <c r="I112" s="156"/>
    </row>
    <row r="113" spans="1:9">
      <c r="A113" s="157"/>
      <c r="C113" s="187" t="s">
        <v>11</v>
      </c>
      <c r="D113" s="187"/>
      <c r="E113" s="187"/>
      <c r="F113" s="157"/>
      <c r="I113" s="155" t="s">
        <v>12</v>
      </c>
    </row>
    <row r="114" spans="1:9" ht="15.75">
      <c r="A114" s="4" t="s">
        <v>14</v>
      </c>
    </row>
    <row r="115" spans="1:9">
      <c r="A115" s="201" t="s">
        <v>15</v>
      </c>
      <c r="B115" s="201"/>
      <c r="C115" s="201"/>
      <c r="D115" s="201"/>
      <c r="E115" s="201"/>
      <c r="F115" s="201"/>
      <c r="G115" s="201"/>
      <c r="H115" s="201"/>
      <c r="I115" s="201"/>
    </row>
    <row r="116" spans="1:9" ht="34.5" customHeight="1">
      <c r="A116" s="202" t="s">
        <v>16</v>
      </c>
      <c r="B116" s="202"/>
      <c r="C116" s="202"/>
      <c r="D116" s="202"/>
      <c r="E116" s="202"/>
      <c r="F116" s="202"/>
      <c r="G116" s="202"/>
      <c r="H116" s="202"/>
      <c r="I116" s="202"/>
    </row>
    <row r="117" spans="1:9" ht="35.25" customHeight="1">
      <c r="A117" s="202" t="s">
        <v>17</v>
      </c>
      <c r="B117" s="202"/>
      <c r="C117" s="202"/>
      <c r="D117" s="202"/>
      <c r="E117" s="202"/>
      <c r="F117" s="202"/>
      <c r="G117" s="202"/>
      <c r="H117" s="202"/>
      <c r="I117" s="202"/>
    </row>
    <row r="118" spans="1:9" ht="42" customHeight="1">
      <c r="A118" s="202" t="s">
        <v>21</v>
      </c>
      <c r="B118" s="202"/>
      <c r="C118" s="202"/>
      <c r="D118" s="202"/>
      <c r="E118" s="202"/>
      <c r="F118" s="202"/>
      <c r="G118" s="202"/>
      <c r="H118" s="202"/>
      <c r="I118" s="202"/>
    </row>
    <row r="119" spans="1:9" ht="15.75">
      <c r="A119" s="202" t="s">
        <v>20</v>
      </c>
      <c r="B119" s="202"/>
      <c r="C119" s="202"/>
      <c r="D119" s="202"/>
      <c r="E119" s="202"/>
      <c r="F119" s="202"/>
      <c r="G119" s="202"/>
      <c r="H119" s="202"/>
      <c r="I119" s="202"/>
    </row>
  </sheetData>
  <mergeCells count="29">
    <mergeCell ref="C110:E110"/>
    <mergeCell ref="A3:I3"/>
    <mergeCell ref="A8:I8"/>
    <mergeCell ref="A28:I28"/>
    <mergeCell ref="A118:I118"/>
    <mergeCell ref="A4:I4"/>
    <mergeCell ref="A5:I5"/>
    <mergeCell ref="A10:I10"/>
    <mergeCell ref="A14:I14"/>
    <mergeCell ref="A15:I15"/>
    <mergeCell ref="A45:I45"/>
    <mergeCell ref="A56:I56"/>
    <mergeCell ref="A83:I83"/>
    <mergeCell ref="A119:I119"/>
    <mergeCell ref="A87:I87"/>
    <mergeCell ref="A99:I99"/>
    <mergeCell ref="B100:G100"/>
    <mergeCell ref="B101:G101"/>
    <mergeCell ref="A104:I104"/>
    <mergeCell ref="A107:I107"/>
    <mergeCell ref="A115:I115"/>
    <mergeCell ref="A116:I116"/>
    <mergeCell ref="A117:I117"/>
    <mergeCell ref="C113:E113"/>
    <mergeCell ref="C112:E112"/>
    <mergeCell ref="C109:E109"/>
    <mergeCell ref="A103:I103"/>
    <mergeCell ref="A105:I105"/>
    <mergeCell ref="A98:I98"/>
  </mergeCells>
  <pageMargins left="0.7" right="0.7" top="0.75" bottom="0.75" header="0.3" footer="0.3"/>
  <pageSetup paperSize="9" scale="63" orientation="portrait" horizontalDpi="0" verticalDpi="0" r:id="rId1"/>
  <rowBreaks count="1" manualBreakCount="1">
    <brk id="10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I116"/>
  <sheetViews>
    <sheetView topLeftCell="A85" workbookViewId="0">
      <selection activeCell="I91" sqref="I91"/>
    </sheetView>
  </sheetViews>
  <sheetFormatPr defaultRowHeight="15"/>
  <cols>
    <col min="2" max="2" width="51.42578125" customWidth="1"/>
    <col min="3" max="4" width="18.28515625" customWidth="1"/>
    <col min="5" max="6" width="0" hidden="1" customWidth="1"/>
    <col min="7" max="7" width="18.140625" customWidth="1"/>
    <col min="8" max="8" width="0" hidden="1" customWidth="1"/>
    <col min="9" max="9" width="12.42578125" customWidth="1"/>
  </cols>
  <sheetData>
    <row r="1" spans="1:9" ht="15.75">
      <c r="A1" s="27" t="s">
        <v>89</v>
      </c>
      <c r="I1" s="26"/>
    </row>
    <row r="2" spans="1:9" ht="15.75">
      <c r="A2" s="28" t="s">
        <v>64</v>
      </c>
    </row>
    <row r="3" spans="1:9" ht="15.75">
      <c r="A3" s="182" t="s">
        <v>186</v>
      </c>
      <c r="B3" s="182"/>
      <c r="C3" s="182"/>
      <c r="D3" s="182"/>
      <c r="E3" s="182"/>
      <c r="F3" s="182"/>
      <c r="G3" s="182"/>
      <c r="H3" s="182"/>
      <c r="I3" s="182"/>
    </row>
    <row r="4" spans="1:9" ht="28.5" customHeight="1">
      <c r="A4" s="183" t="s">
        <v>124</v>
      </c>
      <c r="B4" s="183"/>
      <c r="C4" s="183"/>
      <c r="D4" s="183"/>
      <c r="E4" s="183"/>
      <c r="F4" s="183"/>
      <c r="G4" s="183"/>
      <c r="H4" s="183"/>
      <c r="I4" s="183"/>
    </row>
    <row r="5" spans="1:9" ht="15.75">
      <c r="A5" s="182" t="s">
        <v>187</v>
      </c>
      <c r="B5" s="184"/>
      <c r="C5" s="184"/>
      <c r="D5" s="184"/>
      <c r="E5" s="184"/>
      <c r="F5" s="184"/>
      <c r="G5" s="184"/>
      <c r="H5" s="184"/>
      <c r="I5" s="184"/>
    </row>
    <row r="6" spans="1:9" ht="15.75">
      <c r="A6" s="2"/>
      <c r="B6" s="160"/>
      <c r="C6" s="160"/>
      <c r="D6" s="160"/>
      <c r="E6" s="160"/>
      <c r="F6" s="160"/>
      <c r="G6" s="160"/>
      <c r="H6" s="160"/>
      <c r="I6" s="30">
        <v>43251</v>
      </c>
    </row>
    <row r="7" spans="1:9" ht="15.75">
      <c r="B7" s="163"/>
      <c r="C7" s="163"/>
      <c r="D7" s="163"/>
      <c r="E7" s="3"/>
      <c r="F7" s="3"/>
      <c r="G7" s="3"/>
      <c r="H7" s="3"/>
    </row>
    <row r="8" spans="1:9" ht="63.75" customHeight="1">
      <c r="A8" s="185" t="s">
        <v>152</v>
      </c>
      <c r="B8" s="185"/>
      <c r="C8" s="185"/>
      <c r="D8" s="185"/>
      <c r="E8" s="185"/>
      <c r="F8" s="185"/>
      <c r="G8" s="185"/>
      <c r="H8" s="185"/>
      <c r="I8" s="185"/>
    </row>
    <row r="9" spans="1:9" ht="15.75">
      <c r="A9" s="4"/>
    </row>
    <row r="10" spans="1:9" ht="65.25" customHeight="1">
      <c r="A10" s="186" t="s">
        <v>173</v>
      </c>
      <c r="B10" s="186"/>
      <c r="C10" s="186"/>
      <c r="D10" s="186"/>
      <c r="E10" s="186"/>
      <c r="F10" s="186"/>
      <c r="G10" s="186"/>
      <c r="H10" s="186"/>
      <c r="I10" s="186"/>
    </row>
    <row r="11" spans="1:9" ht="15.75">
      <c r="A11" s="4"/>
    </row>
    <row r="12" spans="1:9" ht="75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177" t="s">
        <v>61</v>
      </c>
      <c r="B14" s="177"/>
      <c r="C14" s="177"/>
      <c r="D14" s="177"/>
      <c r="E14" s="177"/>
      <c r="F14" s="177"/>
      <c r="G14" s="177"/>
      <c r="H14" s="177"/>
      <c r="I14" s="177"/>
    </row>
    <row r="15" spans="1:9">
      <c r="A15" s="178" t="s">
        <v>4</v>
      </c>
      <c r="B15" s="178"/>
      <c r="C15" s="178"/>
      <c r="D15" s="178"/>
      <c r="E15" s="178"/>
      <c r="F15" s="178"/>
      <c r="G15" s="178"/>
      <c r="H15" s="178"/>
      <c r="I15" s="178"/>
    </row>
    <row r="16" spans="1:9">
      <c r="A16" s="29">
        <v>1</v>
      </c>
      <c r="B16" s="71" t="s">
        <v>90</v>
      </c>
      <c r="C16" s="72" t="s">
        <v>99</v>
      </c>
      <c r="D16" s="71" t="s">
        <v>125</v>
      </c>
      <c r="E16" s="73">
        <v>92.5</v>
      </c>
      <c r="F16" s="74">
        <f>SUM(E16*156/100)</f>
        <v>144.30000000000001</v>
      </c>
      <c r="G16" s="74">
        <v>230</v>
      </c>
      <c r="H16" s="78">
        <f t="shared" ref="H16:H27" si="0">SUM(F16*G16/1000)</f>
        <v>33.189</v>
      </c>
      <c r="I16" s="13">
        <f>F16/12*G16</f>
        <v>2765.75</v>
      </c>
    </row>
    <row r="17" spans="1:9">
      <c r="A17" s="29">
        <v>2</v>
      </c>
      <c r="B17" s="71" t="s">
        <v>91</v>
      </c>
      <c r="C17" s="72" t="s">
        <v>99</v>
      </c>
      <c r="D17" s="71" t="s">
        <v>126</v>
      </c>
      <c r="E17" s="73">
        <v>288.8</v>
      </c>
      <c r="F17" s="74">
        <f>SUM(E17*104/100)</f>
        <v>300.35200000000003</v>
      </c>
      <c r="G17" s="74">
        <v>230</v>
      </c>
      <c r="H17" s="78">
        <f t="shared" si="0"/>
        <v>69.080960000000005</v>
      </c>
      <c r="I17" s="13">
        <f>F17/12*G17</f>
        <v>5756.7466666666678</v>
      </c>
    </row>
    <row r="18" spans="1:9">
      <c r="A18" s="29">
        <v>3</v>
      </c>
      <c r="B18" s="71" t="s">
        <v>92</v>
      </c>
      <c r="C18" s="72" t="s">
        <v>99</v>
      </c>
      <c r="D18" s="71" t="s">
        <v>149</v>
      </c>
      <c r="E18" s="73">
        <f>SUM(E16+E17)</f>
        <v>381.3</v>
      </c>
      <c r="F18" s="74">
        <f>SUM(E18*12/100)</f>
        <v>45.756</v>
      </c>
      <c r="G18" s="74">
        <v>661.67</v>
      </c>
      <c r="H18" s="78">
        <f t="shared" si="0"/>
        <v>30.275372519999998</v>
      </c>
      <c r="I18" s="13">
        <f>F18/12*G18</f>
        <v>2522.9477099999999</v>
      </c>
    </row>
    <row r="19" spans="1:9">
      <c r="A19" s="29">
        <v>4</v>
      </c>
      <c r="B19" s="71" t="s">
        <v>107</v>
      </c>
      <c r="C19" s="72" t="s">
        <v>108</v>
      </c>
      <c r="D19" s="71" t="s">
        <v>109</v>
      </c>
      <c r="E19" s="73">
        <v>19.2</v>
      </c>
      <c r="F19" s="74">
        <f>SUM(E19/10)</f>
        <v>1.92</v>
      </c>
      <c r="G19" s="74">
        <v>223.17</v>
      </c>
      <c r="H19" s="78">
        <f t="shared" si="0"/>
        <v>0.42848639999999993</v>
      </c>
      <c r="I19" s="13">
        <f>G19*1.92</f>
        <v>428.48639999999995</v>
      </c>
    </row>
    <row r="20" spans="1:9">
      <c r="A20" s="29">
        <v>5</v>
      </c>
      <c r="B20" s="71" t="s">
        <v>98</v>
      </c>
      <c r="C20" s="72" t="s">
        <v>99</v>
      </c>
      <c r="D20" s="71" t="s">
        <v>153</v>
      </c>
      <c r="E20" s="73">
        <v>27.3</v>
      </c>
      <c r="F20" s="74">
        <f>SUM(E20*2/100)</f>
        <v>0.54600000000000004</v>
      </c>
      <c r="G20" s="74">
        <v>285.76</v>
      </c>
      <c r="H20" s="78">
        <f t="shared" si="0"/>
        <v>0.15602495999999999</v>
      </c>
      <c r="I20" s="13">
        <f>F20/2*G20</f>
        <v>78.012479999999996</v>
      </c>
    </row>
    <row r="21" spans="1:9">
      <c r="A21" s="29">
        <v>6</v>
      </c>
      <c r="B21" s="71" t="s">
        <v>105</v>
      </c>
      <c r="C21" s="72" t="s">
        <v>99</v>
      </c>
      <c r="D21" s="71" t="s">
        <v>153</v>
      </c>
      <c r="E21" s="73">
        <v>9.08</v>
      </c>
      <c r="F21" s="74">
        <f>SUM(E21*2/100)</f>
        <v>0.18160000000000001</v>
      </c>
      <c r="G21" s="74">
        <v>283.44</v>
      </c>
      <c r="H21" s="78">
        <f>SUM(F21*G21/1000)</f>
        <v>5.1472704000000001E-2</v>
      </c>
      <c r="I21" s="13">
        <f>G21*0.0908</f>
        <v>25.736352</v>
      </c>
    </row>
    <row r="22" spans="1:9">
      <c r="A22" s="29">
        <v>7</v>
      </c>
      <c r="B22" s="71" t="s">
        <v>100</v>
      </c>
      <c r="C22" s="72" t="s">
        <v>54</v>
      </c>
      <c r="D22" s="71" t="s">
        <v>109</v>
      </c>
      <c r="E22" s="76">
        <v>30</v>
      </c>
      <c r="F22" s="74">
        <f>SUM(E22/100)</f>
        <v>0.3</v>
      </c>
      <c r="G22" s="74">
        <v>58.08</v>
      </c>
      <c r="H22" s="78">
        <f t="shared" si="0"/>
        <v>1.7423999999999999E-2</v>
      </c>
      <c r="I22" s="13">
        <f>G22*0.3</f>
        <v>17.423999999999999</v>
      </c>
    </row>
    <row r="23" spans="1:9">
      <c r="A23" s="29">
        <v>8</v>
      </c>
      <c r="B23" s="71" t="s">
        <v>101</v>
      </c>
      <c r="C23" s="72" t="s">
        <v>54</v>
      </c>
      <c r="D23" s="71" t="s">
        <v>109</v>
      </c>
      <c r="E23" s="73">
        <v>20</v>
      </c>
      <c r="F23" s="74">
        <f>SUM(E23/100)</f>
        <v>0.2</v>
      </c>
      <c r="G23" s="74">
        <v>511.12</v>
      </c>
      <c r="H23" s="78">
        <f t="shared" si="0"/>
        <v>0.10222400000000001</v>
      </c>
      <c r="I23" s="13">
        <f>G23*0.2</f>
        <v>102.224</v>
      </c>
    </row>
    <row r="24" spans="1:9">
      <c r="A24" s="29">
        <v>9</v>
      </c>
      <c r="B24" s="71" t="s">
        <v>102</v>
      </c>
      <c r="C24" s="72" t="s">
        <v>54</v>
      </c>
      <c r="D24" s="71" t="s">
        <v>109</v>
      </c>
      <c r="E24" s="73">
        <v>8.5</v>
      </c>
      <c r="F24" s="74">
        <f>SUM(E24/100)</f>
        <v>8.5000000000000006E-2</v>
      </c>
      <c r="G24" s="74">
        <v>683.05</v>
      </c>
      <c r="H24" s="78">
        <f t="shared" si="0"/>
        <v>5.805925E-2</v>
      </c>
      <c r="I24" s="13">
        <f>G24*0.085</f>
        <v>58.059249999999999</v>
      </c>
    </row>
    <row r="25" spans="1:9" ht="30">
      <c r="A25" s="94">
        <v>10</v>
      </c>
      <c r="B25" s="83" t="s">
        <v>106</v>
      </c>
      <c r="C25" s="84" t="s">
        <v>54</v>
      </c>
      <c r="D25" s="83" t="s">
        <v>55</v>
      </c>
      <c r="E25" s="81">
        <v>20</v>
      </c>
      <c r="F25" s="85">
        <f>SUM(E25/100)</f>
        <v>0.2</v>
      </c>
      <c r="G25" s="85">
        <v>283.44</v>
      </c>
      <c r="H25" s="82">
        <f t="shared" si="0"/>
        <v>5.6688000000000002E-2</v>
      </c>
      <c r="I25" s="13">
        <f>G25*0.2</f>
        <v>56.688000000000002</v>
      </c>
    </row>
    <row r="26" spans="1:9">
      <c r="A26" s="29">
        <v>11</v>
      </c>
      <c r="B26" s="34" t="s">
        <v>66</v>
      </c>
      <c r="C26" s="44" t="s">
        <v>33</v>
      </c>
      <c r="D26" s="34" t="s">
        <v>154</v>
      </c>
      <c r="E26" s="118">
        <v>0.05</v>
      </c>
      <c r="F26" s="33">
        <f>SUM(E26*182)</f>
        <v>9.1</v>
      </c>
      <c r="G26" s="33">
        <v>264.85000000000002</v>
      </c>
      <c r="H26" s="119">
        <f t="shared" si="0"/>
        <v>2.4101350000000004</v>
      </c>
      <c r="I26" s="13">
        <f>F26/12*G26</f>
        <v>200.84458333333333</v>
      </c>
    </row>
    <row r="27" spans="1:9">
      <c r="A27" s="29">
        <v>12</v>
      </c>
      <c r="B27" s="120" t="s">
        <v>23</v>
      </c>
      <c r="C27" s="44" t="s">
        <v>24</v>
      </c>
      <c r="D27" s="34"/>
      <c r="E27" s="121">
        <v>3053.4</v>
      </c>
      <c r="F27" s="33">
        <f>SUM(E27*12)</f>
        <v>36640.800000000003</v>
      </c>
      <c r="G27" s="33">
        <v>4.09</v>
      </c>
      <c r="H27" s="119">
        <f t="shared" si="0"/>
        <v>149.860872</v>
      </c>
      <c r="I27" s="13">
        <f>F27/12*G27</f>
        <v>12488.405999999999</v>
      </c>
    </row>
    <row r="28" spans="1:9">
      <c r="A28" s="178" t="s">
        <v>150</v>
      </c>
      <c r="B28" s="178"/>
      <c r="C28" s="178"/>
      <c r="D28" s="178"/>
      <c r="E28" s="178"/>
      <c r="F28" s="178"/>
      <c r="G28" s="178"/>
      <c r="H28" s="178"/>
      <c r="I28" s="178"/>
    </row>
    <row r="29" spans="1:9">
      <c r="A29" s="96"/>
      <c r="B29" s="104" t="s">
        <v>28</v>
      </c>
      <c r="C29" s="98"/>
      <c r="D29" s="97"/>
      <c r="E29" s="99"/>
      <c r="F29" s="100"/>
      <c r="G29" s="100"/>
      <c r="H29" s="105"/>
      <c r="I29" s="106"/>
    </row>
    <row r="30" spans="1:9">
      <c r="A30" s="29">
        <v>13</v>
      </c>
      <c r="B30" s="71" t="s">
        <v>110</v>
      </c>
      <c r="C30" s="72" t="s">
        <v>111</v>
      </c>
      <c r="D30" s="71" t="s">
        <v>127</v>
      </c>
      <c r="E30" s="74">
        <v>317.7</v>
      </c>
      <c r="F30" s="74">
        <f>SUM(E30*52/1000)</f>
        <v>16.520399999999999</v>
      </c>
      <c r="G30" s="74">
        <v>204.44</v>
      </c>
      <c r="H30" s="78">
        <f t="shared" ref="H30:H36" si="1">SUM(F30*G30/1000)</f>
        <v>3.3774305759999996</v>
      </c>
      <c r="I30" s="13">
        <f t="shared" ref="I30:I34" si="2">F30/6*G30</f>
        <v>562.90509599999996</v>
      </c>
    </row>
    <row r="31" spans="1:9" ht="45">
      <c r="A31" s="29">
        <v>14</v>
      </c>
      <c r="B31" s="71" t="s">
        <v>137</v>
      </c>
      <c r="C31" s="72" t="s">
        <v>111</v>
      </c>
      <c r="D31" s="71" t="s">
        <v>128</v>
      </c>
      <c r="E31" s="74">
        <v>146.1</v>
      </c>
      <c r="F31" s="74">
        <f>SUM(E31*78/1000)</f>
        <v>11.395799999999999</v>
      </c>
      <c r="G31" s="74">
        <v>339.21</v>
      </c>
      <c r="H31" s="78">
        <f t="shared" si="1"/>
        <v>3.8655693179999995</v>
      </c>
      <c r="I31" s="13">
        <f t="shared" si="2"/>
        <v>644.26155299999994</v>
      </c>
    </row>
    <row r="32" spans="1:9">
      <c r="A32" s="29">
        <v>15</v>
      </c>
      <c r="B32" s="71" t="s">
        <v>27</v>
      </c>
      <c r="C32" s="72" t="s">
        <v>111</v>
      </c>
      <c r="D32" s="71" t="s">
        <v>55</v>
      </c>
      <c r="E32" s="74">
        <f>E30</f>
        <v>317.7</v>
      </c>
      <c r="F32" s="74">
        <f>SUM(E32/1000)</f>
        <v>0.31769999999999998</v>
      </c>
      <c r="G32" s="74">
        <v>3961.23</v>
      </c>
      <c r="H32" s="78">
        <f t="shared" si="1"/>
        <v>1.2584827709999999</v>
      </c>
      <c r="I32" s="13">
        <f>F32*G32</f>
        <v>1258.482771</v>
      </c>
    </row>
    <row r="33" spans="1:9">
      <c r="A33" s="29">
        <v>16</v>
      </c>
      <c r="B33" s="71" t="s">
        <v>155</v>
      </c>
      <c r="C33" s="72" t="s">
        <v>41</v>
      </c>
      <c r="D33" s="71" t="s">
        <v>65</v>
      </c>
      <c r="E33" s="74">
        <v>5</v>
      </c>
      <c r="F33" s="74">
        <f>E33*155/100</f>
        <v>7.75</v>
      </c>
      <c r="G33" s="74">
        <v>1707.63</v>
      </c>
      <c r="H33" s="78">
        <f t="shared" si="1"/>
        <v>13.234132500000001</v>
      </c>
      <c r="I33" s="13">
        <f t="shared" si="2"/>
        <v>2205.6887500000003</v>
      </c>
    </row>
    <row r="34" spans="1:9">
      <c r="A34" s="29">
        <v>17</v>
      </c>
      <c r="B34" s="71" t="s">
        <v>112</v>
      </c>
      <c r="C34" s="72" t="s">
        <v>31</v>
      </c>
      <c r="D34" s="71" t="s">
        <v>65</v>
      </c>
      <c r="E34" s="80">
        <f>1/6</f>
        <v>0.16666666666666666</v>
      </c>
      <c r="F34" s="74">
        <f>155/6</f>
        <v>25.833333333333332</v>
      </c>
      <c r="G34" s="74">
        <v>74.349999999999994</v>
      </c>
      <c r="H34" s="78">
        <f t="shared" si="1"/>
        <v>1.920708333333333</v>
      </c>
      <c r="I34" s="13">
        <f t="shared" si="2"/>
        <v>320.11805555555554</v>
      </c>
    </row>
    <row r="35" spans="1:9" hidden="1">
      <c r="A35" s="29"/>
      <c r="B35" s="34" t="s">
        <v>67</v>
      </c>
      <c r="C35" s="44" t="s">
        <v>33</v>
      </c>
      <c r="D35" s="34" t="s">
        <v>69</v>
      </c>
      <c r="E35" s="121"/>
      <c r="F35" s="33">
        <v>2</v>
      </c>
      <c r="G35" s="33">
        <v>250.92</v>
      </c>
      <c r="H35" s="119">
        <f t="shared" si="1"/>
        <v>0.50183999999999995</v>
      </c>
      <c r="I35" s="13">
        <v>0</v>
      </c>
    </row>
    <row r="36" spans="1:9" hidden="1">
      <c r="A36" s="29"/>
      <c r="B36" s="34" t="s">
        <v>68</v>
      </c>
      <c r="C36" s="44" t="s">
        <v>32</v>
      </c>
      <c r="D36" s="34" t="s">
        <v>69</v>
      </c>
      <c r="E36" s="121"/>
      <c r="F36" s="33">
        <v>1</v>
      </c>
      <c r="G36" s="33">
        <v>1490.31</v>
      </c>
      <c r="H36" s="119">
        <f t="shared" si="1"/>
        <v>1.49031</v>
      </c>
      <c r="I36" s="13"/>
    </row>
    <row r="37" spans="1:9" hidden="1">
      <c r="A37" s="29"/>
      <c r="B37" s="93" t="s">
        <v>5</v>
      </c>
      <c r="C37" s="72"/>
      <c r="D37" s="71"/>
      <c r="E37" s="73"/>
      <c r="F37" s="74"/>
      <c r="G37" s="74"/>
      <c r="H37" s="78" t="s">
        <v>132</v>
      </c>
      <c r="I37" s="79"/>
    </row>
    <row r="38" spans="1:9" hidden="1">
      <c r="A38" s="29">
        <v>6</v>
      </c>
      <c r="B38" s="71" t="s">
        <v>26</v>
      </c>
      <c r="C38" s="72" t="s">
        <v>32</v>
      </c>
      <c r="D38" s="71"/>
      <c r="E38" s="73"/>
      <c r="F38" s="74">
        <v>3</v>
      </c>
      <c r="G38" s="74">
        <v>2003</v>
      </c>
      <c r="H38" s="78">
        <f t="shared" ref="H38:H44" si="3">SUM(F38*G38/1000)</f>
        <v>6.0090000000000003</v>
      </c>
      <c r="I38" s="13">
        <f t="shared" ref="I38:I42" si="4">F38/6*G38</f>
        <v>1001.5</v>
      </c>
    </row>
    <row r="39" spans="1:9" hidden="1">
      <c r="A39" s="29">
        <v>7</v>
      </c>
      <c r="B39" s="71" t="s">
        <v>70</v>
      </c>
      <c r="C39" s="72" t="s">
        <v>29</v>
      </c>
      <c r="D39" s="71" t="s">
        <v>156</v>
      </c>
      <c r="E39" s="74">
        <v>160.6</v>
      </c>
      <c r="F39" s="74">
        <f>SUM(E39*18/1000)</f>
        <v>2.8907999999999996</v>
      </c>
      <c r="G39" s="74">
        <v>2757.78</v>
      </c>
      <c r="H39" s="78">
        <f t="shared" si="3"/>
        <v>7.972190423999999</v>
      </c>
      <c r="I39" s="13">
        <f t="shared" si="4"/>
        <v>1328.698404</v>
      </c>
    </row>
    <row r="40" spans="1:9" hidden="1">
      <c r="A40" s="29">
        <v>8</v>
      </c>
      <c r="B40" s="71" t="s">
        <v>71</v>
      </c>
      <c r="C40" s="72" t="s">
        <v>29</v>
      </c>
      <c r="D40" s="71" t="s">
        <v>129</v>
      </c>
      <c r="E40" s="73">
        <v>89.1</v>
      </c>
      <c r="F40" s="74">
        <f>SUM(E40*155/1000)</f>
        <v>13.810499999999999</v>
      </c>
      <c r="G40" s="74">
        <v>460.02</v>
      </c>
      <c r="H40" s="78">
        <f t="shared" si="3"/>
        <v>6.3531062099999991</v>
      </c>
      <c r="I40" s="13">
        <f t="shared" si="4"/>
        <v>1058.8510349999999</v>
      </c>
    </row>
    <row r="41" spans="1:9" hidden="1">
      <c r="A41" s="29">
        <v>12</v>
      </c>
      <c r="B41" s="71" t="s">
        <v>157</v>
      </c>
      <c r="C41" s="72" t="s">
        <v>158</v>
      </c>
      <c r="D41" s="71" t="s">
        <v>69</v>
      </c>
      <c r="E41" s="73"/>
      <c r="F41" s="74">
        <v>39</v>
      </c>
      <c r="G41" s="74">
        <v>301.70999999999998</v>
      </c>
      <c r="H41" s="78">
        <f t="shared" si="3"/>
        <v>11.766689999999999</v>
      </c>
      <c r="I41" s="13">
        <v>0</v>
      </c>
    </row>
    <row r="42" spans="1:9" ht="60" hidden="1">
      <c r="A42" s="29">
        <v>9</v>
      </c>
      <c r="B42" s="71" t="s">
        <v>88</v>
      </c>
      <c r="C42" s="72" t="s">
        <v>111</v>
      </c>
      <c r="D42" s="71" t="s">
        <v>159</v>
      </c>
      <c r="E42" s="74">
        <v>46.5</v>
      </c>
      <c r="F42" s="74">
        <f>SUM(E42*35/1000)</f>
        <v>1.6274999999999999</v>
      </c>
      <c r="G42" s="74">
        <v>7611.16</v>
      </c>
      <c r="H42" s="78">
        <f t="shared" si="3"/>
        <v>12.3871629</v>
      </c>
      <c r="I42" s="13">
        <f t="shared" si="4"/>
        <v>2064.5271499999999</v>
      </c>
    </row>
    <row r="43" spans="1:9" hidden="1">
      <c r="A43" s="94">
        <v>10</v>
      </c>
      <c r="B43" s="83" t="s">
        <v>113</v>
      </c>
      <c r="C43" s="84" t="s">
        <v>111</v>
      </c>
      <c r="D43" s="83" t="s">
        <v>72</v>
      </c>
      <c r="E43" s="85">
        <v>89.1</v>
      </c>
      <c r="F43" s="85">
        <f>SUM(E43*45/1000)</f>
        <v>4.0094999999999992</v>
      </c>
      <c r="G43" s="85">
        <v>562.25</v>
      </c>
      <c r="H43" s="82">
        <f t="shared" si="3"/>
        <v>2.2543413749999996</v>
      </c>
      <c r="I43" s="95">
        <f>(F43/7.5*1.5)*G43</f>
        <v>450.86827499999993</v>
      </c>
    </row>
    <row r="44" spans="1:9" hidden="1">
      <c r="A44" s="29">
        <v>11</v>
      </c>
      <c r="B44" s="14" t="s">
        <v>73</v>
      </c>
      <c r="C44" s="16" t="s">
        <v>33</v>
      </c>
      <c r="D44" s="14"/>
      <c r="E44" s="18"/>
      <c r="F44" s="13">
        <v>0.9</v>
      </c>
      <c r="G44" s="13">
        <v>974.83</v>
      </c>
      <c r="H44" s="13">
        <f t="shared" si="3"/>
        <v>0.8773470000000001</v>
      </c>
      <c r="I44" s="95">
        <f>(F44/7.5*1.5)*G44</f>
        <v>175.46940000000004</v>
      </c>
    </row>
    <row r="45" spans="1:9">
      <c r="A45" s="179" t="s">
        <v>138</v>
      </c>
      <c r="B45" s="180"/>
      <c r="C45" s="180"/>
      <c r="D45" s="180"/>
      <c r="E45" s="180"/>
      <c r="F45" s="180"/>
      <c r="G45" s="180"/>
      <c r="H45" s="180"/>
      <c r="I45" s="181"/>
    </row>
    <row r="46" spans="1:9">
      <c r="A46" s="29">
        <v>18</v>
      </c>
      <c r="B46" s="39" t="s">
        <v>114</v>
      </c>
      <c r="C46" s="40" t="s">
        <v>111</v>
      </c>
      <c r="D46" s="39" t="s">
        <v>43</v>
      </c>
      <c r="E46" s="17">
        <v>1632.75</v>
      </c>
      <c r="F46" s="36">
        <f>SUM(E46*2/1000)</f>
        <v>3.2654999999999998</v>
      </c>
      <c r="G46" s="36">
        <v>1062</v>
      </c>
      <c r="H46" s="36">
        <f t="shared" ref="H46:H55" si="5">SUM(F46*G46/1000)</f>
        <v>3.4679609999999998</v>
      </c>
      <c r="I46" s="13">
        <f>F46/2*G46</f>
        <v>1733.9804999999999</v>
      </c>
    </row>
    <row r="47" spans="1:9">
      <c r="A47" s="29">
        <v>19</v>
      </c>
      <c r="B47" s="39" t="s">
        <v>36</v>
      </c>
      <c r="C47" s="40" t="s">
        <v>111</v>
      </c>
      <c r="D47" s="39" t="s">
        <v>43</v>
      </c>
      <c r="E47" s="17">
        <v>53.75</v>
      </c>
      <c r="F47" s="36">
        <f>SUM(E47*2/1000)</f>
        <v>0.1075</v>
      </c>
      <c r="G47" s="36">
        <v>759.98</v>
      </c>
      <c r="H47" s="36">
        <f t="shared" si="5"/>
        <v>8.1697850000000002E-2</v>
      </c>
      <c r="I47" s="13">
        <f t="shared" ref="I47:I54" si="6">F47/2*G47</f>
        <v>40.848925000000001</v>
      </c>
    </row>
    <row r="48" spans="1:9">
      <c r="A48" s="29">
        <v>20</v>
      </c>
      <c r="B48" s="39" t="s">
        <v>37</v>
      </c>
      <c r="C48" s="40" t="s">
        <v>111</v>
      </c>
      <c r="D48" s="39" t="s">
        <v>43</v>
      </c>
      <c r="E48" s="17">
        <v>2285.6</v>
      </c>
      <c r="F48" s="36">
        <f>SUM(E48*2/1000)</f>
        <v>4.5712000000000002</v>
      </c>
      <c r="G48" s="36">
        <v>759.98</v>
      </c>
      <c r="H48" s="36">
        <f t="shared" si="5"/>
        <v>3.4740205760000005</v>
      </c>
      <c r="I48" s="13">
        <f t="shared" si="6"/>
        <v>1737.0102880000002</v>
      </c>
    </row>
    <row r="49" spans="1:9">
      <c r="A49" s="29">
        <v>21</v>
      </c>
      <c r="B49" s="39" t="s">
        <v>38</v>
      </c>
      <c r="C49" s="40" t="s">
        <v>111</v>
      </c>
      <c r="D49" s="39" t="s">
        <v>43</v>
      </c>
      <c r="E49" s="17">
        <v>1860</v>
      </c>
      <c r="F49" s="36">
        <f>SUM(E49*2/1000)</f>
        <v>3.72</v>
      </c>
      <c r="G49" s="36">
        <v>795.82</v>
      </c>
      <c r="H49" s="36">
        <f t="shared" si="5"/>
        <v>2.9604504</v>
      </c>
      <c r="I49" s="13">
        <f t="shared" si="6"/>
        <v>1480.2252000000001</v>
      </c>
    </row>
    <row r="50" spans="1:9">
      <c r="A50" s="29">
        <v>22</v>
      </c>
      <c r="B50" s="39" t="s">
        <v>34</v>
      </c>
      <c r="C50" s="40" t="s">
        <v>35</v>
      </c>
      <c r="D50" s="39" t="s">
        <v>43</v>
      </c>
      <c r="E50" s="17">
        <v>120.5</v>
      </c>
      <c r="F50" s="36">
        <f>SUM(E50*2/100)</f>
        <v>2.41</v>
      </c>
      <c r="G50" s="36">
        <v>95.49</v>
      </c>
      <c r="H50" s="36">
        <f t="shared" si="5"/>
        <v>0.2301309</v>
      </c>
      <c r="I50" s="13">
        <f t="shared" si="6"/>
        <v>115.06545</v>
      </c>
    </row>
    <row r="51" spans="1:9">
      <c r="A51" s="29">
        <v>23</v>
      </c>
      <c r="B51" s="39" t="s">
        <v>58</v>
      </c>
      <c r="C51" s="40" t="s">
        <v>111</v>
      </c>
      <c r="D51" s="39" t="s">
        <v>141</v>
      </c>
      <c r="E51" s="17">
        <v>3053.4</v>
      </c>
      <c r="F51" s="36">
        <f>SUM(E51*5/1000)</f>
        <v>15.266999999999999</v>
      </c>
      <c r="G51" s="36">
        <v>1591.6</v>
      </c>
      <c r="H51" s="36">
        <f t="shared" si="5"/>
        <v>24.298957199999997</v>
      </c>
      <c r="I51" s="13">
        <f>F51/5*G51</f>
        <v>4859.79144</v>
      </c>
    </row>
    <row r="52" spans="1:9" ht="45">
      <c r="A52" s="29">
        <v>24</v>
      </c>
      <c r="B52" s="39" t="s">
        <v>115</v>
      </c>
      <c r="C52" s="40" t="s">
        <v>111</v>
      </c>
      <c r="D52" s="39" t="s">
        <v>43</v>
      </c>
      <c r="E52" s="17">
        <f>E51</f>
        <v>3053.4</v>
      </c>
      <c r="F52" s="36">
        <f>SUM(E52*2/1000)</f>
        <v>6.1067999999999998</v>
      </c>
      <c r="G52" s="36">
        <v>1591.6</v>
      </c>
      <c r="H52" s="36">
        <f t="shared" si="5"/>
        <v>9.7195828800000008</v>
      </c>
      <c r="I52" s="13">
        <f t="shared" si="6"/>
        <v>4859.79144</v>
      </c>
    </row>
    <row r="53" spans="1:9" ht="30">
      <c r="A53" s="29">
        <v>25</v>
      </c>
      <c r="B53" s="39" t="s">
        <v>133</v>
      </c>
      <c r="C53" s="40" t="s">
        <v>39</v>
      </c>
      <c r="D53" s="39" t="s">
        <v>43</v>
      </c>
      <c r="E53" s="17">
        <v>20</v>
      </c>
      <c r="F53" s="36">
        <f>SUM(E53*2/100)</f>
        <v>0.4</v>
      </c>
      <c r="G53" s="36">
        <v>3581.13</v>
      </c>
      <c r="H53" s="36">
        <f t="shared" si="5"/>
        <v>1.4324520000000003</v>
      </c>
      <c r="I53" s="13">
        <f t="shared" si="6"/>
        <v>716.22600000000011</v>
      </c>
    </row>
    <row r="54" spans="1:9">
      <c r="A54" s="29">
        <v>26</v>
      </c>
      <c r="B54" s="39" t="s">
        <v>40</v>
      </c>
      <c r="C54" s="40" t="s">
        <v>41</v>
      </c>
      <c r="D54" s="39" t="s">
        <v>43</v>
      </c>
      <c r="E54" s="17">
        <v>1</v>
      </c>
      <c r="F54" s="36">
        <v>0.02</v>
      </c>
      <c r="G54" s="36">
        <v>7412.92</v>
      </c>
      <c r="H54" s="36">
        <f t="shared" si="5"/>
        <v>0.14825839999999998</v>
      </c>
      <c r="I54" s="13">
        <f t="shared" si="6"/>
        <v>74.129199999999997</v>
      </c>
    </row>
    <row r="55" spans="1:9">
      <c r="A55" s="29">
        <v>27</v>
      </c>
      <c r="B55" s="39" t="s">
        <v>42</v>
      </c>
      <c r="C55" s="40" t="s">
        <v>95</v>
      </c>
      <c r="D55" s="39" t="s">
        <v>74</v>
      </c>
      <c r="E55" s="17">
        <v>128</v>
      </c>
      <c r="F55" s="36">
        <f>SUM(E55)*3</f>
        <v>384</v>
      </c>
      <c r="G55" s="37">
        <v>86.15</v>
      </c>
      <c r="H55" s="36">
        <f t="shared" si="5"/>
        <v>33.081600000000009</v>
      </c>
      <c r="I55" s="13">
        <f>E55*G55</f>
        <v>11027.2</v>
      </c>
    </row>
    <row r="56" spans="1:9">
      <c r="A56" s="179" t="s">
        <v>139</v>
      </c>
      <c r="B56" s="180"/>
      <c r="C56" s="180"/>
      <c r="D56" s="180"/>
      <c r="E56" s="180"/>
      <c r="F56" s="180"/>
      <c r="G56" s="180"/>
      <c r="H56" s="180"/>
      <c r="I56" s="181"/>
    </row>
    <row r="57" spans="1:9" hidden="1">
      <c r="A57" s="96"/>
      <c r="B57" s="104" t="s">
        <v>44</v>
      </c>
      <c r="C57" s="98"/>
      <c r="D57" s="97"/>
      <c r="E57" s="99"/>
      <c r="F57" s="100"/>
      <c r="G57" s="100"/>
      <c r="H57" s="105"/>
      <c r="I57" s="106"/>
    </row>
    <row r="58" spans="1:9" ht="30" hidden="1">
      <c r="A58" s="29">
        <v>12</v>
      </c>
      <c r="B58" s="71" t="s">
        <v>116</v>
      </c>
      <c r="C58" s="72" t="s">
        <v>99</v>
      </c>
      <c r="D58" s="71" t="s">
        <v>117</v>
      </c>
      <c r="E58" s="73">
        <v>92.7</v>
      </c>
      <c r="F58" s="74">
        <f>SUM(E58*6/100)</f>
        <v>5.5620000000000003</v>
      </c>
      <c r="G58" s="13">
        <v>2431.1799999999998</v>
      </c>
      <c r="H58" s="78">
        <f>SUM(F58*G58/1000)</f>
        <v>13.522223159999999</v>
      </c>
      <c r="I58" s="13">
        <f>G58*0.12</f>
        <v>291.74159999999995</v>
      </c>
    </row>
    <row r="59" spans="1:9" hidden="1">
      <c r="A59" s="29">
        <v>13</v>
      </c>
      <c r="B59" s="71" t="s">
        <v>134</v>
      </c>
      <c r="C59" s="72" t="s">
        <v>135</v>
      </c>
      <c r="D59" s="14" t="s">
        <v>69</v>
      </c>
      <c r="E59" s="73"/>
      <c r="F59" s="74">
        <v>2</v>
      </c>
      <c r="G59" s="67">
        <v>1582.05</v>
      </c>
      <c r="H59" s="78">
        <f>SUM(F59*G59/1000)</f>
        <v>3.1640999999999999</v>
      </c>
      <c r="I59" s="13">
        <f>G59*1</f>
        <v>1582.05</v>
      </c>
    </row>
    <row r="60" spans="1:9">
      <c r="A60" s="29"/>
      <c r="B60" s="93" t="s">
        <v>45</v>
      </c>
      <c r="C60" s="72"/>
      <c r="D60" s="71"/>
      <c r="E60" s="73"/>
      <c r="F60" s="74"/>
      <c r="G60" s="74"/>
      <c r="H60" s="75" t="s">
        <v>132</v>
      </c>
      <c r="I60" s="79"/>
    </row>
    <row r="61" spans="1:9" hidden="1">
      <c r="A61" s="29"/>
      <c r="B61" s="34" t="s">
        <v>46</v>
      </c>
      <c r="C61" s="44" t="s">
        <v>99</v>
      </c>
      <c r="D61" s="34" t="s">
        <v>55</v>
      </c>
      <c r="E61" s="123">
        <v>145</v>
      </c>
      <c r="F61" s="33">
        <f>SUM(E61/100)</f>
        <v>1.45</v>
      </c>
      <c r="G61" s="36">
        <v>1040.8399999999999</v>
      </c>
      <c r="H61" s="124">
        <v>9.1679999999999993</v>
      </c>
      <c r="I61" s="13">
        <v>0</v>
      </c>
    </row>
    <row r="62" spans="1:9">
      <c r="A62" s="29">
        <v>28</v>
      </c>
      <c r="B62" s="125" t="s">
        <v>96</v>
      </c>
      <c r="C62" s="126" t="s">
        <v>25</v>
      </c>
      <c r="D62" s="125" t="s">
        <v>30</v>
      </c>
      <c r="E62" s="123">
        <v>200</v>
      </c>
      <c r="F62" s="33">
        <f>SUM(E62*12)</f>
        <v>2400</v>
      </c>
      <c r="G62" s="127">
        <v>1.2</v>
      </c>
      <c r="H62" s="128">
        <f>G62*F62/1000</f>
        <v>2.88</v>
      </c>
      <c r="I62" s="13">
        <f>F62/12*G62</f>
        <v>240</v>
      </c>
    </row>
    <row r="63" spans="1:9">
      <c r="A63" s="29"/>
      <c r="B63" s="102" t="s">
        <v>47</v>
      </c>
      <c r="C63" s="84"/>
      <c r="D63" s="83"/>
      <c r="E63" s="81"/>
      <c r="F63" s="85"/>
      <c r="G63" s="85"/>
      <c r="H63" s="86" t="s">
        <v>132</v>
      </c>
      <c r="I63" s="79"/>
    </row>
    <row r="64" spans="1:9" ht="19.5" customHeight="1">
      <c r="A64" s="29">
        <v>29</v>
      </c>
      <c r="B64" s="56" t="s">
        <v>48</v>
      </c>
      <c r="C64" s="40" t="s">
        <v>95</v>
      </c>
      <c r="D64" s="39" t="s">
        <v>69</v>
      </c>
      <c r="E64" s="17">
        <v>6</v>
      </c>
      <c r="F64" s="33">
        <f>SUM(E64)</f>
        <v>6</v>
      </c>
      <c r="G64" s="36">
        <v>291.68</v>
      </c>
      <c r="H64" s="114">
        <f t="shared" ref="H64:H72" si="7">SUM(F64*G64/1000)</f>
        <v>1.7500799999999999</v>
      </c>
      <c r="I64" s="13">
        <f>G64</f>
        <v>291.68</v>
      </c>
    </row>
    <row r="65" spans="1:9" ht="15.75" hidden="1" customHeight="1">
      <c r="A65" s="29"/>
      <c r="B65" s="56" t="s">
        <v>49</v>
      </c>
      <c r="C65" s="40" t="s">
        <v>95</v>
      </c>
      <c r="D65" s="39" t="s">
        <v>69</v>
      </c>
      <c r="E65" s="17">
        <v>4</v>
      </c>
      <c r="F65" s="33">
        <f>SUM(E65)</f>
        <v>4</v>
      </c>
      <c r="G65" s="36">
        <v>100.01</v>
      </c>
      <c r="H65" s="114">
        <f t="shared" si="7"/>
        <v>0.40004000000000001</v>
      </c>
      <c r="I65" s="13">
        <v>0</v>
      </c>
    </row>
    <row r="66" spans="1:9">
      <c r="A66" s="29">
        <v>30</v>
      </c>
      <c r="B66" s="56" t="s">
        <v>50</v>
      </c>
      <c r="C66" s="42" t="s">
        <v>118</v>
      </c>
      <c r="D66" s="39" t="s">
        <v>55</v>
      </c>
      <c r="E66" s="121">
        <v>15552</v>
      </c>
      <c r="F66" s="37">
        <f>SUM(E66/100)</f>
        <v>155.52000000000001</v>
      </c>
      <c r="G66" s="36">
        <v>278.24</v>
      </c>
      <c r="H66" s="114">
        <f t="shared" si="7"/>
        <v>43.271884800000009</v>
      </c>
      <c r="I66" s="13">
        <f>G66*155.52</f>
        <v>43271.884800000007</v>
      </c>
    </row>
    <row r="67" spans="1:9">
      <c r="A67" s="29">
        <v>31</v>
      </c>
      <c r="B67" s="56" t="s">
        <v>51</v>
      </c>
      <c r="C67" s="40" t="s">
        <v>119</v>
      </c>
      <c r="D67" s="39"/>
      <c r="E67" s="121">
        <v>15552</v>
      </c>
      <c r="F67" s="36">
        <f>SUM(E67/1000)</f>
        <v>15.552</v>
      </c>
      <c r="G67" s="36">
        <v>216.68</v>
      </c>
      <c r="H67" s="114">
        <f t="shared" si="7"/>
        <v>3.3698073600000003</v>
      </c>
      <c r="I67" s="13">
        <f>G67*15.552</f>
        <v>3369.8073600000002</v>
      </c>
    </row>
    <row r="68" spans="1:9">
      <c r="A68" s="29">
        <v>32</v>
      </c>
      <c r="B68" s="56" t="s">
        <v>52</v>
      </c>
      <c r="C68" s="40" t="s">
        <v>81</v>
      </c>
      <c r="D68" s="39" t="s">
        <v>55</v>
      </c>
      <c r="E68" s="121">
        <v>2432</v>
      </c>
      <c r="F68" s="36">
        <f>SUM(E68/100)</f>
        <v>24.32</v>
      </c>
      <c r="G68" s="36">
        <v>2720.94</v>
      </c>
      <c r="H68" s="114">
        <f t="shared" si="7"/>
        <v>66.173260800000008</v>
      </c>
      <c r="I68" s="13">
        <f>24.32*G68</f>
        <v>66173.260800000004</v>
      </c>
    </row>
    <row r="69" spans="1:9">
      <c r="A69" s="29">
        <v>33</v>
      </c>
      <c r="B69" s="53" t="s">
        <v>75</v>
      </c>
      <c r="C69" s="40" t="s">
        <v>33</v>
      </c>
      <c r="D69" s="39"/>
      <c r="E69" s="121">
        <v>14.8</v>
      </c>
      <c r="F69" s="36">
        <f>SUM(E69)</f>
        <v>14.8</v>
      </c>
      <c r="G69" s="36">
        <v>42.61</v>
      </c>
      <c r="H69" s="114">
        <f t="shared" si="7"/>
        <v>0.63062800000000008</v>
      </c>
      <c r="I69" s="13">
        <f>14.8*G69</f>
        <v>630.62800000000004</v>
      </c>
    </row>
    <row r="70" spans="1:9" ht="30">
      <c r="A70" s="29">
        <v>34</v>
      </c>
      <c r="B70" s="53" t="s">
        <v>76</v>
      </c>
      <c r="C70" s="40" t="s">
        <v>33</v>
      </c>
      <c r="D70" s="39"/>
      <c r="E70" s="121">
        <f>E69</f>
        <v>14.8</v>
      </c>
      <c r="F70" s="36">
        <f>SUM(E70)</f>
        <v>14.8</v>
      </c>
      <c r="G70" s="36">
        <v>46.04</v>
      </c>
      <c r="H70" s="114">
        <f t="shared" si="7"/>
        <v>0.681392</v>
      </c>
      <c r="I70" s="13">
        <f>G70*14.8</f>
        <v>681.39200000000005</v>
      </c>
    </row>
    <row r="71" spans="1:9" hidden="1">
      <c r="A71" s="29">
        <v>22</v>
      </c>
      <c r="B71" s="39" t="s">
        <v>59</v>
      </c>
      <c r="C71" s="40" t="s">
        <v>60</v>
      </c>
      <c r="D71" s="39" t="s">
        <v>55</v>
      </c>
      <c r="E71" s="17">
        <v>5</v>
      </c>
      <c r="F71" s="33">
        <f>SUM(E71)</f>
        <v>5</v>
      </c>
      <c r="G71" s="36">
        <v>65.42</v>
      </c>
      <c r="H71" s="114">
        <f t="shared" si="7"/>
        <v>0.3271</v>
      </c>
      <c r="I71" s="13">
        <f>G71*4</f>
        <v>261.68</v>
      </c>
    </row>
    <row r="72" spans="1:9">
      <c r="A72" s="29">
        <v>35</v>
      </c>
      <c r="B72" s="39" t="s">
        <v>160</v>
      </c>
      <c r="C72" s="45" t="s">
        <v>161</v>
      </c>
      <c r="D72" s="39" t="s">
        <v>69</v>
      </c>
      <c r="E72" s="17">
        <f>E51</f>
        <v>3053.4</v>
      </c>
      <c r="F72" s="33">
        <f>SUM(E72*12)</f>
        <v>36640.800000000003</v>
      </c>
      <c r="G72" s="36">
        <v>2.2799999999999998</v>
      </c>
      <c r="H72" s="114">
        <f t="shared" si="7"/>
        <v>83.541024000000007</v>
      </c>
      <c r="I72" s="13">
        <f>F72/12*G72</f>
        <v>6961.7519999999995</v>
      </c>
    </row>
    <row r="73" spans="1:9" hidden="1">
      <c r="A73" s="29">
        <v>15</v>
      </c>
      <c r="B73" s="165" t="s">
        <v>47</v>
      </c>
      <c r="C73" s="45"/>
      <c r="D73" s="39"/>
      <c r="E73" s="17"/>
      <c r="F73" s="127"/>
      <c r="G73" s="36"/>
      <c r="H73" s="114"/>
      <c r="I73" s="13"/>
    </row>
    <row r="74" spans="1:9" ht="30" hidden="1">
      <c r="A74" s="29">
        <v>16</v>
      </c>
      <c r="B74" s="39" t="s">
        <v>160</v>
      </c>
      <c r="C74" s="45" t="s">
        <v>161</v>
      </c>
      <c r="D74" s="39" t="s">
        <v>185</v>
      </c>
      <c r="E74" s="17"/>
      <c r="F74" s="127"/>
      <c r="G74" s="36">
        <v>2.2799999999999998</v>
      </c>
      <c r="H74" s="114"/>
      <c r="I74" s="13">
        <f>36640.8/12*G74</f>
        <v>6961.7519999999995</v>
      </c>
    </row>
    <row r="75" spans="1:9">
      <c r="A75" s="29"/>
      <c r="B75" s="159" t="s">
        <v>77</v>
      </c>
      <c r="C75" s="16"/>
      <c r="D75" s="14"/>
      <c r="E75" s="18"/>
      <c r="F75" s="13"/>
      <c r="G75" s="13"/>
      <c r="H75" s="87" t="s">
        <v>132</v>
      </c>
      <c r="I75" s="79"/>
    </row>
    <row r="76" spans="1:9" hidden="1">
      <c r="A76" s="29">
        <v>19</v>
      </c>
      <c r="B76" s="39" t="s">
        <v>162</v>
      </c>
      <c r="C76" s="40" t="s">
        <v>163</v>
      </c>
      <c r="D76" s="39" t="s">
        <v>69</v>
      </c>
      <c r="E76" s="17">
        <v>1</v>
      </c>
      <c r="F76" s="36">
        <f>E76</f>
        <v>1</v>
      </c>
      <c r="G76" s="36">
        <v>1029.1199999999999</v>
      </c>
      <c r="H76" s="114">
        <f t="shared" ref="H76:H77" si="8">SUM(F76*G76/1000)</f>
        <v>1.0291199999999998</v>
      </c>
      <c r="I76" s="13">
        <v>0</v>
      </c>
    </row>
    <row r="77" spans="1:9" hidden="1">
      <c r="A77" s="29"/>
      <c r="B77" s="39" t="s">
        <v>164</v>
      </c>
      <c r="C77" s="40" t="s">
        <v>165</v>
      </c>
      <c r="D77" s="129"/>
      <c r="E77" s="17">
        <v>1</v>
      </c>
      <c r="F77" s="36">
        <v>1</v>
      </c>
      <c r="G77" s="36">
        <v>735</v>
      </c>
      <c r="H77" s="114">
        <f t="shared" si="8"/>
        <v>0.73499999999999999</v>
      </c>
      <c r="I77" s="13">
        <v>0</v>
      </c>
    </row>
    <row r="78" spans="1:9">
      <c r="A78" s="29">
        <v>36</v>
      </c>
      <c r="B78" s="39" t="s">
        <v>78</v>
      </c>
      <c r="C78" s="40" t="s">
        <v>79</v>
      </c>
      <c r="D78" s="39" t="s">
        <v>69</v>
      </c>
      <c r="E78" s="17">
        <v>5</v>
      </c>
      <c r="F78" s="33">
        <f>SUM(E78/10)</f>
        <v>0.5</v>
      </c>
      <c r="G78" s="36">
        <v>657.87</v>
      </c>
      <c r="H78" s="114">
        <f>SUM(F78*G78/1000)</f>
        <v>0.32893499999999998</v>
      </c>
      <c r="I78" s="13">
        <f>G78*0.2</f>
        <v>131.57400000000001</v>
      </c>
    </row>
    <row r="79" spans="1:9" hidden="1">
      <c r="A79" s="29"/>
      <c r="B79" s="39" t="s">
        <v>130</v>
      </c>
      <c r="C79" s="40" t="s">
        <v>95</v>
      </c>
      <c r="D79" s="39" t="s">
        <v>69</v>
      </c>
      <c r="E79" s="17">
        <v>1</v>
      </c>
      <c r="F79" s="36">
        <f>E79</f>
        <v>1</v>
      </c>
      <c r="G79" s="36">
        <v>1118.72</v>
      </c>
      <c r="H79" s="114">
        <f>SUM(F79*G79/1000)</f>
        <v>1.1187199999999999</v>
      </c>
      <c r="I79" s="13">
        <v>0</v>
      </c>
    </row>
    <row r="80" spans="1:9" ht="30">
      <c r="A80" s="29">
        <v>37</v>
      </c>
      <c r="B80" s="115" t="s">
        <v>166</v>
      </c>
      <c r="C80" s="116" t="s">
        <v>95</v>
      </c>
      <c r="D80" s="39" t="s">
        <v>69</v>
      </c>
      <c r="E80" s="17">
        <v>2</v>
      </c>
      <c r="F80" s="33">
        <f>E80*12</f>
        <v>24</v>
      </c>
      <c r="G80" s="36">
        <v>53.42</v>
      </c>
      <c r="H80" s="114">
        <f t="shared" ref="H80:H81" si="9">SUM(F80*G80/1000)</f>
        <v>1.2820799999999999</v>
      </c>
      <c r="I80" s="13">
        <f>G80*2</f>
        <v>106.84</v>
      </c>
    </row>
    <row r="81" spans="1:9" ht="30">
      <c r="A81" s="29">
        <v>38</v>
      </c>
      <c r="B81" s="115" t="s">
        <v>167</v>
      </c>
      <c r="C81" s="116" t="s">
        <v>95</v>
      </c>
      <c r="D81" s="39" t="s">
        <v>30</v>
      </c>
      <c r="E81" s="17">
        <v>1</v>
      </c>
      <c r="F81" s="33">
        <f>E81*12</f>
        <v>12</v>
      </c>
      <c r="G81" s="36">
        <v>1194</v>
      </c>
      <c r="H81" s="114">
        <f t="shared" si="9"/>
        <v>14.327999999999999</v>
      </c>
      <c r="I81" s="13">
        <f>G81</f>
        <v>1194</v>
      </c>
    </row>
    <row r="82" spans="1:9" hidden="1">
      <c r="A82" s="29"/>
      <c r="B82" s="90" t="s">
        <v>80</v>
      </c>
      <c r="C82" s="16"/>
      <c r="D82" s="14"/>
      <c r="E82" s="18"/>
      <c r="F82" s="18"/>
      <c r="G82" s="18"/>
      <c r="H82" s="18"/>
      <c r="I82" s="79"/>
    </row>
    <row r="83" spans="1:9" hidden="1">
      <c r="A83" s="29"/>
      <c r="B83" s="41" t="s">
        <v>122</v>
      </c>
      <c r="C83" s="42" t="s">
        <v>81</v>
      </c>
      <c r="D83" s="56"/>
      <c r="E83" s="59"/>
      <c r="F83" s="37">
        <v>0.3</v>
      </c>
      <c r="G83" s="37">
        <v>3619.09</v>
      </c>
      <c r="H83" s="114">
        <f t="shared" ref="H83" si="10">SUM(F83*G83/1000)</f>
        <v>1.0857270000000001</v>
      </c>
      <c r="I83" s="13">
        <v>0</v>
      </c>
    </row>
    <row r="84" spans="1:9" ht="28.5" hidden="1">
      <c r="A84" s="29"/>
      <c r="B84" s="159" t="s">
        <v>120</v>
      </c>
      <c r="C84" s="90"/>
      <c r="D84" s="31"/>
      <c r="E84" s="32"/>
      <c r="F84" s="91"/>
      <c r="G84" s="91"/>
      <c r="H84" s="92">
        <f>SUM(H58:H83)</f>
        <v>248.78712212000002</v>
      </c>
      <c r="I84" s="77"/>
    </row>
    <row r="85" spans="1:9">
      <c r="A85" s="179" t="s">
        <v>140</v>
      </c>
      <c r="B85" s="180"/>
      <c r="C85" s="180"/>
      <c r="D85" s="180"/>
      <c r="E85" s="180"/>
      <c r="F85" s="180"/>
      <c r="G85" s="180"/>
      <c r="H85" s="180"/>
      <c r="I85" s="181"/>
    </row>
    <row r="86" spans="1:9">
      <c r="A86" s="96">
        <v>39</v>
      </c>
      <c r="B86" s="34" t="s">
        <v>123</v>
      </c>
      <c r="C86" s="40" t="s">
        <v>56</v>
      </c>
      <c r="D86" s="103" t="s">
        <v>57</v>
      </c>
      <c r="E86" s="36">
        <v>3053.4</v>
      </c>
      <c r="F86" s="36">
        <f>SUM(E86*12)</f>
        <v>36640.800000000003</v>
      </c>
      <c r="G86" s="36">
        <v>3.1</v>
      </c>
      <c r="H86" s="114">
        <f>SUM(F86*G86/1000)</f>
        <v>113.58648000000001</v>
      </c>
      <c r="I86" s="101">
        <f>F86/12*G86</f>
        <v>9465.5400000000009</v>
      </c>
    </row>
    <row r="87" spans="1:9" ht="30">
      <c r="A87" s="29">
        <v>40</v>
      </c>
      <c r="B87" s="39" t="s">
        <v>82</v>
      </c>
      <c r="C87" s="40"/>
      <c r="D87" s="103" t="s">
        <v>57</v>
      </c>
      <c r="E87" s="121">
        <v>3053.4</v>
      </c>
      <c r="F87" s="36">
        <f>E87*12</f>
        <v>36640.800000000003</v>
      </c>
      <c r="G87" s="36">
        <v>3.5</v>
      </c>
      <c r="H87" s="114">
        <f>F87*G87/1000</f>
        <v>128.24280000000002</v>
      </c>
      <c r="I87" s="13">
        <f>F87/12*G87</f>
        <v>10686.9</v>
      </c>
    </row>
    <row r="88" spans="1:9">
      <c r="A88" s="29"/>
      <c r="B88" s="43" t="s">
        <v>85</v>
      </c>
      <c r="C88" s="90"/>
      <c r="D88" s="88"/>
      <c r="E88" s="91"/>
      <c r="F88" s="91"/>
      <c r="G88" s="91"/>
      <c r="H88" s="92">
        <f>SUM(H87)</f>
        <v>128.24280000000002</v>
      </c>
      <c r="I88" s="91">
        <f>I87+I86+I81+I80+I78+I72+I70+I69+I68+I67+I66+I64+I62+I55+I54+I53+I52+I51+I50+I49+I48+I47+I46+I34+I33+I32+I31+I30+I27+I26+I25+I24+I23+I22+I21+I20+I19+I18+I17+I16</f>
        <v>199342.30907055552</v>
      </c>
    </row>
    <row r="89" spans="1:9">
      <c r="A89" s="188" t="s">
        <v>62</v>
      </c>
      <c r="B89" s="189"/>
      <c r="C89" s="189"/>
      <c r="D89" s="189"/>
      <c r="E89" s="189"/>
      <c r="F89" s="189"/>
      <c r="G89" s="189"/>
      <c r="H89" s="189"/>
      <c r="I89" s="190"/>
    </row>
    <row r="90" spans="1:9" ht="30">
      <c r="A90" s="29" t="s">
        <v>201</v>
      </c>
      <c r="B90" s="57" t="s">
        <v>103</v>
      </c>
      <c r="C90" s="58" t="s">
        <v>95</v>
      </c>
      <c r="D90" s="52"/>
      <c r="E90" s="13"/>
      <c r="F90" s="13">
        <v>128</v>
      </c>
      <c r="G90" s="13">
        <v>55.55</v>
      </c>
      <c r="H90" s="89">
        <f t="shared" ref="H90" si="11">G90*F90/1000</f>
        <v>7.1103999999999994</v>
      </c>
      <c r="I90" s="13">
        <f>G90*64</f>
        <v>3555.2</v>
      </c>
    </row>
    <row r="91" spans="1:9" ht="30">
      <c r="A91" s="29">
        <v>42</v>
      </c>
      <c r="B91" s="115" t="s">
        <v>188</v>
      </c>
      <c r="C91" s="116" t="s">
        <v>189</v>
      </c>
      <c r="D91" s="117"/>
      <c r="E91" s="36"/>
      <c r="F91" s="36">
        <v>4</v>
      </c>
      <c r="G91" s="166">
        <v>24829.08</v>
      </c>
      <c r="H91" s="114">
        <f>F91*G91/1000</f>
        <v>99.316320000000005</v>
      </c>
      <c r="I91" s="13">
        <f>G91*0.04</f>
        <v>993.16320000000007</v>
      </c>
    </row>
    <row r="92" spans="1:9">
      <c r="A92" s="29"/>
      <c r="B92" s="50" t="s">
        <v>53</v>
      </c>
      <c r="C92" s="46"/>
      <c r="D92" s="54"/>
      <c r="E92" s="46">
        <v>1</v>
      </c>
      <c r="F92" s="46"/>
      <c r="G92" s="46"/>
      <c r="H92" s="46"/>
      <c r="I92" s="32">
        <f>I91</f>
        <v>993.16320000000007</v>
      </c>
    </row>
    <row r="93" spans="1:9">
      <c r="A93" s="29"/>
      <c r="B93" s="52" t="s">
        <v>83</v>
      </c>
      <c r="C93" s="15"/>
      <c r="D93" s="15"/>
      <c r="E93" s="47"/>
      <c r="F93" s="47"/>
      <c r="G93" s="48"/>
      <c r="H93" s="48"/>
      <c r="I93" s="17">
        <v>0</v>
      </c>
    </row>
    <row r="94" spans="1:9">
      <c r="A94" s="55"/>
      <c r="B94" s="51" t="s">
        <v>151</v>
      </c>
      <c r="C94" s="35"/>
      <c r="D94" s="35"/>
      <c r="E94" s="35"/>
      <c r="F94" s="35"/>
      <c r="G94" s="35"/>
      <c r="H94" s="35"/>
      <c r="I94" s="49">
        <f>I88+I92</f>
        <v>200335.47227055553</v>
      </c>
    </row>
    <row r="95" spans="1:9">
      <c r="A95" s="199" t="s">
        <v>204</v>
      </c>
      <c r="B95" s="200"/>
      <c r="C95" s="200"/>
      <c r="D95" s="200"/>
      <c r="E95" s="200"/>
      <c r="F95" s="200"/>
      <c r="G95" s="200"/>
      <c r="H95" s="200"/>
      <c r="I95" s="200"/>
    </row>
    <row r="96" spans="1:9" ht="15.75">
      <c r="A96" s="191" t="s">
        <v>202</v>
      </c>
      <c r="B96" s="191"/>
      <c r="C96" s="191"/>
      <c r="D96" s="191"/>
      <c r="E96" s="191"/>
      <c r="F96" s="191"/>
      <c r="G96" s="191"/>
      <c r="H96" s="191"/>
      <c r="I96" s="191"/>
    </row>
    <row r="97" spans="1:9" ht="15.75">
      <c r="A97" s="62"/>
      <c r="B97" s="192" t="s">
        <v>203</v>
      </c>
      <c r="C97" s="192"/>
      <c r="D97" s="192"/>
      <c r="E97" s="192"/>
      <c r="F97" s="192"/>
      <c r="G97" s="192"/>
      <c r="H97" s="70"/>
      <c r="I97" s="3"/>
    </row>
    <row r="98" spans="1:9">
      <c r="A98" s="161"/>
      <c r="B98" s="193" t="s">
        <v>6</v>
      </c>
      <c r="C98" s="193"/>
      <c r="D98" s="193"/>
      <c r="E98" s="193"/>
      <c r="F98" s="193"/>
      <c r="G98" s="193"/>
      <c r="H98" s="24"/>
      <c r="I98" s="5"/>
    </row>
    <row r="99" spans="1:9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>
      <c r="A100" s="194" t="s">
        <v>7</v>
      </c>
      <c r="B100" s="194"/>
      <c r="C100" s="194"/>
      <c r="D100" s="194"/>
      <c r="E100" s="194"/>
      <c r="F100" s="194"/>
      <c r="G100" s="194"/>
      <c r="H100" s="194"/>
      <c r="I100" s="194"/>
    </row>
    <row r="101" spans="1:9" ht="15.75">
      <c r="A101" s="194" t="s">
        <v>8</v>
      </c>
      <c r="B101" s="194"/>
      <c r="C101" s="194"/>
      <c r="D101" s="194"/>
      <c r="E101" s="194"/>
      <c r="F101" s="194"/>
      <c r="G101" s="194"/>
      <c r="H101" s="194"/>
      <c r="I101" s="194"/>
    </row>
    <row r="102" spans="1:9" ht="15.75">
      <c r="A102" s="195" t="s">
        <v>63</v>
      </c>
      <c r="B102" s="195"/>
      <c r="C102" s="195"/>
      <c r="D102" s="195"/>
      <c r="E102" s="195"/>
      <c r="F102" s="195"/>
      <c r="G102" s="195"/>
      <c r="H102" s="195"/>
      <c r="I102" s="195"/>
    </row>
    <row r="103" spans="1:9" ht="15.75">
      <c r="A103" s="11"/>
    </row>
    <row r="104" spans="1:9" ht="15.75">
      <c r="A104" s="196" t="s">
        <v>9</v>
      </c>
      <c r="B104" s="196"/>
      <c r="C104" s="196"/>
      <c r="D104" s="196"/>
      <c r="E104" s="196"/>
      <c r="F104" s="196"/>
      <c r="G104" s="196"/>
      <c r="H104" s="196"/>
      <c r="I104" s="196"/>
    </row>
    <row r="105" spans="1:9" ht="15.75">
      <c r="A105" s="4"/>
    </row>
    <row r="106" spans="1:9" ht="15.75">
      <c r="B106" s="163" t="s">
        <v>10</v>
      </c>
      <c r="C106" s="197" t="s">
        <v>94</v>
      </c>
      <c r="D106" s="197"/>
      <c r="E106" s="197"/>
      <c r="F106" s="68"/>
      <c r="I106" s="164"/>
    </row>
    <row r="107" spans="1:9">
      <c r="A107" s="161"/>
      <c r="C107" s="193" t="s">
        <v>11</v>
      </c>
      <c r="D107" s="193"/>
      <c r="E107" s="193"/>
      <c r="F107" s="24"/>
      <c r="I107" s="162" t="s">
        <v>12</v>
      </c>
    </row>
    <row r="108" spans="1:9" ht="15.75">
      <c r="A108" s="25"/>
      <c r="C108" s="12"/>
      <c r="D108" s="12"/>
      <c r="G108" s="12"/>
      <c r="H108" s="12"/>
    </row>
    <row r="109" spans="1:9" ht="15.75">
      <c r="B109" s="163" t="s">
        <v>13</v>
      </c>
      <c r="C109" s="198"/>
      <c r="D109" s="198"/>
      <c r="E109" s="198"/>
      <c r="F109" s="69"/>
      <c r="I109" s="164"/>
    </row>
    <row r="110" spans="1:9">
      <c r="A110" s="161"/>
      <c r="C110" s="187" t="s">
        <v>11</v>
      </c>
      <c r="D110" s="187"/>
      <c r="E110" s="187"/>
      <c r="F110" s="161"/>
      <c r="I110" s="162" t="s">
        <v>12</v>
      </c>
    </row>
    <row r="111" spans="1:9" ht="15.75">
      <c r="A111" s="4" t="s">
        <v>14</v>
      </c>
    </row>
    <row r="112" spans="1:9">
      <c r="A112" s="201" t="s">
        <v>15</v>
      </c>
      <c r="B112" s="201"/>
      <c r="C112" s="201"/>
      <c r="D112" s="201"/>
      <c r="E112" s="201"/>
      <c r="F112" s="201"/>
      <c r="G112" s="201"/>
      <c r="H112" s="201"/>
      <c r="I112" s="201"/>
    </row>
    <row r="113" spans="1:9" ht="42.75" customHeight="1">
      <c r="A113" s="202" t="s">
        <v>16</v>
      </c>
      <c r="B113" s="202"/>
      <c r="C113" s="202"/>
      <c r="D113" s="202"/>
      <c r="E113" s="202"/>
      <c r="F113" s="202"/>
      <c r="G113" s="202"/>
      <c r="H113" s="202"/>
      <c r="I113" s="202"/>
    </row>
    <row r="114" spans="1:9" ht="42" customHeight="1">
      <c r="A114" s="202" t="s">
        <v>17</v>
      </c>
      <c r="B114" s="202"/>
      <c r="C114" s="202"/>
      <c r="D114" s="202"/>
      <c r="E114" s="202"/>
      <c r="F114" s="202"/>
      <c r="G114" s="202"/>
      <c r="H114" s="202"/>
      <c r="I114" s="202"/>
    </row>
    <row r="115" spans="1:9" ht="36" customHeight="1">
      <c r="A115" s="202" t="s">
        <v>21</v>
      </c>
      <c r="B115" s="202"/>
      <c r="C115" s="202"/>
      <c r="D115" s="202"/>
      <c r="E115" s="202"/>
      <c r="F115" s="202"/>
      <c r="G115" s="202"/>
      <c r="H115" s="202"/>
      <c r="I115" s="202"/>
    </row>
    <row r="116" spans="1:9" ht="15.75">
      <c r="A116" s="202" t="s">
        <v>20</v>
      </c>
      <c r="B116" s="202"/>
      <c r="C116" s="202"/>
      <c r="D116" s="202"/>
      <c r="E116" s="202"/>
      <c r="F116" s="202"/>
      <c r="G116" s="202"/>
      <c r="H116" s="202"/>
      <c r="I116" s="202"/>
    </row>
  </sheetData>
  <mergeCells count="29">
    <mergeCell ref="A14:I14"/>
    <mergeCell ref="A3:I3"/>
    <mergeCell ref="A4:I4"/>
    <mergeCell ref="A5:I5"/>
    <mergeCell ref="A8:I8"/>
    <mergeCell ref="A10:I10"/>
    <mergeCell ref="A102:I102"/>
    <mergeCell ref="A15:I15"/>
    <mergeCell ref="A28:I28"/>
    <mergeCell ref="A45:I45"/>
    <mergeCell ref="A56:I56"/>
    <mergeCell ref="A85:I85"/>
    <mergeCell ref="A89:I89"/>
    <mergeCell ref="A96:I96"/>
    <mergeCell ref="B97:G97"/>
    <mergeCell ref="B98:G98"/>
    <mergeCell ref="A100:I100"/>
    <mergeCell ref="A101:I101"/>
    <mergeCell ref="A95:I95"/>
    <mergeCell ref="A113:I113"/>
    <mergeCell ref="A114:I114"/>
    <mergeCell ref="A115:I115"/>
    <mergeCell ref="A116:I116"/>
    <mergeCell ref="A104:I104"/>
    <mergeCell ref="C106:E106"/>
    <mergeCell ref="C107:E107"/>
    <mergeCell ref="C109:E109"/>
    <mergeCell ref="C110:E110"/>
    <mergeCell ref="A112:I112"/>
  </mergeCells>
  <pageMargins left="0.7" right="0.7" top="0.75" bottom="0.75" header="0.3" footer="0.3"/>
  <pageSetup paperSize="9" scale="68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23"/>
  <sheetViews>
    <sheetView workbookViewId="0">
      <selection activeCell="A109" sqref="A109:I109"/>
    </sheetView>
  </sheetViews>
  <sheetFormatPr defaultRowHeight="15"/>
  <cols>
    <col min="1" max="1" width="15.42578125" customWidth="1"/>
    <col min="2" max="2" width="46.140625" customWidth="1"/>
    <col min="3" max="3" width="17.85546875" customWidth="1"/>
    <col min="4" max="4" width="16.85546875" customWidth="1"/>
    <col min="5" max="6" width="0" hidden="1" customWidth="1"/>
    <col min="7" max="7" width="16.42578125" customWidth="1"/>
    <col min="8" max="8" width="0" hidden="1" customWidth="1"/>
    <col min="9" max="9" width="18.28515625" customWidth="1"/>
  </cols>
  <sheetData>
    <row r="1" spans="1:9" ht="15.75">
      <c r="A1" s="27" t="s">
        <v>89</v>
      </c>
      <c r="I1" s="26"/>
    </row>
    <row r="2" spans="1:9" ht="15.75">
      <c r="A2" s="28" t="s">
        <v>64</v>
      </c>
    </row>
    <row r="3" spans="1:9" ht="15.75">
      <c r="A3" s="182" t="s">
        <v>205</v>
      </c>
      <c r="B3" s="182"/>
      <c r="C3" s="182"/>
      <c r="D3" s="182"/>
      <c r="E3" s="182"/>
      <c r="F3" s="182"/>
      <c r="G3" s="182"/>
      <c r="H3" s="182"/>
      <c r="I3" s="182"/>
    </row>
    <row r="4" spans="1:9" ht="34.5" customHeight="1">
      <c r="A4" s="183" t="s">
        <v>124</v>
      </c>
      <c r="B4" s="183"/>
      <c r="C4" s="183"/>
      <c r="D4" s="183"/>
      <c r="E4" s="183"/>
      <c r="F4" s="183"/>
      <c r="G4" s="183"/>
      <c r="H4" s="183"/>
      <c r="I4" s="183"/>
    </row>
    <row r="5" spans="1:9" ht="15.75">
      <c r="A5" s="182" t="s">
        <v>206</v>
      </c>
      <c r="B5" s="184"/>
      <c r="C5" s="184"/>
      <c r="D5" s="184"/>
      <c r="E5" s="184"/>
      <c r="F5" s="184"/>
      <c r="G5" s="184"/>
      <c r="H5" s="184"/>
      <c r="I5" s="184"/>
    </row>
    <row r="6" spans="1:9" ht="15.75">
      <c r="A6" s="2"/>
      <c r="B6" s="168"/>
      <c r="C6" s="168"/>
      <c r="D6" s="168"/>
      <c r="E6" s="168"/>
      <c r="F6" s="168"/>
      <c r="G6" s="168"/>
      <c r="H6" s="168"/>
      <c r="I6" s="30">
        <v>43281</v>
      </c>
    </row>
    <row r="7" spans="1:9" ht="15.75">
      <c r="B7" s="171"/>
      <c r="C7" s="171"/>
      <c r="D7" s="171"/>
      <c r="E7" s="3"/>
      <c r="F7" s="3"/>
      <c r="G7" s="3"/>
      <c r="H7" s="3"/>
    </row>
    <row r="8" spans="1:9" ht="102" customHeight="1">
      <c r="A8" s="185" t="s">
        <v>152</v>
      </c>
      <c r="B8" s="185"/>
      <c r="C8" s="185"/>
      <c r="D8" s="185"/>
      <c r="E8" s="185"/>
      <c r="F8" s="185"/>
      <c r="G8" s="185"/>
      <c r="H8" s="185"/>
      <c r="I8" s="185"/>
    </row>
    <row r="9" spans="1:9" ht="15.75">
      <c r="A9" s="4"/>
    </row>
    <row r="10" spans="1:9" ht="48.75" customHeight="1">
      <c r="A10" s="186" t="s">
        <v>173</v>
      </c>
      <c r="B10" s="186"/>
      <c r="C10" s="186"/>
      <c r="D10" s="186"/>
      <c r="E10" s="186"/>
      <c r="F10" s="186"/>
      <c r="G10" s="186"/>
      <c r="H10" s="186"/>
      <c r="I10" s="186"/>
    </row>
    <row r="11" spans="1:9" ht="15.75">
      <c r="A11" s="4"/>
    </row>
    <row r="12" spans="1:9" ht="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177" t="s">
        <v>61</v>
      </c>
      <c r="B14" s="177"/>
      <c r="C14" s="177"/>
      <c r="D14" s="177"/>
      <c r="E14" s="177"/>
      <c r="F14" s="177"/>
      <c r="G14" s="177"/>
      <c r="H14" s="177"/>
      <c r="I14" s="177"/>
    </row>
    <row r="15" spans="1:9">
      <c r="A15" s="178" t="s">
        <v>4</v>
      </c>
      <c r="B15" s="178"/>
      <c r="C15" s="178"/>
      <c r="D15" s="178"/>
      <c r="E15" s="178"/>
      <c r="F15" s="178"/>
      <c r="G15" s="178"/>
      <c r="H15" s="178"/>
      <c r="I15" s="178"/>
    </row>
    <row r="16" spans="1:9" ht="15.75" customHeight="1">
      <c r="A16" s="29">
        <v>1</v>
      </c>
      <c r="B16" s="71" t="s">
        <v>90</v>
      </c>
      <c r="C16" s="72" t="s">
        <v>99</v>
      </c>
      <c r="D16" s="71" t="s">
        <v>125</v>
      </c>
      <c r="E16" s="73">
        <v>92.5</v>
      </c>
      <c r="F16" s="74">
        <f>SUM(E16*156/100)</f>
        <v>144.30000000000001</v>
      </c>
      <c r="G16" s="74">
        <v>230</v>
      </c>
      <c r="H16" s="78">
        <f t="shared" ref="H16:H27" si="0">SUM(F16*G16/1000)</f>
        <v>33.189</v>
      </c>
      <c r="I16" s="13">
        <f>F16/12*G16</f>
        <v>2765.75</v>
      </c>
    </row>
    <row r="17" spans="1:9" ht="17.25" customHeight="1">
      <c r="A17" s="29">
        <v>2</v>
      </c>
      <c r="B17" s="71" t="s">
        <v>91</v>
      </c>
      <c r="C17" s="72" t="s">
        <v>99</v>
      </c>
      <c r="D17" s="71" t="s">
        <v>126</v>
      </c>
      <c r="E17" s="73">
        <v>288.8</v>
      </c>
      <c r="F17" s="74">
        <f>SUM(E17*104/100)</f>
        <v>300.35200000000003</v>
      </c>
      <c r="G17" s="74">
        <v>230</v>
      </c>
      <c r="H17" s="78">
        <f t="shared" si="0"/>
        <v>69.080960000000005</v>
      </c>
      <c r="I17" s="13">
        <f>F17/12*G17</f>
        <v>5756.7466666666678</v>
      </c>
    </row>
    <row r="18" spans="1:9" ht="19.5" customHeight="1">
      <c r="A18" s="29">
        <v>3</v>
      </c>
      <c r="B18" s="71" t="s">
        <v>92</v>
      </c>
      <c r="C18" s="72" t="s">
        <v>99</v>
      </c>
      <c r="D18" s="71" t="s">
        <v>149</v>
      </c>
      <c r="E18" s="73">
        <f>SUM(E16+E17)</f>
        <v>381.3</v>
      </c>
      <c r="F18" s="74">
        <f>SUM(E18*12/100)</f>
        <v>45.756</v>
      </c>
      <c r="G18" s="74">
        <v>661.67</v>
      </c>
      <c r="H18" s="78">
        <f t="shared" si="0"/>
        <v>30.275372519999998</v>
      </c>
      <c r="I18" s="13">
        <f>F18/12*G18</f>
        <v>2522.9477099999999</v>
      </c>
    </row>
    <row r="19" spans="1:9" hidden="1">
      <c r="A19" s="29">
        <v>4</v>
      </c>
      <c r="B19" s="71" t="s">
        <v>107</v>
      </c>
      <c r="C19" s="72" t="s">
        <v>108</v>
      </c>
      <c r="D19" s="71" t="s">
        <v>109</v>
      </c>
      <c r="E19" s="73">
        <v>19.2</v>
      </c>
      <c r="F19" s="74">
        <f>SUM(E19/10)</f>
        <v>1.92</v>
      </c>
      <c r="G19" s="74">
        <v>223.17</v>
      </c>
      <c r="H19" s="78">
        <f t="shared" si="0"/>
        <v>0.42848639999999993</v>
      </c>
      <c r="I19" s="13">
        <f>G19*1.92</f>
        <v>428.48639999999995</v>
      </c>
    </row>
    <row r="20" spans="1:9" hidden="1">
      <c r="A20" s="29">
        <v>5</v>
      </c>
      <c r="B20" s="71" t="s">
        <v>98</v>
      </c>
      <c r="C20" s="72" t="s">
        <v>99</v>
      </c>
      <c r="D20" s="71" t="s">
        <v>153</v>
      </c>
      <c r="E20" s="73">
        <v>27.3</v>
      </c>
      <c r="F20" s="74">
        <f>SUM(E20*2/100)</f>
        <v>0.54600000000000004</v>
      </c>
      <c r="G20" s="74">
        <v>285.76</v>
      </c>
      <c r="H20" s="78">
        <f t="shared" si="0"/>
        <v>0.15602495999999999</v>
      </c>
      <c r="I20" s="13">
        <f>F20/2*G20</f>
        <v>78.012479999999996</v>
      </c>
    </row>
    <row r="21" spans="1:9" hidden="1">
      <c r="A21" s="29">
        <v>6</v>
      </c>
      <c r="B21" s="71" t="s">
        <v>105</v>
      </c>
      <c r="C21" s="72" t="s">
        <v>99</v>
      </c>
      <c r="D21" s="71" t="s">
        <v>153</v>
      </c>
      <c r="E21" s="73">
        <v>9.08</v>
      </c>
      <c r="F21" s="74">
        <f>SUM(E21*2/100)</f>
        <v>0.18160000000000001</v>
      </c>
      <c r="G21" s="74">
        <v>283.44</v>
      </c>
      <c r="H21" s="78">
        <f>SUM(F21*G21/1000)</f>
        <v>5.1472704000000001E-2</v>
      </c>
      <c r="I21" s="13">
        <f>G21*0.0908</f>
        <v>25.736352</v>
      </c>
    </row>
    <row r="22" spans="1:9" hidden="1">
      <c r="A22" s="29">
        <v>7</v>
      </c>
      <c r="B22" s="71" t="s">
        <v>100</v>
      </c>
      <c r="C22" s="72" t="s">
        <v>54</v>
      </c>
      <c r="D22" s="71" t="s">
        <v>109</v>
      </c>
      <c r="E22" s="76">
        <v>30</v>
      </c>
      <c r="F22" s="74">
        <f>SUM(E22/100)</f>
        <v>0.3</v>
      </c>
      <c r="G22" s="74">
        <v>58.08</v>
      </c>
      <c r="H22" s="78">
        <f t="shared" si="0"/>
        <v>1.7423999999999999E-2</v>
      </c>
      <c r="I22" s="13">
        <f>G22*0.3</f>
        <v>17.423999999999999</v>
      </c>
    </row>
    <row r="23" spans="1:9" hidden="1">
      <c r="A23" s="29">
        <v>8</v>
      </c>
      <c r="B23" s="71" t="s">
        <v>101</v>
      </c>
      <c r="C23" s="72" t="s">
        <v>54</v>
      </c>
      <c r="D23" s="71" t="s">
        <v>109</v>
      </c>
      <c r="E23" s="73">
        <v>20</v>
      </c>
      <c r="F23" s="74">
        <f>SUM(E23/100)</f>
        <v>0.2</v>
      </c>
      <c r="G23" s="74">
        <v>511.12</v>
      </c>
      <c r="H23" s="78">
        <f t="shared" si="0"/>
        <v>0.10222400000000001</v>
      </c>
      <c r="I23" s="13">
        <f>G23*0.2</f>
        <v>102.224</v>
      </c>
    </row>
    <row r="24" spans="1:9" hidden="1">
      <c r="A24" s="29">
        <v>9</v>
      </c>
      <c r="B24" s="71" t="s">
        <v>102</v>
      </c>
      <c r="C24" s="72" t="s">
        <v>54</v>
      </c>
      <c r="D24" s="71" t="s">
        <v>109</v>
      </c>
      <c r="E24" s="73">
        <v>8.5</v>
      </c>
      <c r="F24" s="74">
        <f>SUM(E24/100)</f>
        <v>8.5000000000000006E-2</v>
      </c>
      <c r="G24" s="74">
        <v>683.05</v>
      </c>
      <c r="H24" s="78">
        <f t="shared" si="0"/>
        <v>5.805925E-2</v>
      </c>
      <c r="I24" s="13">
        <f>G24*0.085</f>
        <v>58.059249999999999</v>
      </c>
    </row>
    <row r="25" spans="1:9" ht="30" hidden="1">
      <c r="A25" s="94">
        <v>10</v>
      </c>
      <c r="B25" s="83" t="s">
        <v>106</v>
      </c>
      <c r="C25" s="84" t="s">
        <v>54</v>
      </c>
      <c r="D25" s="83" t="s">
        <v>55</v>
      </c>
      <c r="E25" s="81">
        <v>20</v>
      </c>
      <c r="F25" s="85">
        <f>SUM(E25/100)</f>
        <v>0.2</v>
      </c>
      <c r="G25" s="85">
        <v>283.44</v>
      </c>
      <c r="H25" s="82">
        <f t="shared" si="0"/>
        <v>5.6688000000000002E-2</v>
      </c>
      <c r="I25" s="13">
        <f>G25*0.2</f>
        <v>56.688000000000002</v>
      </c>
    </row>
    <row r="26" spans="1:9" ht="14.25" customHeight="1">
      <c r="A26" s="29">
        <v>4</v>
      </c>
      <c r="B26" s="34" t="s">
        <v>66</v>
      </c>
      <c r="C26" s="44" t="s">
        <v>33</v>
      </c>
      <c r="D26" s="34" t="s">
        <v>154</v>
      </c>
      <c r="E26" s="118">
        <v>0.05</v>
      </c>
      <c r="F26" s="33">
        <f>SUM(E26*182)</f>
        <v>9.1</v>
      </c>
      <c r="G26" s="33">
        <v>264.85000000000002</v>
      </c>
      <c r="H26" s="119">
        <f t="shared" si="0"/>
        <v>2.4101350000000004</v>
      </c>
      <c r="I26" s="13">
        <f>F26/12*G26</f>
        <v>200.84458333333333</v>
      </c>
    </row>
    <row r="27" spans="1:9">
      <c r="A27" s="29">
        <v>5</v>
      </c>
      <c r="B27" s="120" t="s">
        <v>23</v>
      </c>
      <c r="C27" s="44" t="s">
        <v>24</v>
      </c>
      <c r="D27" s="34"/>
      <c r="E27" s="121">
        <v>3053.4</v>
      </c>
      <c r="F27" s="33">
        <f>SUM(E27*12)</f>
        <v>36640.800000000003</v>
      </c>
      <c r="G27" s="33">
        <v>4.09</v>
      </c>
      <c r="H27" s="119">
        <f t="shared" si="0"/>
        <v>149.860872</v>
      </c>
      <c r="I27" s="13">
        <f>F27/12*G27</f>
        <v>12488.405999999999</v>
      </c>
    </row>
    <row r="28" spans="1:9">
      <c r="A28" s="178" t="s">
        <v>150</v>
      </c>
      <c r="B28" s="178"/>
      <c r="C28" s="178"/>
      <c r="D28" s="178"/>
      <c r="E28" s="178"/>
      <c r="F28" s="178"/>
      <c r="G28" s="178"/>
      <c r="H28" s="178"/>
      <c r="I28" s="178"/>
    </row>
    <row r="29" spans="1:9" ht="19.5" customHeight="1">
      <c r="A29" s="96"/>
      <c r="B29" s="104" t="s">
        <v>28</v>
      </c>
      <c r="C29" s="98"/>
      <c r="D29" s="97"/>
      <c r="E29" s="99"/>
      <c r="F29" s="100"/>
      <c r="G29" s="100"/>
      <c r="H29" s="105"/>
      <c r="I29" s="106"/>
    </row>
    <row r="30" spans="1:9" ht="21" customHeight="1">
      <c r="A30" s="29">
        <v>6</v>
      </c>
      <c r="B30" s="71" t="s">
        <v>110</v>
      </c>
      <c r="C30" s="72" t="s">
        <v>111</v>
      </c>
      <c r="D30" s="71" t="s">
        <v>127</v>
      </c>
      <c r="E30" s="74">
        <v>317.7</v>
      </c>
      <c r="F30" s="74">
        <f>SUM(E30*52/1000)</f>
        <v>16.520399999999999</v>
      </c>
      <c r="G30" s="74">
        <v>204.44</v>
      </c>
      <c r="H30" s="78">
        <f t="shared" ref="H30:H36" si="1">SUM(F30*G30/1000)</f>
        <v>3.3774305759999996</v>
      </c>
      <c r="I30" s="13">
        <f t="shared" ref="I30:I34" si="2">F30/6*G30</f>
        <v>562.90509599999996</v>
      </c>
    </row>
    <row r="31" spans="1:9" ht="45.75" customHeight="1">
      <c r="A31" s="29">
        <v>7</v>
      </c>
      <c r="B31" s="71" t="s">
        <v>137</v>
      </c>
      <c r="C31" s="72" t="s">
        <v>111</v>
      </c>
      <c r="D31" s="71" t="s">
        <v>128</v>
      </c>
      <c r="E31" s="74">
        <v>146.1</v>
      </c>
      <c r="F31" s="74">
        <f>SUM(E31*78/1000)</f>
        <v>11.395799999999999</v>
      </c>
      <c r="G31" s="74">
        <v>339.21</v>
      </c>
      <c r="H31" s="78">
        <f t="shared" si="1"/>
        <v>3.8655693179999995</v>
      </c>
      <c r="I31" s="13">
        <f t="shared" si="2"/>
        <v>644.26155299999994</v>
      </c>
    </row>
    <row r="32" spans="1:9" hidden="1">
      <c r="A32" s="29">
        <v>15</v>
      </c>
      <c r="B32" s="71" t="s">
        <v>27</v>
      </c>
      <c r="C32" s="72" t="s">
        <v>111</v>
      </c>
      <c r="D32" s="71" t="s">
        <v>55</v>
      </c>
      <c r="E32" s="74">
        <f>E30</f>
        <v>317.7</v>
      </c>
      <c r="F32" s="74">
        <f>SUM(E32/1000)</f>
        <v>0.31769999999999998</v>
      </c>
      <c r="G32" s="74">
        <v>3961.23</v>
      </c>
      <c r="H32" s="78">
        <f t="shared" si="1"/>
        <v>1.2584827709999999</v>
      </c>
      <c r="I32" s="13">
        <f>F32*G32</f>
        <v>1258.482771</v>
      </c>
    </row>
    <row r="33" spans="1:9" ht="21" customHeight="1">
      <c r="A33" s="29">
        <v>8</v>
      </c>
      <c r="B33" s="71" t="s">
        <v>155</v>
      </c>
      <c r="C33" s="72" t="s">
        <v>41</v>
      </c>
      <c r="D33" s="71" t="s">
        <v>65</v>
      </c>
      <c r="E33" s="74">
        <v>5</v>
      </c>
      <c r="F33" s="74">
        <f>E33*155/100</f>
        <v>7.75</v>
      </c>
      <c r="G33" s="74">
        <v>1707.63</v>
      </c>
      <c r="H33" s="78">
        <f t="shared" si="1"/>
        <v>13.234132500000001</v>
      </c>
      <c r="I33" s="13">
        <f t="shared" si="2"/>
        <v>2205.6887500000003</v>
      </c>
    </row>
    <row r="34" spans="1:9" ht="18" customHeight="1">
      <c r="A34" s="29">
        <v>9</v>
      </c>
      <c r="B34" s="71" t="s">
        <v>112</v>
      </c>
      <c r="C34" s="72" t="s">
        <v>31</v>
      </c>
      <c r="D34" s="71" t="s">
        <v>65</v>
      </c>
      <c r="E34" s="80">
        <f>1/6</f>
        <v>0.16666666666666666</v>
      </c>
      <c r="F34" s="74">
        <f>155/6</f>
        <v>25.833333333333332</v>
      </c>
      <c r="G34" s="74">
        <v>74.349999999999994</v>
      </c>
      <c r="H34" s="78">
        <f t="shared" si="1"/>
        <v>1.920708333333333</v>
      </c>
      <c r="I34" s="13">
        <f t="shared" si="2"/>
        <v>320.11805555555554</v>
      </c>
    </row>
    <row r="35" spans="1:9" ht="21" hidden="1" customHeight="1">
      <c r="A35" s="29"/>
      <c r="B35" s="34" t="s">
        <v>67</v>
      </c>
      <c r="C35" s="44" t="s">
        <v>33</v>
      </c>
      <c r="D35" s="34" t="s">
        <v>69</v>
      </c>
      <c r="E35" s="121"/>
      <c r="F35" s="33">
        <v>2</v>
      </c>
      <c r="G35" s="33">
        <v>250.92</v>
      </c>
      <c r="H35" s="119">
        <f t="shared" si="1"/>
        <v>0.50183999999999995</v>
      </c>
      <c r="I35" s="13">
        <v>0</v>
      </c>
    </row>
    <row r="36" spans="1:9" ht="24" hidden="1" customHeight="1">
      <c r="A36" s="29"/>
      <c r="B36" s="34" t="s">
        <v>68</v>
      </c>
      <c r="C36" s="44" t="s">
        <v>32</v>
      </c>
      <c r="D36" s="34" t="s">
        <v>69</v>
      </c>
      <c r="E36" s="121"/>
      <c r="F36" s="33">
        <v>1</v>
      </c>
      <c r="G36" s="33">
        <v>1490.31</v>
      </c>
      <c r="H36" s="119">
        <f t="shared" si="1"/>
        <v>1.49031</v>
      </c>
      <c r="I36" s="13"/>
    </row>
    <row r="37" spans="1:9" ht="29.25" hidden="1" customHeight="1">
      <c r="A37" s="29"/>
      <c r="B37" s="93" t="s">
        <v>5</v>
      </c>
      <c r="C37" s="72"/>
      <c r="D37" s="71"/>
      <c r="E37" s="73"/>
      <c r="F37" s="74"/>
      <c r="G37" s="74"/>
      <c r="H37" s="78" t="s">
        <v>132</v>
      </c>
      <c r="I37" s="79"/>
    </row>
    <row r="38" spans="1:9" ht="29.25" hidden="1" customHeight="1">
      <c r="A38" s="29">
        <v>6</v>
      </c>
      <c r="B38" s="71" t="s">
        <v>26</v>
      </c>
      <c r="C38" s="72" t="s">
        <v>32</v>
      </c>
      <c r="D38" s="71"/>
      <c r="E38" s="73"/>
      <c r="F38" s="74">
        <v>3</v>
      </c>
      <c r="G38" s="74">
        <v>2003</v>
      </c>
      <c r="H38" s="78">
        <f t="shared" ref="H38:H44" si="3">SUM(F38*G38/1000)</f>
        <v>6.0090000000000003</v>
      </c>
      <c r="I38" s="13">
        <f t="shared" ref="I38:I42" si="4">F38/6*G38</f>
        <v>1001.5</v>
      </c>
    </row>
    <row r="39" spans="1:9" ht="22.5" hidden="1" customHeight="1">
      <c r="A39" s="29">
        <v>7</v>
      </c>
      <c r="B39" s="71" t="s">
        <v>70</v>
      </c>
      <c r="C39" s="72" t="s">
        <v>29</v>
      </c>
      <c r="D39" s="71" t="s">
        <v>156</v>
      </c>
      <c r="E39" s="74">
        <v>160.6</v>
      </c>
      <c r="F39" s="74">
        <f>SUM(E39*18/1000)</f>
        <v>2.8907999999999996</v>
      </c>
      <c r="G39" s="74">
        <v>2757.78</v>
      </c>
      <c r="H39" s="78">
        <f t="shared" si="3"/>
        <v>7.972190423999999</v>
      </c>
      <c r="I39" s="13">
        <f t="shared" si="4"/>
        <v>1328.698404</v>
      </c>
    </row>
    <row r="40" spans="1:9" ht="24" hidden="1" customHeight="1">
      <c r="A40" s="29">
        <v>8</v>
      </c>
      <c r="B40" s="71" t="s">
        <v>71</v>
      </c>
      <c r="C40" s="72" t="s">
        <v>29</v>
      </c>
      <c r="D40" s="71" t="s">
        <v>129</v>
      </c>
      <c r="E40" s="73">
        <v>89.1</v>
      </c>
      <c r="F40" s="74">
        <f>SUM(E40*155/1000)</f>
        <v>13.810499999999999</v>
      </c>
      <c r="G40" s="74">
        <v>460.02</v>
      </c>
      <c r="H40" s="78">
        <f t="shared" si="3"/>
        <v>6.3531062099999991</v>
      </c>
      <c r="I40" s="13">
        <f t="shared" si="4"/>
        <v>1058.8510349999999</v>
      </c>
    </row>
    <row r="41" spans="1:9" ht="20.25" hidden="1" customHeight="1">
      <c r="A41" s="29">
        <v>12</v>
      </c>
      <c r="B41" s="71" t="s">
        <v>157</v>
      </c>
      <c r="C41" s="72" t="s">
        <v>158</v>
      </c>
      <c r="D41" s="71" t="s">
        <v>69</v>
      </c>
      <c r="E41" s="73"/>
      <c r="F41" s="74">
        <v>39</v>
      </c>
      <c r="G41" s="74">
        <v>301.70999999999998</v>
      </c>
      <c r="H41" s="78">
        <f t="shared" si="3"/>
        <v>11.766689999999999</v>
      </c>
      <c r="I41" s="13">
        <v>0</v>
      </c>
    </row>
    <row r="42" spans="1:9" ht="20.25" hidden="1" customHeight="1">
      <c r="A42" s="29">
        <v>9</v>
      </c>
      <c r="B42" s="71" t="s">
        <v>88</v>
      </c>
      <c r="C42" s="72" t="s">
        <v>111</v>
      </c>
      <c r="D42" s="71" t="s">
        <v>159</v>
      </c>
      <c r="E42" s="74">
        <v>46.5</v>
      </c>
      <c r="F42" s="74">
        <f>SUM(E42*35/1000)</f>
        <v>1.6274999999999999</v>
      </c>
      <c r="G42" s="74">
        <v>7611.16</v>
      </c>
      <c r="H42" s="78">
        <f t="shared" si="3"/>
        <v>12.3871629</v>
      </c>
      <c r="I42" s="13">
        <f t="shared" si="4"/>
        <v>2064.5271499999999</v>
      </c>
    </row>
    <row r="43" spans="1:9" ht="16.5" hidden="1" customHeight="1">
      <c r="A43" s="94">
        <v>10</v>
      </c>
      <c r="B43" s="83" t="s">
        <v>113</v>
      </c>
      <c r="C43" s="84" t="s">
        <v>111</v>
      </c>
      <c r="D43" s="83" t="s">
        <v>72</v>
      </c>
      <c r="E43" s="85">
        <v>89.1</v>
      </c>
      <c r="F43" s="85">
        <f>SUM(E43*45/1000)</f>
        <v>4.0094999999999992</v>
      </c>
      <c r="G43" s="85">
        <v>562.25</v>
      </c>
      <c r="H43" s="82">
        <f t="shared" si="3"/>
        <v>2.2543413749999996</v>
      </c>
      <c r="I43" s="95">
        <f>(F43/7.5*1.5)*G43</f>
        <v>450.86827499999993</v>
      </c>
    </row>
    <row r="44" spans="1:9" ht="15.75" hidden="1" customHeight="1">
      <c r="A44" s="29">
        <v>11</v>
      </c>
      <c r="B44" s="14" t="s">
        <v>73</v>
      </c>
      <c r="C44" s="16" t="s">
        <v>33</v>
      </c>
      <c r="D44" s="14"/>
      <c r="E44" s="18"/>
      <c r="F44" s="13">
        <v>0.9</v>
      </c>
      <c r="G44" s="13">
        <v>974.83</v>
      </c>
      <c r="H44" s="13">
        <f t="shared" si="3"/>
        <v>0.8773470000000001</v>
      </c>
      <c r="I44" s="95">
        <f>(F44/7.5*1.5)*G44</f>
        <v>175.46940000000004</v>
      </c>
    </row>
    <row r="45" spans="1:9" ht="19.5" hidden="1" customHeight="1">
      <c r="A45" s="179" t="s">
        <v>138</v>
      </c>
      <c r="B45" s="180"/>
      <c r="C45" s="180"/>
      <c r="D45" s="180"/>
      <c r="E45" s="180"/>
      <c r="F45" s="180"/>
      <c r="G45" s="180"/>
      <c r="H45" s="180"/>
      <c r="I45" s="181"/>
    </row>
    <row r="46" spans="1:9" ht="20.25" hidden="1" customHeight="1">
      <c r="A46" s="29">
        <v>18</v>
      </c>
      <c r="B46" s="39" t="s">
        <v>114</v>
      </c>
      <c r="C46" s="40" t="s">
        <v>111</v>
      </c>
      <c r="D46" s="39" t="s">
        <v>43</v>
      </c>
      <c r="E46" s="17">
        <v>1632.75</v>
      </c>
      <c r="F46" s="36">
        <f>SUM(E46*2/1000)</f>
        <v>3.2654999999999998</v>
      </c>
      <c r="G46" s="36">
        <v>1062</v>
      </c>
      <c r="H46" s="36">
        <f t="shared" ref="H46:H55" si="5">SUM(F46*G46/1000)</f>
        <v>3.4679609999999998</v>
      </c>
      <c r="I46" s="13">
        <f>F46/2*G46</f>
        <v>1733.9804999999999</v>
      </c>
    </row>
    <row r="47" spans="1:9" ht="17.25" hidden="1" customHeight="1">
      <c r="A47" s="29">
        <v>19</v>
      </c>
      <c r="B47" s="39" t="s">
        <v>36</v>
      </c>
      <c r="C47" s="40" t="s">
        <v>111</v>
      </c>
      <c r="D47" s="39" t="s">
        <v>43</v>
      </c>
      <c r="E47" s="17">
        <v>53.75</v>
      </c>
      <c r="F47" s="36">
        <f>SUM(E47*2/1000)</f>
        <v>0.1075</v>
      </c>
      <c r="G47" s="36">
        <v>759.98</v>
      </c>
      <c r="H47" s="36">
        <f t="shared" si="5"/>
        <v>8.1697850000000002E-2</v>
      </c>
      <c r="I47" s="13">
        <f t="shared" ref="I47:I54" si="6">F47/2*G47</f>
        <v>40.848925000000001</v>
      </c>
    </row>
    <row r="48" spans="1:9" ht="20.25" hidden="1" customHeight="1">
      <c r="A48" s="29">
        <v>20</v>
      </c>
      <c r="B48" s="39" t="s">
        <v>37</v>
      </c>
      <c r="C48" s="40" t="s">
        <v>111</v>
      </c>
      <c r="D48" s="39" t="s">
        <v>43</v>
      </c>
      <c r="E48" s="17">
        <v>2285.6</v>
      </c>
      <c r="F48" s="36">
        <f>SUM(E48*2/1000)</f>
        <v>4.5712000000000002</v>
      </c>
      <c r="G48" s="36">
        <v>759.98</v>
      </c>
      <c r="H48" s="36">
        <f t="shared" si="5"/>
        <v>3.4740205760000005</v>
      </c>
      <c r="I48" s="13">
        <f t="shared" si="6"/>
        <v>1737.0102880000002</v>
      </c>
    </row>
    <row r="49" spans="1:9" ht="19.5" hidden="1" customHeight="1">
      <c r="A49" s="29">
        <v>21</v>
      </c>
      <c r="B49" s="39" t="s">
        <v>38</v>
      </c>
      <c r="C49" s="40" t="s">
        <v>111</v>
      </c>
      <c r="D49" s="39" t="s">
        <v>43</v>
      </c>
      <c r="E49" s="17">
        <v>1860</v>
      </c>
      <c r="F49" s="36">
        <f>SUM(E49*2/1000)</f>
        <v>3.72</v>
      </c>
      <c r="G49" s="36">
        <v>795.82</v>
      </c>
      <c r="H49" s="36">
        <f t="shared" si="5"/>
        <v>2.9604504</v>
      </c>
      <c r="I49" s="13">
        <f t="shared" si="6"/>
        <v>1480.2252000000001</v>
      </c>
    </row>
    <row r="50" spans="1:9" ht="18.75" hidden="1" customHeight="1">
      <c r="A50" s="29">
        <v>22</v>
      </c>
      <c r="B50" s="39" t="s">
        <v>34</v>
      </c>
      <c r="C50" s="40" t="s">
        <v>35</v>
      </c>
      <c r="D50" s="39" t="s">
        <v>43</v>
      </c>
      <c r="E50" s="17">
        <v>120.5</v>
      </c>
      <c r="F50" s="36">
        <f>SUM(E50*2/100)</f>
        <v>2.41</v>
      </c>
      <c r="G50" s="36">
        <v>95.49</v>
      </c>
      <c r="H50" s="36">
        <f t="shared" si="5"/>
        <v>0.2301309</v>
      </c>
      <c r="I50" s="13">
        <f t="shared" si="6"/>
        <v>115.06545</v>
      </c>
    </row>
    <row r="51" spans="1:9" ht="19.5" hidden="1" customHeight="1">
      <c r="A51" s="29">
        <v>23</v>
      </c>
      <c r="B51" s="39" t="s">
        <v>58</v>
      </c>
      <c r="C51" s="40" t="s">
        <v>111</v>
      </c>
      <c r="D51" s="39" t="s">
        <v>141</v>
      </c>
      <c r="E51" s="17">
        <v>3053.4</v>
      </c>
      <c r="F51" s="36">
        <f>SUM(E51*5/1000)</f>
        <v>15.266999999999999</v>
      </c>
      <c r="G51" s="36">
        <v>1591.6</v>
      </c>
      <c r="H51" s="36">
        <f t="shared" si="5"/>
        <v>24.298957199999997</v>
      </c>
      <c r="I51" s="13">
        <f>F51/5*G51</f>
        <v>4859.79144</v>
      </c>
    </row>
    <row r="52" spans="1:9" ht="20.25" hidden="1" customHeight="1">
      <c r="A52" s="29">
        <v>24</v>
      </c>
      <c r="B52" s="39" t="s">
        <v>115</v>
      </c>
      <c r="C52" s="40" t="s">
        <v>111</v>
      </c>
      <c r="D52" s="39" t="s">
        <v>43</v>
      </c>
      <c r="E52" s="17">
        <f>E51</f>
        <v>3053.4</v>
      </c>
      <c r="F52" s="36">
        <f>SUM(E52*2/1000)</f>
        <v>6.1067999999999998</v>
      </c>
      <c r="G52" s="36">
        <v>1591.6</v>
      </c>
      <c r="H52" s="36">
        <f t="shared" si="5"/>
        <v>9.7195828800000008</v>
      </c>
      <c r="I52" s="13">
        <f t="shared" si="6"/>
        <v>4859.79144</v>
      </c>
    </row>
    <row r="53" spans="1:9" ht="21" hidden="1" customHeight="1">
      <c r="A53" s="29">
        <v>25</v>
      </c>
      <c r="B53" s="39" t="s">
        <v>133</v>
      </c>
      <c r="C53" s="40" t="s">
        <v>39</v>
      </c>
      <c r="D53" s="39" t="s">
        <v>43</v>
      </c>
      <c r="E53" s="17">
        <v>20</v>
      </c>
      <c r="F53" s="36">
        <f>SUM(E53*2/100)</f>
        <v>0.4</v>
      </c>
      <c r="G53" s="36">
        <v>3581.13</v>
      </c>
      <c r="H53" s="36">
        <f t="shared" si="5"/>
        <v>1.4324520000000003</v>
      </c>
      <c r="I53" s="13">
        <f t="shared" si="6"/>
        <v>716.22600000000011</v>
      </c>
    </row>
    <row r="54" spans="1:9" ht="24" hidden="1" customHeight="1">
      <c r="A54" s="29">
        <v>26</v>
      </c>
      <c r="B54" s="39" t="s">
        <v>40</v>
      </c>
      <c r="C54" s="40" t="s">
        <v>41</v>
      </c>
      <c r="D54" s="39" t="s">
        <v>43</v>
      </c>
      <c r="E54" s="17">
        <v>1</v>
      </c>
      <c r="F54" s="36">
        <v>0.02</v>
      </c>
      <c r="G54" s="36">
        <v>7412.92</v>
      </c>
      <c r="H54" s="36">
        <f t="shared" si="5"/>
        <v>0.14825839999999998</v>
      </c>
      <c r="I54" s="13">
        <f t="shared" si="6"/>
        <v>74.129199999999997</v>
      </c>
    </row>
    <row r="55" spans="1:9" ht="17.25" hidden="1" customHeight="1">
      <c r="A55" s="29">
        <v>27</v>
      </c>
      <c r="B55" s="39" t="s">
        <v>42</v>
      </c>
      <c r="C55" s="40" t="s">
        <v>95</v>
      </c>
      <c r="D55" s="39" t="s">
        <v>74</v>
      </c>
      <c r="E55" s="17">
        <v>128</v>
      </c>
      <c r="F55" s="36">
        <f>SUM(E55)*3</f>
        <v>384</v>
      </c>
      <c r="G55" s="37">
        <v>86.15</v>
      </c>
      <c r="H55" s="36">
        <f t="shared" si="5"/>
        <v>33.081600000000009</v>
      </c>
      <c r="I55" s="13">
        <f>E55*G55</f>
        <v>11027.2</v>
      </c>
    </row>
    <row r="56" spans="1:9">
      <c r="A56" s="179" t="s">
        <v>143</v>
      </c>
      <c r="B56" s="180"/>
      <c r="C56" s="180"/>
      <c r="D56" s="180"/>
      <c r="E56" s="180"/>
      <c r="F56" s="180"/>
      <c r="G56" s="180"/>
      <c r="H56" s="180"/>
      <c r="I56" s="181"/>
    </row>
    <row r="57" spans="1:9" hidden="1">
      <c r="A57" s="96"/>
      <c r="B57" s="104" t="s">
        <v>44</v>
      </c>
      <c r="C57" s="98"/>
      <c r="D57" s="97"/>
      <c r="E57" s="99"/>
      <c r="F57" s="100"/>
      <c r="G57" s="100"/>
      <c r="H57" s="105"/>
      <c r="I57" s="106"/>
    </row>
    <row r="58" spans="1:9" ht="45" hidden="1">
      <c r="A58" s="29">
        <v>12</v>
      </c>
      <c r="B58" s="71" t="s">
        <v>116</v>
      </c>
      <c r="C58" s="72" t="s">
        <v>99</v>
      </c>
      <c r="D58" s="71" t="s">
        <v>117</v>
      </c>
      <c r="E58" s="73">
        <v>92.7</v>
      </c>
      <c r="F58" s="74">
        <f>SUM(E58*6/100)</f>
        <v>5.5620000000000003</v>
      </c>
      <c r="G58" s="13">
        <v>2431.1799999999998</v>
      </c>
      <c r="H58" s="78">
        <f>SUM(F58*G58/1000)</f>
        <v>13.522223159999999</v>
      </c>
      <c r="I58" s="13">
        <f>G58*0.12</f>
        <v>291.74159999999995</v>
      </c>
    </row>
    <row r="59" spans="1:9" ht="30" hidden="1">
      <c r="A59" s="29">
        <v>13</v>
      </c>
      <c r="B59" s="71" t="s">
        <v>134</v>
      </c>
      <c r="C59" s="72" t="s">
        <v>135</v>
      </c>
      <c r="D59" s="14" t="s">
        <v>69</v>
      </c>
      <c r="E59" s="73"/>
      <c r="F59" s="74">
        <v>2</v>
      </c>
      <c r="G59" s="67">
        <v>1582.05</v>
      </c>
      <c r="H59" s="78">
        <f>SUM(F59*G59/1000)</f>
        <v>3.1640999999999999</v>
      </c>
      <c r="I59" s="13">
        <f>G59*1</f>
        <v>1582.05</v>
      </c>
    </row>
    <row r="60" spans="1:9" ht="16.5" customHeight="1">
      <c r="A60" s="29"/>
      <c r="B60" s="93" t="s">
        <v>45</v>
      </c>
      <c r="C60" s="72"/>
      <c r="D60" s="71"/>
      <c r="E60" s="73"/>
      <c r="F60" s="74"/>
      <c r="G60" s="74"/>
      <c r="H60" s="75" t="s">
        <v>132</v>
      </c>
      <c r="I60" s="79"/>
    </row>
    <row r="61" spans="1:9" hidden="1">
      <c r="A61" s="29"/>
      <c r="B61" s="34" t="s">
        <v>46</v>
      </c>
      <c r="C61" s="44" t="s">
        <v>99</v>
      </c>
      <c r="D61" s="34" t="s">
        <v>55</v>
      </c>
      <c r="E61" s="123">
        <v>145</v>
      </c>
      <c r="F61" s="33">
        <f>SUM(E61/100)</f>
        <v>1.45</v>
      </c>
      <c r="G61" s="36">
        <v>1040.8399999999999</v>
      </c>
      <c r="H61" s="124">
        <v>9.1679999999999993</v>
      </c>
      <c r="I61" s="13">
        <v>0</v>
      </c>
    </row>
    <row r="62" spans="1:9" ht="21.75" customHeight="1">
      <c r="A62" s="29">
        <v>10</v>
      </c>
      <c r="B62" s="125" t="s">
        <v>96</v>
      </c>
      <c r="C62" s="126" t="s">
        <v>25</v>
      </c>
      <c r="D62" s="125" t="s">
        <v>30</v>
      </c>
      <c r="E62" s="123">
        <v>200</v>
      </c>
      <c r="F62" s="33">
        <f>SUM(E62*12)</f>
        <v>2400</v>
      </c>
      <c r="G62" s="127">
        <v>1.2</v>
      </c>
      <c r="H62" s="128">
        <f>G62*F62/1000</f>
        <v>2.88</v>
      </c>
      <c r="I62" s="13">
        <f>F62/12*G62</f>
        <v>240</v>
      </c>
    </row>
    <row r="63" spans="1:9" ht="18" customHeight="1">
      <c r="A63" s="29"/>
      <c r="B63" s="102" t="s">
        <v>47</v>
      </c>
      <c r="C63" s="84"/>
      <c r="D63" s="83"/>
      <c r="E63" s="81"/>
      <c r="F63" s="85"/>
      <c r="G63" s="85"/>
      <c r="H63" s="86" t="s">
        <v>132</v>
      </c>
      <c r="I63" s="79"/>
    </row>
    <row r="64" spans="1:9" ht="30" hidden="1">
      <c r="A64" s="29">
        <v>29</v>
      </c>
      <c r="B64" s="56" t="s">
        <v>48</v>
      </c>
      <c r="C64" s="40" t="s">
        <v>95</v>
      </c>
      <c r="D64" s="39" t="s">
        <v>69</v>
      </c>
      <c r="E64" s="17">
        <v>6</v>
      </c>
      <c r="F64" s="33">
        <f>SUM(E64)</f>
        <v>6</v>
      </c>
      <c r="G64" s="36">
        <v>291.68</v>
      </c>
      <c r="H64" s="114">
        <f t="shared" ref="H64:H72" si="7">SUM(F64*G64/1000)</f>
        <v>1.7500799999999999</v>
      </c>
      <c r="I64" s="13">
        <f>G64</f>
        <v>291.68</v>
      </c>
    </row>
    <row r="65" spans="1:9" ht="30" hidden="1">
      <c r="A65" s="29"/>
      <c r="B65" s="56" t="s">
        <v>49</v>
      </c>
      <c r="C65" s="40" t="s">
        <v>95</v>
      </c>
      <c r="D65" s="39" t="s">
        <v>69</v>
      </c>
      <c r="E65" s="17">
        <v>4</v>
      </c>
      <c r="F65" s="33">
        <f>SUM(E65)</f>
        <v>4</v>
      </c>
      <c r="G65" s="36">
        <v>100.01</v>
      </c>
      <c r="H65" s="114">
        <f t="shared" si="7"/>
        <v>0.40004000000000001</v>
      </c>
      <c r="I65" s="13">
        <v>0</v>
      </c>
    </row>
    <row r="66" spans="1:9" hidden="1">
      <c r="A66" s="29">
        <v>30</v>
      </c>
      <c r="B66" s="56" t="s">
        <v>50</v>
      </c>
      <c r="C66" s="42" t="s">
        <v>118</v>
      </c>
      <c r="D66" s="39" t="s">
        <v>55</v>
      </c>
      <c r="E66" s="121">
        <v>15552</v>
      </c>
      <c r="F66" s="37">
        <f>SUM(E66/100)</f>
        <v>155.52000000000001</v>
      </c>
      <c r="G66" s="36">
        <v>278.24</v>
      </c>
      <c r="H66" s="114">
        <f t="shared" si="7"/>
        <v>43.271884800000009</v>
      </c>
      <c r="I66" s="13">
        <f>G66*155.52</f>
        <v>43271.884800000007</v>
      </c>
    </row>
    <row r="67" spans="1:9" hidden="1">
      <c r="A67" s="29">
        <v>31</v>
      </c>
      <c r="B67" s="56" t="s">
        <v>51</v>
      </c>
      <c r="C67" s="40" t="s">
        <v>119</v>
      </c>
      <c r="D67" s="39"/>
      <c r="E67" s="121">
        <v>15552</v>
      </c>
      <c r="F67" s="36">
        <f>SUM(E67/1000)</f>
        <v>15.552</v>
      </c>
      <c r="G67" s="36">
        <v>216.68</v>
      </c>
      <c r="H67" s="114">
        <f t="shared" si="7"/>
        <v>3.3698073600000003</v>
      </c>
      <c r="I67" s="13">
        <f>G67*15.552</f>
        <v>3369.8073600000002</v>
      </c>
    </row>
    <row r="68" spans="1:9" hidden="1">
      <c r="A68" s="29">
        <v>32</v>
      </c>
      <c r="B68" s="56" t="s">
        <v>52</v>
      </c>
      <c r="C68" s="40" t="s">
        <v>81</v>
      </c>
      <c r="D68" s="39" t="s">
        <v>55</v>
      </c>
      <c r="E68" s="121">
        <v>2432</v>
      </c>
      <c r="F68" s="36">
        <f>SUM(E68/100)</f>
        <v>24.32</v>
      </c>
      <c r="G68" s="36">
        <v>2720.94</v>
      </c>
      <c r="H68" s="114">
        <f t="shared" si="7"/>
        <v>66.173260800000008</v>
      </c>
      <c r="I68" s="13">
        <f>24.32*G68</f>
        <v>66173.260800000004</v>
      </c>
    </row>
    <row r="69" spans="1:9" hidden="1">
      <c r="A69" s="29">
        <v>33</v>
      </c>
      <c r="B69" s="53" t="s">
        <v>75</v>
      </c>
      <c r="C69" s="40" t="s">
        <v>33</v>
      </c>
      <c r="D69" s="39"/>
      <c r="E69" s="121">
        <v>14.8</v>
      </c>
      <c r="F69" s="36">
        <f>SUM(E69)</f>
        <v>14.8</v>
      </c>
      <c r="G69" s="36">
        <v>42.61</v>
      </c>
      <c r="H69" s="114">
        <f t="shared" si="7"/>
        <v>0.63062800000000008</v>
      </c>
      <c r="I69" s="13">
        <f>14.8*G69</f>
        <v>630.62800000000004</v>
      </c>
    </row>
    <row r="70" spans="1:9" ht="30" hidden="1">
      <c r="A70" s="29">
        <v>34</v>
      </c>
      <c r="B70" s="53" t="s">
        <v>76</v>
      </c>
      <c r="C70" s="40" t="s">
        <v>33</v>
      </c>
      <c r="D70" s="39"/>
      <c r="E70" s="121">
        <f>E69</f>
        <v>14.8</v>
      </c>
      <c r="F70" s="36">
        <f>SUM(E70)</f>
        <v>14.8</v>
      </c>
      <c r="G70" s="36">
        <v>46.04</v>
      </c>
      <c r="H70" s="114">
        <f t="shared" si="7"/>
        <v>0.681392</v>
      </c>
      <c r="I70" s="13">
        <f>G70*14.8</f>
        <v>681.39200000000005</v>
      </c>
    </row>
    <row r="71" spans="1:9" hidden="1">
      <c r="A71" s="29">
        <v>22</v>
      </c>
      <c r="B71" s="39" t="s">
        <v>59</v>
      </c>
      <c r="C71" s="40" t="s">
        <v>60</v>
      </c>
      <c r="D71" s="39" t="s">
        <v>55</v>
      </c>
      <c r="E71" s="17">
        <v>5</v>
      </c>
      <c r="F71" s="33">
        <f>SUM(E71)</f>
        <v>5</v>
      </c>
      <c r="G71" s="36">
        <v>65.42</v>
      </c>
      <c r="H71" s="114">
        <f t="shared" si="7"/>
        <v>0.3271</v>
      </c>
      <c r="I71" s="13">
        <f>G71*4</f>
        <v>261.68</v>
      </c>
    </row>
    <row r="72" spans="1:9" ht="20.25" customHeight="1">
      <c r="A72" s="29">
        <v>11</v>
      </c>
      <c r="B72" s="39" t="s">
        <v>160</v>
      </c>
      <c r="C72" s="45" t="s">
        <v>161</v>
      </c>
      <c r="D72" s="39" t="s">
        <v>69</v>
      </c>
      <c r="E72" s="17">
        <f>E51</f>
        <v>3053.4</v>
      </c>
      <c r="F72" s="33">
        <f>SUM(E72*12)</f>
        <v>36640.800000000003</v>
      </c>
      <c r="G72" s="36">
        <v>2.2799999999999998</v>
      </c>
      <c r="H72" s="114">
        <f t="shared" si="7"/>
        <v>83.541024000000007</v>
      </c>
      <c r="I72" s="13">
        <f>F72/12*G72</f>
        <v>6961.7519999999995</v>
      </c>
    </row>
    <row r="73" spans="1:9" ht="22.5" customHeight="1">
      <c r="A73" s="29"/>
      <c r="B73" s="167" t="s">
        <v>77</v>
      </c>
      <c r="C73" s="16"/>
      <c r="D73" s="14"/>
      <c r="E73" s="18"/>
      <c r="F73" s="13"/>
      <c r="G73" s="13"/>
      <c r="H73" s="87" t="s">
        <v>132</v>
      </c>
      <c r="I73" s="79"/>
    </row>
    <row r="74" spans="1:9" ht="30" hidden="1">
      <c r="A74" s="29">
        <v>19</v>
      </c>
      <c r="B74" s="39" t="s">
        <v>162</v>
      </c>
      <c r="C74" s="40" t="s">
        <v>163</v>
      </c>
      <c r="D74" s="39" t="s">
        <v>69</v>
      </c>
      <c r="E74" s="17">
        <v>1</v>
      </c>
      <c r="F74" s="36">
        <f>E74</f>
        <v>1</v>
      </c>
      <c r="G74" s="36">
        <v>1029.1199999999999</v>
      </c>
      <c r="H74" s="114">
        <f t="shared" ref="H74:H75" si="8">SUM(F74*G74/1000)</f>
        <v>1.0291199999999998</v>
      </c>
      <c r="I74" s="13">
        <v>0</v>
      </c>
    </row>
    <row r="75" spans="1:9" hidden="1">
      <c r="A75" s="29"/>
      <c r="B75" s="39" t="s">
        <v>164</v>
      </c>
      <c r="C75" s="40" t="s">
        <v>165</v>
      </c>
      <c r="D75" s="129"/>
      <c r="E75" s="17">
        <v>1</v>
      </c>
      <c r="F75" s="36">
        <v>1</v>
      </c>
      <c r="G75" s="36">
        <v>735</v>
      </c>
      <c r="H75" s="114">
        <f t="shared" si="8"/>
        <v>0.73499999999999999</v>
      </c>
      <c r="I75" s="13">
        <v>0</v>
      </c>
    </row>
    <row r="76" spans="1:9" ht="30" hidden="1">
      <c r="A76" s="29">
        <v>36</v>
      </c>
      <c r="B76" s="39" t="s">
        <v>78</v>
      </c>
      <c r="C76" s="40" t="s">
        <v>79</v>
      </c>
      <c r="D76" s="39" t="s">
        <v>69</v>
      </c>
      <c r="E76" s="17">
        <v>5</v>
      </c>
      <c r="F76" s="33">
        <f>SUM(E76/10)</f>
        <v>0.5</v>
      </c>
      <c r="G76" s="36">
        <v>657.87</v>
      </c>
      <c r="H76" s="114">
        <f>SUM(F76*G76/1000)</f>
        <v>0.32893499999999998</v>
      </c>
      <c r="I76" s="13">
        <f>G76*0.2</f>
        <v>131.57400000000001</v>
      </c>
    </row>
    <row r="77" spans="1:9" ht="30" hidden="1">
      <c r="A77" s="29"/>
      <c r="B77" s="39" t="s">
        <v>130</v>
      </c>
      <c r="C77" s="40" t="s">
        <v>95</v>
      </c>
      <c r="D77" s="39" t="s">
        <v>69</v>
      </c>
      <c r="E77" s="17">
        <v>1</v>
      </c>
      <c r="F77" s="36">
        <f>E77</f>
        <v>1</v>
      </c>
      <c r="G77" s="36">
        <v>1118.72</v>
      </c>
      <c r="H77" s="114">
        <f>SUM(F77*G77/1000)</f>
        <v>1.1187199999999999</v>
      </c>
      <c r="I77" s="13">
        <v>0</v>
      </c>
    </row>
    <row r="78" spans="1:9" ht="38.25" customHeight="1">
      <c r="A78" s="29">
        <v>12</v>
      </c>
      <c r="B78" s="115" t="s">
        <v>166</v>
      </c>
      <c r="C78" s="116" t="s">
        <v>95</v>
      </c>
      <c r="D78" s="39" t="s">
        <v>69</v>
      </c>
      <c r="E78" s="17">
        <v>2</v>
      </c>
      <c r="F78" s="33">
        <f>E78*12</f>
        <v>24</v>
      </c>
      <c r="G78" s="36">
        <v>53.42</v>
      </c>
      <c r="H78" s="114">
        <f t="shared" ref="H78:H79" si="9">SUM(F78*G78/1000)</f>
        <v>1.2820799999999999</v>
      </c>
      <c r="I78" s="13">
        <f>G78*2</f>
        <v>106.84</v>
      </c>
    </row>
    <row r="79" spans="1:9" ht="38.25" customHeight="1">
      <c r="A79" s="29">
        <v>13</v>
      </c>
      <c r="B79" s="115" t="s">
        <v>167</v>
      </c>
      <c r="C79" s="116" t="s">
        <v>95</v>
      </c>
      <c r="D79" s="39" t="s">
        <v>30</v>
      </c>
      <c r="E79" s="17">
        <v>1</v>
      </c>
      <c r="F79" s="33">
        <f>E79*12</f>
        <v>12</v>
      </c>
      <c r="G79" s="36">
        <v>1194</v>
      </c>
      <c r="H79" s="114">
        <f t="shared" si="9"/>
        <v>14.327999999999999</v>
      </c>
      <c r="I79" s="13">
        <f>G79</f>
        <v>1194</v>
      </c>
    </row>
    <row r="80" spans="1:9" hidden="1">
      <c r="A80" s="29"/>
      <c r="B80" s="90" t="s">
        <v>80</v>
      </c>
      <c r="C80" s="16"/>
      <c r="D80" s="14"/>
      <c r="E80" s="18"/>
      <c r="F80" s="18"/>
      <c r="G80" s="18"/>
      <c r="H80" s="18"/>
      <c r="I80" s="79"/>
    </row>
    <row r="81" spans="1:9" hidden="1">
      <c r="A81" s="29"/>
      <c r="B81" s="41" t="s">
        <v>122</v>
      </c>
      <c r="C81" s="42" t="s">
        <v>81</v>
      </c>
      <c r="D81" s="56"/>
      <c r="E81" s="59"/>
      <c r="F81" s="37">
        <v>0.3</v>
      </c>
      <c r="G81" s="37">
        <v>3619.09</v>
      </c>
      <c r="H81" s="114">
        <f t="shared" ref="H81" si="10">SUM(F81*G81/1000)</f>
        <v>1.0857270000000001</v>
      </c>
      <c r="I81" s="13">
        <v>0</v>
      </c>
    </row>
    <row r="82" spans="1:9" ht="28.5" hidden="1">
      <c r="A82" s="29"/>
      <c r="B82" s="167" t="s">
        <v>120</v>
      </c>
      <c r="C82" s="90"/>
      <c r="D82" s="31"/>
      <c r="E82" s="32"/>
      <c r="F82" s="91"/>
      <c r="G82" s="91"/>
      <c r="H82" s="92">
        <f>SUM(H58:H81)</f>
        <v>248.78712212000002</v>
      </c>
      <c r="I82" s="77"/>
    </row>
    <row r="83" spans="1:9">
      <c r="A83" s="179" t="s">
        <v>144</v>
      </c>
      <c r="B83" s="180"/>
      <c r="C83" s="180"/>
      <c r="D83" s="180"/>
      <c r="E83" s="180"/>
      <c r="F83" s="180"/>
      <c r="G83" s="180"/>
      <c r="H83" s="180"/>
      <c r="I83" s="181"/>
    </row>
    <row r="84" spans="1:9" ht="19.5" customHeight="1">
      <c r="A84" s="96">
        <v>14</v>
      </c>
      <c r="B84" s="34" t="s">
        <v>123</v>
      </c>
      <c r="C84" s="40" t="s">
        <v>56</v>
      </c>
      <c r="D84" s="103" t="s">
        <v>57</v>
      </c>
      <c r="E84" s="36">
        <v>3053.4</v>
      </c>
      <c r="F84" s="36">
        <f>SUM(E84*12)</f>
        <v>36640.800000000003</v>
      </c>
      <c r="G84" s="36">
        <v>3.1</v>
      </c>
      <c r="H84" s="114">
        <f>SUM(F84*G84/1000)</f>
        <v>113.58648000000001</v>
      </c>
      <c r="I84" s="101">
        <f>F84/12*G84</f>
        <v>9465.5400000000009</v>
      </c>
    </row>
    <row r="85" spans="1:9" ht="41.25" customHeight="1">
      <c r="A85" s="29">
        <v>15</v>
      </c>
      <c r="B85" s="39" t="s">
        <v>82</v>
      </c>
      <c r="C85" s="40"/>
      <c r="D85" s="103" t="s">
        <v>57</v>
      </c>
      <c r="E85" s="121">
        <v>3053.4</v>
      </c>
      <c r="F85" s="36">
        <f>E85*12</f>
        <v>36640.800000000003</v>
      </c>
      <c r="G85" s="36">
        <v>3.5</v>
      </c>
      <c r="H85" s="114">
        <f>F85*G85/1000</f>
        <v>128.24280000000002</v>
      </c>
      <c r="I85" s="13">
        <f>F85/12*G85</f>
        <v>10686.9</v>
      </c>
    </row>
    <row r="86" spans="1:9">
      <c r="A86" s="29"/>
      <c r="B86" s="43" t="s">
        <v>85</v>
      </c>
      <c r="C86" s="90"/>
      <c r="D86" s="88"/>
      <c r="E86" s="91"/>
      <c r="F86" s="91"/>
      <c r="G86" s="91"/>
      <c r="H86" s="92">
        <f>SUM(H85)</f>
        <v>128.24280000000002</v>
      </c>
      <c r="I86" s="91">
        <f>I85+I84+I79+I78+I72+I62+I34+I33+I31+I30+I27+I26+I18+I17+I16</f>
        <v>56122.700414555555</v>
      </c>
    </row>
    <row r="87" spans="1:9">
      <c r="A87" s="188" t="s">
        <v>62</v>
      </c>
      <c r="B87" s="189"/>
      <c r="C87" s="189"/>
      <c r="D87" s="189"/>
      <c r="E87" s="189"/>
      <c r="F87" s="189"/>
      <c r="G87" s="189"/>
      <c r="H87" s="189"/>
      <c r="I87" s="190"/>
    </row>
    <row r="88" spans="1:9" ht="38.25" customHeight="1">
      <c r="A88" s="29" t="s">
        <v>216</v>
      </c>
      <c r="B88" s="57" t="s">
        <v>103</v>
      </c>
      <c r="C88" s="58" t="s">
        <v>95</v>
      </c>
      <c r="D88" s="52"/>
      <c r="E88" s="13"/>
      <c r="F88" s="13">
        <v>128</v>
      </c>
      <c r="G88" s="13">
        <v>55.55</v>
      </c>
      <c r="H88" s="89">
        <f t="shared" ref="H88" si="11">G88*F88/1000</f>
        <v>7.1103999999999994</v>
      </c>
      <c r="I88" s="13">
        <f>G88*64</f>
        <v>3555.2</v>
      </c>
    </row>
    <row r="89" spans="1:9" ht="33.75" customHeight="1">
      <c r="A89" s="29">
        <v>17</v>
      </c>
      <c r="B89" s="115" t="s">
        <v>188</v>
      </c>
      <c r="C89" s="116" t="s">
        <v>189</v>
      </c>
      <c r="D89" s="117"/>
      <c r="E89" s="36"/>
      <c r="F89" s="36">
        <v>4</v>
      </c>
      <c r="G89" s="166">
        <v>24829.08</v>
      </c>
      <c r="H89" s="114">
        <f>F89*G89/1000</f>
        <v>99.316320000000005</v>
      </c>
      <c r="I89" s="13">
        <f>G89*0.01</f>
        <v>248.29080000000002</v>
      </c>
    </row>
    <row r="90" spans="1:9" ht="33" customHeight="1">
      <c r="A90" s="29">
        <v>18</v>
      </c>
      <c r="B90" s="57" t="s">
        <v>93</v>
      </c>
      <c r="C90" s="58" t="s">
        <v>104</v>
      </c>
      <c r="D90" s="117"/>
      <c r="E90" s="36"/>
      <c r="F90" s="36"/>
      <c r="G90" s="36">
        <v>613.44000000000005</v>
      </c>
      <c r="H90" s="114"/>
      <c r="I90" s="13">
        <f>G90*3</f>
        <v>1840.3200000000002</v>
      </c>
    </row>
    <row r="91" spans="1:9" ht="32.25" customHeight="1">
      <c r="A91" s="29">
        <v>19</v>
      </c>
      <c r="B91" s="57" t="s">
        <v>207</v>
      </c>
      <c r="C91" s="58" t="s">
        <v>136</v>
      </c>
      <c r="D91" s="117"/>
      <c r="E91" s="36"/>
      <c r="F91" s="36"/>
      <c r="G91" s="36">
        <v>1187</v>
      </c>
      <c r="H91" s="114"/>
      <c r="I91" s="13">
        <f>G91*2</f>
        <v>2374</v>
      </c>
    </row>
    <row r="92" spans="1:9" ht="15.75" customHeight="1">
      <c r="A92" s="29">
        <v>20</v>
      </c>
      <c r="B92" s="57" t="s">
        <v>208</v>
      </c>
      <c r="C92" s="58" t="s">
        <v>95</v>
      </c>
      <c r="D92" s="117"/>
      <c r="E92" s="36"/>
      <c r="F92" s="36"/>
      <c r="G92" s="36">
        <v>214.83</v>
      </c>
      <c r="H92" s="114"/>
      <c r="I92" s="13">
        <f>G92*1</f>
        <v>214.83</v>
      </c>
    </row>
    <row r="93" spans="1:9" ht="15.75" customHeight="1">
      <c r="A93" s="29">
        <v>21</v>
      </c>
      <c r="B93" s="57" t="s">
        <v>209</v>
      </c>
      <c r="C93" s="58" t="s">
        <v>95</v>
      </c>
      <c r="D93" s="117"/>
      <c r="E93" s="36"/>
      <c r="F93" s="36"/>
      <c r="G93" s="36">
        <v>89.92</v>
      </c>
      <c r="H93" s="114"/>
      <c r="I93" s="13">
        <f>G93*1</f>
        <v>89.92</v>
      </c>
    </row>
    <row r="94" spans="1:9" ht="17.25" customHeight="1">
      <c r="A94" s="29">
        <v>22</v>
      </c>
      <c r="B94" s="57" t="s">
        <v>210</v>
      </c>
      <c r="C94" s="58" t="s">
        <v>95</v>
      </c>
      <c r="D94" s="117"/>
      <c r="E94" s="36"/>
      <c r="F94" s="36"/>
      <c r="G94" s="36">
        <v>95.25</v>
      </c>
      <c r="H94" s="114"/>
      <c r="I94" s="13">
        <f>G94*2</f>
        <v>190.5</v>
      </c>
    </row>
    <row r="95" spans="1:9" ht="15.75" customHeight="1">
      <c r="A95" s="29">
        <v>23</v>
      </c>
      <c r="B95" s="57" t="s">
        <v>211</v>
      </c>
      <c r="C95" s="58" t="s">
        <v>95</v>
      </c>
      <c r="D95" s="117"/>
      <c r="E95" s="36"/>
      <c r="F95" s="36"/>
      <c r="G95" s="36">
        <v>4.46</v>
      </c>
      <c r="H95" s="114"/>
      <c r="I95" s="13">
        <f>G95*2</f>
        <v>8.92</v>
      </c>
    </row>
    <row r="96" spans="1:9" ht="15.75" customHeight="1">
      <c r="A96" s="29">
        <v>24</v>
      </c>
      <c r="B96" s="57" t="s">
        <v>212</v>
      </c>
      <c r="C96" s="58" t="s">
        <v>95</v>
      </c>
      <c r="D96" s="117"/>
      <c r="E96" s="36"/>
      <c r="F96" s="36"/>
      <c r="G96" s="36">
        <v>6.84</v>
      </c>
      <c r="H96" s="114"/>
      <c r="I96" s="13">
        <f>G96*1</f>
        <v>6.84</v>
      </c>
    </row>
    <row r="97" spans="1:9" ht="15.75" customHeight="1">
      <c r="A97" s="29">
        <v>25</v>
      </c>
      <c r="B97" s="57" t="s">
        <v>213</v>
      </c>
      <c r="C97" s="58" t="s">
        <v>95</v>
      </c>
      <c r="D97" s="117"/>
      <c r="E97" s="36"/>
      <c r="F97" s="36"/>
      <c r="G97" s="36">
        <v>5.42</v>
      </c>
      <c r="H97" s="114"/>
      <c r="I97" s="13">
        <f>G97*4</f>
        <v>21.68</v>
      </c>
    </row>
    <row r="98" spans="1:9" ht="32.25" customHeight="1">
      <c r="A98" s="29">
        <v>26</v>
      </c>
      <c r="B98" s="115" t="s">
        <v>214</v>
      </c>
      <c r="C98" s="116" t="s">
        <v>104</v>
      </c>
      <c r="D98" s="117"/>
      <c r="E98" s="36"/>
      <c r="F98" s="36"/>
      <c r="G98" s="36">
        <v>326.04000000000002</v>
      </c>
      <c r="H98" s="114"/>
      <c r="I98" s="13">
        <f>G98*1</f>
        <v>326.04000000000002</v>
      </c>
    </row>
    <row r="99" spans="1:9" ht="16.5" customHeight="1">
      <c r="A99" s="29"/>
      <c r="B99" s="50" t="s">
        <v>53</v>
      </c>
      <c r="C99" s="46"/>
      <c r="D99" s="54"/>
      <c r="E99" s="46">
        <v>1</v>
      </c>
      <c r="F99" s="46"/>
      <c r="G99" s="46"/>
      <c r="H99" s="46"/>
      <c r="I99" s="32">
        <f>I98+I97+I96+I95+I94+I93+I92+I91+I90+I89</f>
        <v>5321.3407999999999</v>
      </c>
    </row>
    <row r="100" spans="1:9">
      <c r="A100" s="29"/>
      <c r="B100" s="52" t="s">
        <v>83</v>
      </c>
      <c r="C100" s="15"/>
      <c r="D100" s="15"/>
      <c r="E100" s="47"/>
      <c r="F100" s="47"/>
      <c r="G100" s="48"/>
      <c r="H100" s="48"/>
      <c r="I100" s="17">
        <v>0</v>
      </c>
    </row>
    <row r="101" spans="1:9">
      <c r="A101" s="55"/>
      <c r="B101" s="51" t="s">
        <v>151</v>
      </c>
      <c r="C101" s="35"/>
      <c r="D101" s="35"/>
      <c r="E101" s="35"/>
      <c r="F101" s="35"/>
      <c r="G101" s="35"/>
      <c r="H101" s="35"/>
      <c r="I101" s="49">
        <f>I86+I99</f>
        <v>61444.041214555553</v>
      </c>
    </row>
    <row r="102" spans="1:9">
      <c r="A102" s="199" t="s">
        <v>217</v>
      </c>
      <c r="B102" s="200"/>
      <c r="C102" s="200"/>
      <c r="D102" s="200"/>
      <c r="E102" s="200"/>
      <c r="F102" s="200"/>
      <c r="G102" s="200"/>
      <c r="H102" s="200"/>
      <c r="I102" s="200"/>
    </row>
    <row r="103" spans="1:9" ht="15.75">
      <c r="A103" s="191" t="s">
        <v>218</v>
      </c>
      <c r="B103" s="191"/>
      <c r="C103" s="191"/>
      <c r="D103" s="191"/>
      <c r="E103" s="191"/>
      <c r="F103" s="191"/>
      <c r="G103" s="191"/>
      <c r="H103" s="191"/>
      <c r="I103" s="191"/>
    </row>
    <row r="104" spans="1:9" ht="15.75">
      <c r="A104" s="62"/>
      <c r="B104" s="192" t="s">
        <v>215</v>
      </c>
      <c r="C104" s="192"/>
      <c r="D104" s="192"/>
      <c r="E104" s="192"/>
      <c r="F104" s="192"/>
      <c r="G104" s="192"/>
      <c r="H104" s="70"/>
      <c r="I104" s="3"/>
    </row>
    <row r="105" spans="1:9">
      <c r="A105" s="169"/>
      <c r="B105" s="193" t="s">
        <v>6</v>
      </c>
      <c r="C105" s="193"/>
      <c r="D105" s="193"/>
      <c r="E105" s="193"/>
      <c r="F105" s="193"/>
      <c r="G105" s="193"/>
      <c r="H105" s="24"/>
      <c r="I105" s="5"/>
    </row>
    <row r="106" spans="1:9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ht="15.75">
      <c r="A107" s="194" t="s">
        <v>7</v>
      </c>
      <c r="B107" s="194"/>
      <c r="C107" s="194"/>
      <c r="D107" s="194"/>
      <c r="E107" s="194"/>
      <c r="F107" s="194"/>
      <c r="G107" s="194"/>
      <c r="H107" s="194"/>
      <c r="I107" s="194"/>
    </row>
    <row r="108" spans="1:9" ht="15.75">
      <c r="A108" s="194" t="s">
        <v>8</v>
      </c>
      <c r="B108" s="194"/>
      <c r="C108" s="194"/>
      <c r="D108" s="194"/>
      <c r="E108" s="194"/>
      <c r="F108" s="194"/>
      <c r="G108" s="194"/>
      <c r="H108" s="194"/>
      <c r="I108" s="194"/>
    </row>
    <row r="109" spans="1:9" ht="15.75">
      <c r="A109" s="195" t="s">
        <v>63</v>
      </c>
      <c r="B109" s="195"/>
      <c r="C109" s="195"/>
      <c r="D109" s="195"/>
      <c r="E109" s="195"/>
      <c r="F109" s="195"/>
      <c r="G109" s="195"/>
      <c r="H109" s="195"/>
      <c r="I109" s="195"/>
    </row>
    <row r="110" spans="1:9" ht="15.75">
      <c r="A110" s="11"/>
    </row>
    <row r="111" spans="1:9" ht="15.75">
      <c r="A111" s="196" t="s">
        <v>9</v>
      </c>
      <c r="B111" s="196"/>
      <c r="C111" s="196"/>
      <c r="D111" s="196"/>
      <c r="E111" s="196"/>
      <c r="F111" s="196"/>
      <c r="G111" s="196"/>
      <c r="H111" s="196"/>
      <c r="I111" s="196"/>
    </row>
    <row r="112" spans="1:9" ht="15.75">
      <c r="A112" s="4"/>
    </row>
    <row r="113" spans="1:9" ht="15.75">
      <c r="B113" s="171" t="s">
        <v>10</v>
      </c>
      <c r="C113" s="197" t="s">
        <v>94</v>
      </c>
      <c r="D113" s="197"/>
      <c r="E113" s="197"/>
      <c r="F113" s="68"/>
      <c r="I113" s="172"/>
    </row>
    <row r="114" spans="1:9">
      <c r="A114" s="169"/>
      <c r="C114" s="193" t="s">
        <v>11</v>
      </c>
      <c r="D114" s="193"/>
      <c r="E114" s="193"/>
      <c r="F114" s="24"/>
      <c r="I114" s="170" t="s">
        <v>12</v>
      </c>
    </row>
    <row r="115" spans="1:9" ht="15.75">
      <c r="A115" s="25"/>
      <c r="C115" s="12"/>
      <c r="D115" s="12"/>
      <c r="G115" s="12"/>
      <c r="H115" s="12"/>
    </row>
    <row r="116" spans="1:9" ht="15.75">
      <c r="B116" s="171" t="s">
        <v>13</v>
      </c>
      <c r="C116" s="198"/>
      <c r="D116" s="198"/>
      <c r="E116" s="198"/>
      <c r="F116" s="69"/>
      <c r="I116" s="172"/>
    </row>
    <row r="117" spans="1:9">
      <c r="A117" s="169"/>
      <c r="C117" s="187" t="s">
        <v>11</v>
      </c>
      <c r="D117" s="187"/>
      <c r="E117" s="187"/>
      <c r="F117" s="169"/>
      <c r="I117" s="170" t="s">
        <v>12</v>
      </c>
    </row>
    <row r="118" spans="1:9" ht="15.75">
      <c r="A118" s="4" t="s">
        <v>14</v>
      </c>
    </row>
    <row r="119" spans="1:9">
      <c r="A119" s="201" t="s">
        <v>15</v>
      </c>
      <c r="B119" s="201"/>
      <c r="C119" s="201"/>
      <c r="D119" s="201"/>
      <c r="E119" s="201"/>
      <c r="F119" s="201"/>
      <c r="G119" s="201"/>
      <c r="H119" s="201"/>
      <c r="I119" s="201"/>
    </row>
    <row r="120" spans="1:9" ht="15.75">
      <c r="A120" s="202" t="s">
        <v>16</v>
      </c>
      <c r="B120" s="202"/>
      <c r="C120" s="202"/>
      <c r="D120" s="202"/>
      <c r="E120" s="202"/>
      <c r="F120" s="202"/>
      <c r="G120" s="202"/>
      <c r="H120" s="202"/>
      <c r="I120" s="202"/>
    </row>
    <row r="121" spans="1:9" ht="15.75">
      <c r="A121" s="202" t="s">
        <v>17</v>
      </c>
      <c r="B121" s="202"/>
      <c r="C121" s="202"/>
      <c r="D121" s="202"/>
      <c r="E121" s="202"/>
      <c r="F121" s="202"/>
      <c r="G121" s="202"/>
      <c r="H121" s="202"/>
      <c r="I121" s="202"/>
    </row>
    <row r="122" spans="1:9" ht="15.75">
      <c r="A122" s="202" t="s">
        <v>21</v>
      </c>
      <c r="B122" s="202"/>
      <c r="C122" s="202"/>
      <c r="D122" s="202"/>
      <c r="E122" s="202"/>
      <c r="F122" s="202"/>
      <c r="G122" s="202"/>
      <c r="H122" s="202"/>
      <c r="I122" s="202"/>
    </row>
    <row r="123" spans="1:9" ht="15.75">
      <c r="A123" s="202" t="s">
        <v>20</v>
      </c>
      <c r="B123" s="202"/>
      <c r="C123" s="202"/>
      <c r="D123" s="202"/>
      <c r="E123" s="202"/>
      <c r="F123" s="202"/>
      <c r="G123" s="202"/>
      <c r="H123" s="202"/>
      <c r="I123" s="202"/>
    </row>
  </sheetData>
  <mergeCells count="29">
    <mergeCell ref="A87:I87"/>
    <mergeCell ref="A3:I3"/>
    <mergeCell ref="A4:I4"/>
    <mergeCell ref="A5:I5"/>
    <mergeCell ref="A8:I8"/>
    <mergeCell ref="A10:I10"/>
    <mergeCell ref="A14:I14"/>
    <mergeCell ref="A15:I15"/>
    <mergeCell ref="A28:I28"/>
    <mergeCell ref="A45:I45"/>
    <mergeCell ref="A56:I56"/>
    <mergeCell ref="A83:I83"/>
    <mergeCell ref="C117:E117"/>
    <mergeCell ref="A102:I102"/>
    <mergeCell ref="A103:I103"/>
    <mergeCell ref="B104:G104"/>
    <mergeCell ref="B105:G105"/>
    <mergeCell ref="A107:I107"/>
    <mergeCell ref="A108:I108"/>
    <mergeCell ref="A109:I109"/>
    <mergeCell ref="A111:I111"/>
    <mergeCell ref="C113:E113"/>
    <mergeCell ref="C114:E114"/>
    <mergeCell ref="C116:E116"/>
    <mergeCell ref="A119:I119"/>
    <mergeCell ref="A120:I120"/>
    <mergeCell ref="A121:I121"/>
    <mergeCell ref="A122:I122"/>
    <mergeCell ref="A123:I123"/>
  </mergeCells>
  <pageMargins left="0.7" right="0.7" top="0.75" bottom="0.75" header="0.3" footer="0.3"/>
  <pageSetup paperSize="9" scale="66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V122"/>
  <sheetViews>
    <sheetView workbookViewId="0">
      <selection activeCell="L97" sqref="L9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9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219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82" t="s">
        <v>145</v>
      </c>
      <c r="B3" s="182"/>
      <c r="C3" s="182"/>
      <c r="D3" s="182"/>
      <c r="E3" s="182"/>
      <c r="F3" s="182"/>
      <c r="G3" s="182"/>
      <c r="H3" s="182"/>
      <c r="I3" s="182"/>
      <c r="J3" s="3"/>
      <c r="K3" s="3"/>
      <c r="L3" s="3"/>
    </row>
    <row r="4" spans="1:13" ht="31.5" customHeight="1">
      <c r="A4" s="183" t="s">
        <v>124</v>
      </c>
      <c r="B4" s="183"/>
      <c r="C4" s="183"/>
      <c r="D4" s="183"/>
      <c r="E4" s="183"/>
      <c r="F4" s="183"/>
      <c r="G4" s="183"/>
      <c r="H4" s="183"/>
      <c r="I4" s="183"/>
    </row>
    <row r="5" spans="1:13" ht="15.75" customHeight="1">
      <c r="A5" s="182" t="s">
        <v>220</v>
      </c>
      <c r="B5" s="184"/>
      <c r="C5" s="184"/>
      <c r="D5" s="184"/>
      <c r="E5" s="184"/>
      <c r="F5" s="184"/>
      <c r="G5" s="184"/>
      <c r="H5" s="184"/>
      <c r="I5" s="184"/>
      <c r="J5" s="2"/>
      <c r="K5" s="2"/>
      <c r="L5" s="2"/>
      <c r="M5" s="2"/>
    </row>
    <row r="6" spans="1:13" ht="15.75" customHeight="1">
      <c r="A6" s="2"/>
      <c r="B6" s="65"/>
      <c r="C6" s="65"/>
      <c r="D6" s="65"/>
      <c r="E6" s="65"/>
      <c r="F6" s="65"/>
      <c r="G6" s="65"/>
      <c r="H6" s="65"/>
      <c r="I6" s="30">
        <v>43312</v>
      </c>
      <c r="J6" s="2"/>
      <c r="K6" s="2"/>
      <c r="L6" s="2"/>
      <c r="M6" s="2"/>
    </row>
    <row r="7" spans="1:13" ht="15.75" customHeight="1">
      <c r="B7" s="61"/>
      <c r="C7" s="61"/>
      <c r="D7" s="6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85" t="s">
        <v>221</v>
      </c>
      <c r="B8" s="185"/>
      <c r="C8" s="185"/>
      <c r="D8" s="185"/>
      <c r="E8" s="185"/>
      <c r="F8" s="185"/>
      <c r="G8" s="185"/>
      <c r="H8" s="185"/>
      <c r="I8" s="18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86" t="s">
        <v>173</v>
      </c>
      <c r="B10" s="186"/>
      <c r="C10" s="186"/>
      <c r="D10" s="186"/>
      <c r="E10" s="186"/>
      <c r="F10" s="186"/>
      <c r="G10" s="186"/>
      <c r="H10" s="186"/>
      <c r="I10" s="18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7" t="s">
        <v>61</v>
      </c>
      <c r="B14" s="177"/>
      <c r="C14" s="177"/>
      <c r="D14" s="177"/>
      <c r="E14" s="177"/>
      <c r="F14" s="177"/>
      <c r="G14" s="177"/>
      <c r="H14" s="177"/>
      <c r="I14" s="177"/>
      <c r="J14" s="8"/>
      <c r="K14" s="8"/>
      <c r="L14" s="8"/>
      <c r="M14" s="8"/>
    </row>
    <row r="15" spans="1:13" ht="15.75" customHeight="1">
      <c r="A15" s="178" t="s">
        <v>4</v>
      </c>
      <c r="B15" s="178"/>
      <c r="C15" s="178"/>
      <c r="D15" s="178"/>
      <c r="E15" s="178"/>
      <c r="F15" s="178"/>
      <c r="G15" s="178"/>
      <c r="H15" s="178"/>
      <c r="I15" s="178"/>
      <c r="J15" s="8"/>
      <c r="K15" s="8"/>
      <c r="L15" s="8"/>
      <c r="M15" s="8"/>
    </row>
    <row r="16" spans="1:13" ht="15.75" customHeight="1">
      <c r="A16" s="29">
        <v>1</v>
      </c>
      <c r="B16" s="71" t="s">
        <v>90</v>
      </c>
      <c r="C16" s="72" t="s">
        <v>99</v>
      </c>
      <c r="D16" s="71" t="s">
        <v>125</v>
      </c>
      <c r="E16" s="73">
        <v>92.5</v>
      </c>
      <c r="F16" s="74">
        <f>SUM(E16*156/100)</f>
        <v>144.30000000000001</v>
      </c>
      <c r="G16" s="74">
        <v>230</v>
      </c>
      <c r="H16" s="78">
        <f t="shared" ref="H16:H25" si="0">SUM(F16*G16/1000)</f>
        <v>33.189</v>
      </c>
      <c r="I16" s="13">
        <f>F16/12*G16</f>
        <v>2765.75</v>
      </c>
      <c r="J16" s="8"/>
      <c r="K16" s="8"/>
      <c r="L16" s="8"/>
      <c r="M16" s="8"/>
    </row>
    <row r="17" spans="1:13" ht="15.75" customHeight="1">
      <c r="A17" s="29">
        <v>2</v>
      </c>
      <c r="B17" s="71" t="s">
        <v>91</v>
      </c>
      <c r="C17" s="72" t="s">
        <v>99</v>
      </c>
      <c r="D17" s="71" t="s">
        <v>126</v>
      </c>
      <c r="E17" s="73">
        <v>288.8</v>
      </c>
      <c r="F17" s="74">
        <f>SUM(E17*104/100)</f>
        <v>300.35200000000003</v>
      </c>
      <c r="G17" s="74">
        <v>230</v>
      </c>
      <c r="H17" s="78">
        <f t="shared" si="0"/>
        <v>69.080960000000005</v>
      </c>
      <c r="I17" s="13">
        <f>F17/12*G17</f>
        <v>5756.7466666666678</v>
      </c>
      <c r="J17" s="22"/>
      <c r="K17" s="8"/>
      <c r="L17" s="8"/>
      <c r="M17" s="8"/>
    </row>
    <row r="18" spans="1:13" ht="15.75" customHeight="1">
      <c r="A18" s="29">
        <v>3</v>
      </c>
      <c r="B18" s="71" t="s">
        <v>92</v>
      </c>
      <c r="C18" s="72" t="s">
        <v>99</v>
      </c>
      <c r="D18" s="71" t="s">
        <v>149</v>
      </c>
      <c r="E18" s="73">
        <f>SUM(E16+E17)</f>
        <v>381.3</v>
      </c>
      <c r="F18" s="74">
        <f>SUM(E18*12/100)</f>
        <v>45.756</v>
      </c>
      <c r="G18" s="74">
        <v>661.67</v>
      </c>
      <c r="H18" s="78">
        <f t="shared" si="0"/>
        <v>30.275372519999998</v>
      </c>
      <c r="I18" s="13">
        <f>F18/12*G18</f>
        <v>2522.9477099999999</v>
      </c>
      <c r="J18" s="22"/>
      <c r="K18" s="8"/>
      <c r="L18" s="8"/>
      <c r="M18" s="8"/>
    </row>
    <row r="19" spans="1:13" ht="15.75" hidden="1" customHeight="1">
      <c r="A19" s="29">
        <v>4</v>
      </c>
      <c r="B19" s="71" t="s">
        <v>107</v>
      </c>
      <c r="C19" s="72" t="s">
        <v>108</v>
      </c>
      <c r="D19" s="71" t="s">
        <v>109</v>
      </c>
      <c r="E19" s="73">
        <v>19.2</v>
      </c>
      <c r="F19" s="74">
        <f>SUM(E19/10)</f>
        <v>1.92</v>
      </c>
      <c r="G19" s="74">
        <v>223.17</v>
      </c>
      <c r="H19" s="78">
        <f t="shared" si="0"/>
        <v>0.42848639999999993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4</v>
      </c>
      <c r="B20" s="71" t="s">
        <v>98</v>
      </c>
      <c r="C20" s="72" t="s">
        <v>99</v>
      </c>
      <c r="D20" s="71" t="s">
        <v>153</v>
      </c>
      <c r="E20" s="73">
        <v>27.3</v>
      </c>
      <c r="F20" s="74">
        <f>SUM(E20*2/100)</f>
        <v>0.54600000000000004</v>
      </c>
      <c r="G20" s="74">
        <v>285.76</v>
      </c>
      <c r="H20" s="78">
        <f t="shared" si="0"/>
        <v>0.15602495999999999</v>
      </c>
      <c r="I20" s="13">
        <f>F20/2*G20</f>
        <v>78.012479999999996</v>
      </c>
      <c r="J20" s="22"/>
      <c r="K20" s="8"/>
      <c r="L20" s="8"/>
      <c r="M20" s="8"/>
    </row>
    <row r="21" spans="1:13" ht="15.75" hidden="1" customHeight="1">
      <c r="A21" s="29">
        <v>5</v>
      </c>
      <c r="B21" s="71" t="s">
        <v>105</v>
      </c>
      <c r="C21" s="72" t="s">
        <v>99</v>
      </c>
      <c r="D21" s="71" t="s">
        <v>153</v>
      </c>
      <c r="E21" s="73">
        <v>9.08</v>
      </c>
      <c r="F21" s="74">
        <f>SUM(E21*2/100)</f>
        <v>0.18160000000000001</v>
      </c>
      <c r="G21" s="74">
        <v>283.44</v>
      </c>
      <c r="H21" s="78">
        <f>SUM(F21*G21/1000)</f>
        <v>5.1472704000000001E-2</v>
      </c>
      <c r="I21" s="13">
        <f>F21/2*G21</f>
        <v>25.736352</v>
      </c>
      <c r="J21" s="22"/>
      <c r="K21" s="8"/>
      <c r="L21" s="8"/>
      <c r="M21" s="8"/>
    </row>
    <row r="22" spans="1:13" ht="15.75" hidden="1" customHeight="1">
      <c r="A22" s="29">
        <v>7</v>
      </c>
      <c r="B22" s="71" t="s">
        <v>100</v>
      </c>
      <c r="C22" s="72" t="s">
        <v>54</v>
      </c>
      <c r="D22" s="71" t="s">
        <v>109</v>
      </c>
      <c r="E22" s="76">
        <v>30</v>
      </c>
      <c r="F22" s="74">
        <f>SUM(E22/100)</f>
        <v>0.3</v>
      </c>
      <c r="G22" s="74">
        <v>58.08</v>
      </c>
      <c r="H22" s="78">
        <f t="shared" si="0"/>
        <v>1.7423999999999999E-2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6</v>
      </c>
      <c r="B23" s="71" t="s">
        <v>101</v>
      </c>
      <c r="C23" s="72" t="s">
        <v>54</v>
      </c>
      <c r="D23" s="71" t="s">
        <v>109</v>
      </c>
      <c r="E23" s="73">
        <v>20</v>
      </c>
      <c r="F23" s="74">
        <f>SUM(E23/100)</f>
        <v>0.2</v>
      </c>
      <c r="G23" s="74">
        <v>511.12</v>
      </c>
      <c r="H23" s="78">
        <f t="shared" si="0"/>
        <v>0.10222400000000001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71" t="s">
        <v>102</v>
      </c>
      <c r="C24" s="72" t="s">
        <v>54</v>
      </c>
      <c r="D24" s="71" t="s">
        <v>109</v>
      </c>
      <c r="E24" s="73">
        <v>8.5</v>
      </c>
      <c r="F24" s="74">
        <f>SUM(E24/100)</f>
        <v>8.5000000000000006E-2</v>
      </c>
      <c r="G24" s="74">
        <v>683.05</v>
      </c>
      <c r="H24" s="78">
        <f t="shared" si="0"/>
        <v>5.805925E-2</v>
      </c>
      <c r="I24" s="13">
        <v>0</v>
      </c>
      <c r="J24" s="22"/>
      <c r="K24" s="8"/>
      <c r="L24" s="8"/>
      <c r="M24" s="8"/>
    </row>
    <row r="25" spans="1:13" ht="15.75" hidden="1" customHeight="1">
      <c r="A25" s="94">
        <v>7</v>
      </c>
      <c r="B25" s="83" t="s">
        <v>106</v>
      </c>
      <c r="C25" s="84" t="s">
        <v>54</v>
      </c>
      <c r="D25" s="83" t="s">
        <v>55</v>
      </c>
      <c r="E25" s="81">
        <v>20</v>
      </c>
      <c r="F25" s="85">
        <f>SUM(E25/100)</f>
        <v>0.2</v>
      </c>
      <c r="G25" s="85">
        <v>283.44</v>
      </c>
      <c r="H25" s="82">
        <f t="shared" si="0"/>
        <v>5.6688000000000002E-2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4</v>
      </c>
      <c r="B26" s="34" t="s">
        <v>66</v>
      </c>
      <c r="C26" s="44" t="s">
        <v>33</v>
      </c>
      <c r="D26" s="34" t="s">
        <v>154</v>
      </c>
      <c r="E26" s="118">
        <v>0.05</v>
      </c>
      <c r="F26" s="33">
        <f>SUM(E26*182)</f>
        <v>9.1</v>
      </c>
      <c r="G26" s="33">
        <v>264.85000000000002</v>
      </c>
      <c r="H26" s="119">
        <f t="shared" ref="H26:H27" si="1">SUM(F26*G26/1000)</f>
        <v>2.4101350000000004</v>
      </c>
      <c r="I26" s="13">
        <f>F26/12*G26</f>
        <v>200.84458333333333</v>
      </c>
      <c r="J26" s="23"/>
    </row>
    <row r="27" spans="1:13" ht="15.75" customHeight="1">
      <c r="A27" s="29">
        <v>5</v>
      </c>
      <c r="B27" s="120" t="s">
        <v>23</v>
      </c>
      <c r="C27" s="44" t="s">
        <v>24</v>
      </c>
      <c r="D27" s="120" t="s">
        <v>132</v>
      </c>
      <c r="E27" s="121">
        <v>3053.4</v>
      </c>
      <c r="F27" s="33">
        <f>SUM(E27*12)</f>
        <v>36640.800000000003</v>
      </c>
      <c r="G27" s="33">
        <v>4.09</v>
      </c>
      <c r="H27" s="119">
        <f t="shared" si="1"/>
        <v>149.860872</v>
      </c>
      <c r="I27" s="13">
        <f>F27/12*G27</f>
        <v>12488.405999999999</v>
      </c>
      <c r="J27" s="23"/>
    </row>
    <row r="28" spans="1:13" ht="15.75" customHeight="1">
      <c r="A28" s="178" t="s">
        <v>150</v>
      </c>
      <c r="B28" s="178"/>
      <c r="C28" s="178"/>
      <c r="D28" s="178"/>
      <c r="E28" s="178"/>
      <c r="F28" s="178"/>
      <c r="G28" s="178"/>
      <c r="H28" s="178"/>
      <c r="I28" s="178"/>
      <c r="J28" s="22"/>
      <c r="K28" s="8"/>
      <c r="L28" s="8"/>
      <c r="M28" s="8"/>
    </row>
    <row r="29" spans="1:13" ht="15.75" customHeight="1">
      <c r="A29" s="96"/>
      <c r="B29" s="104" t="s">
        <v>28</v>
      </c>
      <c r="C29" s="98"/>
      <c r="D29" s="97"/>
      <c r="E29" s="99"/>
      <c r="F29" s="100"/>
      <c r="G29" s="100"/>
      <c r="H29" s="105"/>
      <c r="I29" s="106"/>
      <c r="J29" s="22"/>
      <c r="K29" s="8"/>
      <c r="L29" s="8"/>
      <c r="M29" s="8"/>
    </row>
    <row r="30" spans="1:13" ht="15.75" customHeight="1">
      <c r="A30" s="29">
        <v>6</v>
      </c>
      <c r="B30" s="71" t="s">
        <v>110</v>
      </c>
      <c r="C30" s="72" t="s">
        <v>111</v>
      </c>
      <c r="D30" s="71" t="s">
        <v>127</v>
      </c>
      <c r="E30" s="74">
        <v>317.7</v>
      </c>
      <c r="F30" s="74">
        <f>SUM(E30*52/1000)</f>
        <v>16.520399999999999</v>
      </c>
      <c r="G30" s="74">
        <v>204.44</v>
      </c>
      <c r="H30" s="78">
        <f t="shared" ref="H30:H36" si="2">SUM(F30*G30/1000)</f>
        <v>3.3774305759999996</v>
      </c>
      <c r="I30" s="13">
        <f t="shared" ref="I30:I34" si="3">F30/6*G30</f>
        <v>562.90509599999996</v>
      </c>
      <c r="J30" s="22"/>
      <c r="K30" s="8"/>
      <c r="L30" s="8"/>
      <c r="M30" s="8"/>
    </row>
    <row r="31" spans="1:13" ht="31.5" customHeight="1">
      <c r="A31" s="29">
        <v>7</v>
      </c>
      <c r="B31" s="71" t="s">
        <v>137</v>
      </c>
      <c r="C31" s="72" t="s">
        <v>111</v>
      </c>
      <c r="D31" s="71" t="s">
        <v>128</v>
      </c>
      <c r="E31" s="74">
        <v>146.1</v>
      </c>
      <c r="F31" s="74">
        <f>SUM(E31*78/1000)</f>
        <v>11.395799999999999</v>
      </c>
      <c r="G31" s="74">
        <v>339.21</v>
      </c>
      <c r="H31" s="78">
        <f t="shared" si="2"/>
        <v>3.8655693179999995</v>
      </c>
      <c r="I31" s="13">
        <f t="shared" si="3"/>
        <v>644.26155299999994</v>
      </c>
      <c r="J31" s="22"/>
      <c r="K31" s="8"/>
      <c r="L31" s="8"/>
      <c r="M31" s="8"/>
    </row>
    <row r="32" spans="1:13" ht="15.75" hidden="1" customHeight="1">
      <c r="A32" s="29">
        <v>11</v>
      </c>
      <c r="B32" s="71" t="s">
        <v>27</v>
      </c>
      <c r="C32" s="72" t="s">
        <v>111</v>
      </c>
      <c r="D32" s="71" t="s">
        <v>55</v>
      </c>
      <c r="E32" s="74">
        <f>E30</f>
        <v>317.7</v>
      </c>
      <c r="F32" s="74">
        <f>SUM(E32/1000)</f>
        <v>0.31769999999999998</v>
      </c>
      <c r="G32" s="74">
        <v>3961.23</v>
      </c>
      <c r="H32" s="78">
        <f t="shared" si="2"/>
        <v>1.2584827709999999</v>
      </c>
      <c r="I32" s="13">
        <f>F32*G32</f>
        <v>1258.482771</v>
      </c>
      <c r="J32" s="22"/>
      <c r="K32" s="8"/>
      <c r="L32" s="8"/>
      <c r="M32" s="8"/>
    </row>
    <row r="33" spans="1:14" ht="15.75" customHeight="1">
      <c r="A33" s="29">
        <v>8</v>
      </c>
      <c r="B33" s="71" t="s">
        <v>155</v>
      </c>
      <c r="C33" s="72" t="s">
        <v>41</v>
      </c>
      <c r="D33" s="71" t="s">
        <v>65</v>
      </c>
      <c r="E33" s="74">
        <v>5</v>
      </c>
      <c r="F33" s="74">
        <f>E33*155/100</f>
        <v>7.75</v>
      </c>
      <c r="G33" s="74">
        <v>1707.63</v>
      </c>
      <c r="H33" s="78">
        <f t="shared" si="2"/>
        <v>13.234132500000001</v>
      </c>
      <c r="I33" s="13">
        <f t="shared" si="3"/>
        <v>2205.6887500000003</v>
      </c>
      <c r="J33" s="22"/>
      <c r="K33" s="8"/>
      <c r="L33" s="8"/>
      <c r="M33" s="8"/>
    </row>
    <row r="34" spans="1:14" ht="15.75" customHeight="1">
      <c r="A34" s="29">
        <v>9</v>
      </c>
      <c r="B34" s="71" t="s">
        <v>112</v>
      </c>
      <c r="C34" s="72" t="s">
        <v>31</v>
      </c>
      <c r="D34" s="71" t="s">
        <v>65</v>
      </c>
      <c r="E34" s="80">
        <f>1/6</f>
        <v>0.16666666666666666</v>
      </c>
      <c r="F34" s="74">
        <f>155/6</f>
        <v>25.833333333333332</v>
      </c>
      <c r="G34" s="74">
        <v>74.349999999999994</v>
      </c>
      <c r="H34" s="78">
        <f t="shared" si="2"/>
        <v>1.920708333333333</v>
      </c>
      <c r="I34" s="13">
        <f t="shared" si="3"/>
        <v>320.11805555555554</v>
      </c>
      <c r="J34" s="22"/>
      <c r="K34" s="8"/>
      <c r="L34" s="8"/>
      <c r="M34" s="8"/>
    </row>
    <row r="35" spans="1:14" ht="15.75" hidden="1" customHeight="1">
      <c r="A35" s="29"/>
      <c r="B35" s="34" t="s">
        <v>67</v>
      </c>
      <c r="C35" s="44" t="s">
        <v>33</v>
      </c>
      <c r="D35" s="34" t="s">
        <v>69</v>
      </c>
      <c r="E35" s="121"/>
      <c r="F35" s="33">
        <v>2</v>
      </c>
      <c r="G35" s="33">
        <v>250.92</v>
      </c>
      <c r="H35" s="119">
        <f t="shared" si="2"/>
        <v>0.50183999999999995</v>
      </c>
      <c r="I35" s="13">
        <v>0</v>
      </c>
      <c r="J35" s="22"/>
      <c r="K35" s="8"/>
    </row>
    <row r="36" spans="1:14" ht="15.75" hidden="1" customHeight="1">
      <c r="A36" s="29"/>
      <c r="B36" s="34" t="s">
        <v>68</v>
      </c>
      <c r="C36" s="44" t="s">
        <v>32</v>
      </c>
      <c r="D36" s="34" t="s">
        <v>69</v>
      </c>
      <c r="E36" s="121"/>
      <c r="F36" s="33">
        <v>1</v>
      </c>
      <c r="G36" s="33">
        <v>1490.31</v>
      </c>
      <c r="H36" s="119">
        <f t="shared" si="2"/>
        <v>1.49031</v>
      </c>
      <c r="I36" s="13"/>
      <c r="J36" s="22"/>
      <c r="K36" s="8"/>
    </row>
    <row r="37" spans="1:14" ht="15.75" hidden="1" customHeight="1">
      <c r="A37" s="29"/>
      <c r="B37" s="93" t="s">
        <v>5</v>
      </c>
      <c r="C37" s="72"/>
      <c r="D37" s="71"/>
      <c r="E37" s="73"/>
      <c r="F37" s="74"/>
      <c r="G37" s="74"/>
      <c r="H37" s="78" t="s">
        <v>132</v>
      </c>
      <c r="I37" s="79"/>
      <c r="J37" s="23"/>
    </row>
    <row r="38" spans="1:14" ht="15.75" hidden="1" customHeight="1">
      <c r="A38" s="29">
        <v>9</v>
      </c>
      <c r="B38" s="71" t="s">
        <v>26</v>
      </c>
      <c r="C38" s="72" t="s">
        <v>32</v>
      </c>
      <c r="D38" s="71"/>
      <c r="E38" s="73"/>
      <c r="F38" s="74">
        <v>3</v>
      </c>
      <c r="G38" s="74">
        <v>2003</v>
      </c>
      <c r="H38" s="78">
        <f t="shared" ref="H38:H44" si="4">SUM(F38*G38/1000)</f>
        <v>6.0090000000000003</v>
      </c>
      <c r="I38" s="13">
        <f t="shared" ref="I38:I44" si="5">F38/6*G38</f>
        <v>1001.5</v>
      </c>
      <c r="J38" s="23"/>
    </row>
    <row r="39" spans="1:14" ht="15.75" hidden="1" customHeight="1">
      <c r="A39" s="29">
        <v>10</v>
      </c>
      <c r="B39" s="71" t="s">
        <v>70</v>
      </c>
      <c r="C39" s="72" t="s">
        <v>29</v>
      </c>
      <c r="D39" s="71" t="s">
        <v>156</v>
      </c>
      <c r="E39" s="74">
        <v>160.6</v>
      </c>
      <c r="F39" s="74">
        <f>SUM(E39*18/1000)</f>
        <v>2.8907999999999996</v>
      </c>
      <c r="G39" s="74">
        <v>2757.78</v>
      </c>
      <c r="H39" s="78">
        <f t="shared" si="4"/>
        <v>7.972190423999999</v>
      </c>
      <c r="I39" s="13">
        <f t="shared" si="5"/>
        <v>1328.698404</v>
      </c>
      <c r="J39" s="23"/>
    </row>
    <row r="40" spans="1:14" ht="15.75" hidden="1" customHeight="1">
      <c r="A40" s="29">
        <v>11</v>
      </c>
      <c r="B40" s="71" t="s">
        <v>71</v>
      </c>
      <c r="C40" s="72" t="s">
        <v>29</v>
      </c>
      <c r="D40" s="71" t="s">
        <v>129</v>
      </c>
      <c r="E40" s="73">
        <v>89.1</v>
      </c>
      <c r="F40" s="74">
        <f>SUM(E40*155/1000)</f>
        <v>13.810499999999999</v>
      </c>
      <c r="G40" s="74">
        <v>460.02</v>
      </c>
      <c r="H40" s="78">
        <f t="shared" si="4"/>
        <v>6.3531062099999991</v>
      </c>
      <c r="I40" s="13">
        <f t="shared" si="5"/>
        <v>1058.8510349999999</v>
      </c>
      <c r="J40" s="23"/>
    </row>
    <row r="41" spans="1:14" ht="15.75" hidden="1" customHeight="1">
      <c r="A41" s="29">
        <v>12</v>
      </c>
      <c r="B41" s="71" t="s">
        <v>157</v>
      </c>
      <c r="C41" s="72" t="s">
        <v>158</v>
      </c>
      <c r="D41" s="71" t="s">
        <v>69</v>
      </c>
      <c r="E41" s="73"/>
      <c r="F41" s="74">
        <v>39</v>
      </c>
      <c r="G41" s="74">
        <v>301.70999999999998</v>
      </c>
      <c r="H41" s="78">
        <f t="shared" si="4"/>
        <v>11.766689999999999</v>
      </c>
      <c r="I41" s="13">
        <v>0</v>
      </c>
      <c r="J41" s="23"/>
    </row>
    <row r="42" spans="1:14" ht="47.25" hidden="1" customHeight="1">
      <c r="A42" s="29">
        <v>13</v>
      </c>
      <c r="B42" s="71" t="s">
        <v>88</v>
      </c>
      <c r="C42" s="72" t="s">
        <v>111</v>
      </c>
      <c r="D42" s="71" t="s">
        <v>159</v>
      </c>
      <c r="E42" s="74">
        <v>46.5</v>
      </c>
      <c r="F42" s="74">
        <f>SUM(E42*35/1000)</f>
        <v>1.6274999999999999</v>
      </c>
      <c r="G42" s="74">
        <v>7611.16</v>
      </c>
      <c r="H42" s="78">
        <f t="shared" si="4"/>
        <v>12.3871629</v>
      </c>
      <c r="I42" s="13">
        <f t="shared" si="5"/>
        <v>2064.5271499999999</v>
      </c>
      <c r="J42" s="23"/>
      <c r="L42" s="19"/>
      <c r="M42" s="20"/>
      <c r="N42" s="21"/>
    </row>
    <row r="43" spans="1:14" ht="15.75" hidden="1" customHeight="1">
      <c r="A43" s="94">
        <v>14</v>
      </c>
      <c r="B43" s="71" t="s">
        <v>113</v>
      </c>
      <c r="C43" s="72" t="s">
        <v>111</v>
      </c>
      <c r="D43" s="71" t="s">
        <v>72</v>
      </c>
      <c r="E43" s="74">
        <v>89.1</v>
      </c>
      <c r="F43" s="74">
        <f>SUM(E43*45/1000)</f>
        <v>4.0094999999999992</v>
      </c>
      <c r="G43" s="74">
        <v>562.25</v>
      </c>
      <c r="H43" s="78">
        <f t="shared" si="4"/>
        <v>2.2543413749999996</v>
      </c>
      <c r="I43" s="13">
        <f t="shared" si="5"/>
        <v>375.72356249999996</v>
      </c>
      <c r="J43" s="23"/>
      <c r="L43" s="19"/>
      <c r="M43" s="20"/>
      <c r="N43" s="21"/>
    </row>
    <row r="44" spans="1:14" ht="15.75" hidden="1" customHeight="1">
      <c r="A44" s="122"/>
      <c r="B44" s="71" t="s">
        <v>73</v>
      </c>
      <c r="C44" s="72" t="s">
        <v>33</v>
      </c>
      <c r="D44" s="71"/>
      <c r="E44" s="73"/>
      <c r="F44" s="74">
        <v>0.9</v>
      </c>
      <c r="G44" s="74">
        <v>974.83</v>
      </c>
      <c r="H44" s="78">
        <f t="shared" si="4"/>
        <v>0.8773470000000001</v>
      </c>
      <c r="I44" s="13">
        <f t="shared" si="5"/>
        <v>146.22450000000001</v>
      </c>
      <c r="J44" s="23"/>
      <c r="L44" s="19"/>
      <c r="M44" s="20"/>
      <c r="N44" s="21"/>
    </row>
    <row r="45" spans="1:14" ht="15.75" hidden="1" customHeight="1">
      <c r="A45" s="179" t="s">
        <v>138</v>
      </c>
      <c r="B45" s="180"/>
      <c r="C45" s="180"/>
      <c r="D45" s="180"/>
      <c r="E45" s="180"/>
      <c r="F45" s="180"/>
      <c r="G45" s="180"/>
      <c r="H45" s="180"/>
      <c r="I45" s="181"/>
      <c r="J45" s="23"/>
      <c r="L45" s="19"/>
      <c r="M45" s="20"/>
      <c r="N45" s="21"/>
    </row>
    <row r="46" spans="1:14" ht="15.75" hidden="1" customHeight="1">
      <c r="A46" s="96"/>
      <c r="B46" s="34" t="s">
        <v>114</v>
      </c>
      <c r="C46" s="44" t="s">
        <v>111</v>
      </c>
      <c r="D46" s="34" t="s">
        <v>43</v>
      </c>
      <c r="E46" s="121">
        <v>1632.75</v>
      </c>
      <c r="F46" s="33">
        <f>SUM(E46*2/1000)</f>
        <v>3.2654999999999998</v>
      </c>
      <c r="G46" s="36">
        <v>1062</v>
      </c>
      <c r="H46" s="119">
        <f t="shared" ref="H46:H55" si="6">SUM(F46*G46/1000)</f>
        <v>3.4679609999999998</v>
      </c>
      <c r="I46" s="13">
        <f>F46/2*G46</f>
        <v>1733.9804999999999</v>
      </c>
      <c r="J46" s="23"/>
      <c r="L46" s="19"/>
      <c r="M46" s="20"/>
      <c r="N46" s="21"/>
    </row>
    <row r="47" spans="1:14" ht="15.75" hidden="1" customHeight="1">
      <c r="A47" s="29"/>
      <c r="B47" s="34" t="s">
        <v>36</v>
      </c>
      <c r="C47" s="44" t="s">
        <v>111</v>
      </c>
      <c r="D47" s="34" t="s">
        <v>43</v>
      </c>
      <c r="E47" s="121">
        <v>53.75</v>
      </c>
      <c r="F47" s="33">
        <f>SUM(E47*2/1000)</f>
        <v>0.1075</v>
      </c>
      <c r="G47" s="36">
        <v>759.98</v>
      </c>
      <c r="H47" s="119">
        <f t="shared" si="6"/>
        <v>8.1697850000000002E-2</v>
      </c>
      <c r="I47" s="13">
        <f t="shared" ref="I47:I54" si="7">F47/2*G47</f>
        <v>40.848925000000001</v>
      </c>
      <c r="J47" s="23"/>
      <c r="L47" s="19"/>
      <c r="M47" s="20"/>
      <c r="N47" s="21"/>
    </row>
    <row r="48" spans="1:14" ht="15.75" hidden="1" customHeight="1">
      <c r="A48" s="29"/>
      <c r="B48" s="34" t="s">
        <v>37</v>
      </c>
      <c r="C48" s="44" t="s">
        <v>111</v>
      </c>
      <c r="D48" s="34" t="s">
        <v>43</v>
      </c>
      <c r="E48" s="121">
        <v>2285.6</v>
      </c>
      <c r="F48" s="33">
        <f>SUM(E48*2/1000)</f>
        <v>4.5712000000000002</v>
      </c>
      <c r="G48" s="36">
        <v>759.98</v>
      </c>
      <c r="H48" s="119">
        <f t="shared" si="6"/>
        <v>3.4740205760000005</v>
      </c>
      <c r="I48" s="13">
        <f t="shared" si="7"/>
        <v>1737.0102880000002</v>
      </c>
      <c r="J48" s="23"/>
      <c r="L48" s="19"/>
      <c r="M48" s="20"/>
      <c r="N48" s="21"/>
    </row>
    <row r="49" spans="1:14" ht="15.75" hidden="1" customHeight="1">
      <c r="A49" s="29"/>
      <c r="B49" s="34" t="s">
        <v>38</v>
      </c>
      <c r="C49" s="44" t="s">
        <v>111</v>
      </c>
      <c r="D49" s="34" t="s">
        <v>43</v>
      </c>
      <c r="E49" s="121">
        <v>1860</v>
      </c>
      <c r="F49" s="33">
        <f>SUM(E49*2/1000)</f>
        <v>3.72</v>
      </c>
      <c r="G49" s="36">
        <v>795.82</v>
      </c>
      <c r="H49" s="119">
        <f t="shared" si="6"/>
        <v>2.9604504</v>
      </c>
      <c r="I49" s="13">
        <f t="shared" si="7"/>
        <v>1480.2252000000001</v>
      </c>
      <c r="J49" s="23"/>
      <c r="L49" s="19"/>
      <c r="M49" s="20"/>
      <c r="N49" s="21"/>
    </row>
    <row r="50" spans="1:14" ht="15.75" hidden="1" customHeight="1">
      <c r="A50" s="29"/>
      <c r="B50" s="34" t="s">
        <v>34</v>
      </c>
      <c r="C50" s="44" t="s">
        <v>35</v>
      </c>
      <c r="D50" s="34" t="s">
        <v>43</v>
      </c>
      <c r="E50" s="121">
        <v>120.5</v>
      </c>
      <c r="F50" s="33">
        <f>SUM(E50*2/100)</f>
        <v>2.41</v>
      </c>
      <c r="G50" s="36">
        <v>95.49</v>
      </c>
      <c r="H50" s="119">
        <f t="shared" si="6"/>
        <v>0.2301309</v>
      </c>
      <c r="I50" s="13">
        <f t="shared" si="7"/>
        <v>115.06545</v>
      </c>
      <c r="J50" s="23"/>
      <c r="L50" s="19"/>
      <c r="M50" s="20"/>
      <c r="N50" s="21"/>
    </row>
    <row r="51" spans="1:14" ht="15.75" hidden="1" customHeight="1">
      <c r="A51" s="29">
        <v>15</v>
      </c>
      <c r="B51" s="34" t="s">
        <v>58</v>
      </c>
      <c r="C51" s="44" t="s">
        <v>111</v>
      </c>
      <c r="D51" s="34" t="s">
        <v>141</v>
      </c>
      <c r="E51" s="121">
        <v>3053.4</v>
      </c>
      <c r="F51" s="33">
        <f>SUM(E51*5/1000)</f>
        <v>15.266999999999999</v>
      </c>
      <c r="G51" s="36">
        <v>1591.6</v>
      </c>
      <c r="H51" s="119">
        <f t="shared" si="6"/>
        <v>24.298957199999997</v>
      </c>
      <c r="I51" s="13">
        <f>F51/5*G51</f>
        <v>4859.79144</v>
      </c>
      <c r="J51" s="23"/>
      <c r="L51" s="19"/>
      <c r="M51" s="20"/>
      <c r="N51" s="21"/>
    </row>
    <row r="52" spans="1:14" ht="31.5" hidden="1" customHeight="1">
      <c r="A52" s="29"/>
      <c r="B52" s="34" t="s">
        <v>115</v>
      </c>
      <c r="C52" s="44" t="s">
        <v>111</v>
      </c>
      <c r="D52" s="34" t="s">
        <v>43</v>
      </c>
      <c r="E52" s="121">
        <f>E51</f>
        <v>3053.4</v>
      </c>
      <c r="F52" s="33">
        <f>SUM(E52*2/1000)</f>
        <v>6.1067999999999998</v>
      </c>
      <c r="G52" s="36">
        <v>1591.6</v>
      </c>
      <c r="H52" s="119">
        <f t="shared" si="6"/>
        <v>9.7195828800000008</v>
      </c>
      <c r="I52" s="13">
        <f t="shared" si="7"/>
        <v>4859.79144</v>
      </c>
      <c r="J52" s="23"/>
      <c r="L52" s="19"/>
      <c r="M52" s="20"/>
      <c r="N52" s="21"/>
    </row>
    <row r="53" spans="1:14" ht="31.5" hidden="1" customHeight="1">
      <c r="A53" s="29"/>
      <c r="B53" s="34" t="s">
        <v>133</v>
      </c>
      <c r="C53" s="44" t="s">
        <v>39</v>
      </c>
      <c r="D53" s="34" t="s">
        <v>43</v>
      </c>
      <c r="E53" s="121">
        <v>20</v>
      </c>
      <c r="F53" s="33">
        <f>SUM(E53*2/100)</f>
        <v>0.4</v>
      </c>
      <c r="G53" s="36">
        <v>3581.13</v>
      </c>
      <c r="H53" s="119">
        <f t="shared" si="6"/>
        <v>1.4324520000000003</v>
      </c>
      <c r="I53" s="13">
        <f t="shared" si="7"/>
        <v>716.22600000000011</v>
      </c>
      <c r="J53" s="23"/>
      <c r="L53" s="19"/>
      <c r="M53" s="20"/>
      <c r="N53" s="21"/>
    </row>
    <row r="54" spans="1:14" ht="15.75" hidden="1" customHeight="1">
      <c r="A54" s="29"/>
      <c r="B54" s="34" t="s">
        <v>40</v>
      </c>
      <c r="C54" s="44" t="s">
        <v>41</v>
      </c>
      <c r="D54" s="34" t="s">
        <v>43</v>
      </c>
      <c r="E54" s="121">
        <v>1</v>
      </c>
      <c r="F54" s="33">
        <v>0.02</v>
      </c>
      <c r="G54" s="36">
        <v>7412.92</v>
      </c>
      <c r="H54" s="119">
        <f t="shared" si="6"/>
        <v>0.14825839999999998</v>
      </c>
      <c r="I54" s="13">
        <f t="shared" si="7"/>
        <v>74.129199999999997</v>
      </c>
      <c r="J54" s="23"/>
      <c r="L54" s="19"/>
      <c r="M54" s="20"/>
      <c r="N54" s="21"/>
    </row>
    <row r="55" spans="1:14" ht="15.75" hidden="1" customHeight="1">
      <c r="A55" s="29">
        <v>16</v>
      </c>
      <c r="B55" s="34" t="s">
        <v>42</v>
      </c>
      <c r="C55" s="44" t="s">
        <v>95</v>
      </c>
      <c r="D55" s="34" t="s">
        <v>74</v>
      </c>
      <c r="E55" s="121">
        <v>128</v>
      </c>
      <c r="F55" s="33">
        <f>SUM(E55)*3</f>
        <v>384</v>
      </c>
      <c r="G55" s="37">
        <v>86.15</v>
      </c>
      <c r="H55" s="119">
        <f t="shared" si="6"/>
        <v>33.081600000000009</v>
      </c>
      <c r="I55" s="13">
        <f>E55*G55</f>
        <v>11027.2</v>
      </c>
      <c r="J55" s="23"/>
      <c r="L55" s="19"/>
      <c r="M55" s="20"/>
      <c r="N55" s="21"/>
    </row>
    <row r="56" spans="1:14" ht="15.75" customHeight="1">
      <c r="A56" s="203" t="s">
        <v>143</v>
      </c>
      <c r="B56" s="204"/>
      <c r="C56" s="204"/>
      <c r="D56" s="204"/>
      <c r="E56" s="204"/>
      <c r="F56" s="204"/>
      <c r="G56" s="204"/>
      <c r="H56" s="204"/>
      <c r="I56" s="205"/>
      <c r="J56" s="23"/>
      <c r="L56" s="19"/>
      <c r="M56" s="20"/>
      <c r="N56" s="21"/>
    </row>
    <row r="57" spans="1:14" ht="15.75" hidden="1" customHeight="1">
      <c r="A57" s="29"/>
      <c r="B57" s="93" t="s">
        <v>44</v>
      </c>
      <c r="C57" s="72"/>
      <c r="D57" s="71"/>
      <c r="E57" s="73"/>
      <c r="F57" s="74"/>
      <c r="G57" s="74"/>
      <c r="H57" s="78"/>
      <c r="I57" s="79"/>
      <c r="J57" s="23"/>
      <c r="L57" s="19"/>
      <c r="M57" s="20"/>
      <c r="N57" s="21"/>
    </row>
    <row r="58" spans="1:14" ht="31.5" hidden="1" customHeight="1">
      <c r="A58" s="29">
        <v>17</v>
      </c>
      <c r="B58" s="71" t="s">
        <v>116</v>
      </c>
      <c r="C58" s="72" t="s">
        <v>99</v>
      </c>
      <c r="D58" s="71" t="s">
        <v>117</v>
      </c>
      <c r="E58" s="73">
        <v>92.7</v>
      </c>
      <c r="F58" s="74">
        <f>SUM(E58*6/100)</f>
        <v>5.5620000000000003</v>
      </c>
      <c r="G58" s="13">
        <v>2431.1799999999998</v>
      </c>
      <c r="H58" s="78">
        <f>SUM(F58*G58/1000)</f>
        <v>13.522223159999999</v>
      </c>
      <c r="I58" s="13">
        <f>F58/6*G58</f>
        <v>2253.7038600000001</v>
      </c>
      <c r="J58" s="23"/>
      <c r="L58" s="19"/>
      <c r="M58" s="20"/>
      <c r="N58" s="21"/>
    </row>
    <row r="59" spans="1:14" ht="15.75" hidden="1" customHeight="1">
      <c r="A59" s="29"/>
      <c r="B59" s="71" t="s">
        <v>134</v>
      </c>
      <c r="C59" s="72" t="s">
        <v>135</v>
      </c>
      <c r="D59" s="14" t="s">
        <v>69</v>
      </c>
      <c r="E59" s="73"/>
      <c r="F59" s="74">
        <v>2</v>
      </c>
      <c r="G59" s="67">
        <v>1582.05</v>
      </c>
      <c r="H59" s="78">
        <f>SUM(F59*G59/1000)</f>
        <v>3.1640999999999999</v>
      </c>
      <c r="I59" s="13">
        <v>0</v>
      </c>
      <c r="J59" s="23"/>
      <c r="L59" s="19"/>
      <c r="M59" s="20"/>
      <c r="N59" s="21"/>
    </row>
    <row r="60" spans="1:14" ht="15.75" customHeight="1">
      <c r="A60" s="29"/>
      <c r="B60" s="93" t="s">
        <v>45</v>
      </c>
      <c r="C60" s="72"/>
      <c r="D60" s="71"/>
      <c r="E60" s="73"/>
      <c r="F60" s="74"/>
      <c r="G60" s="74"/>
      <c r="H60" s="75" t="s">
        <v>132</v>
      </c>
      <c r="I60" s="79"/>
      <c r="J60" s="23"/>
      <c r="L60" s="19"/>
      <c r="M60" s="20"/>
      <c r="N60" s="21"/>
    </row>
    <row r="61" spans="1:14" ht="15.75" hidden="1" customHeight="1">
      <c r="A61" s="29"/>
      <c r="B61" s="34" t="s">
        <v>46</v>
      </c>
      <c r="C61" s="44" t="s">
        <v>99</v>
      </c>
      <c r="D61" s="34" t="s">
        <v>55</v>
      </c>
      <c r="E61" s="123">
        <v>145</v>
      </c>
      <c r="F61" s="33">
        <f>SUM(E61/100)</f>
        <v>1.45</v>
      </c>
      <c r="G61" s="36">
        <v>1040.8399999999999</v>
      </c>
      <c r="H61" s="124">
        <v>9.1679999999999993</v>
      </c>
      <c r="I61" s="13">
        <v>0</v>
      </c>
      <c r="J61" s="23"/>
      <c r="L61" s="19"/>
      <c r="M61" s="20"/>
      <c r="N61" s="21"/>
    </row>
    <row r="62" spans="1:14" ht="15.75" customHeight="1">
      <c r="A62" s="29">
        <v>10</v>
      </c>
      <c r="B62" s="125" t="s">
        <v>96</v>
      </c>
      <c r="C62" s="126" t="s">
        <v>25</v>
      </c>
      <c r="D62" s="125" t="s">
        <v>30</v>
      </c>
      <c r="E62" s="123">
        <v>255.2</v>
      </c>
      <c r="F62" s="33">
        <v>1200</v>
      </c>
      <c r="G62" s="127">
        <v>2.4</v>
      </c>
      <c r="H62" s="128">
        <f>G62*F62/1000</f>
        <v>2.88</v>
      </c>
      <c r="I62" s="13">
        <f>F62/12*G62</f>
        <v>240</v>
      </c>
      <c r="J62" s="23"/>
      <c r="L62" s="19"/>
      <c r="M62" s="20"/>
      <c r="N62" s="21"/>
    </row>
    <row r="63" spans="1:14" ht="15.75" customHeight="1">
      <c r="A63" s="29"/>
      <c r="B63" s="102" t="s">
        <v>47</v>
      </c>
      <c r="C63" s="84"/>
      <c r="D63" s="83"/>
      <c r="E63" s="81"/>
      <c r="F63" s="85"/>
      <c r="G63" s="85"/>
      <c r="H63" s="86" t="s">
        <v>132</v>
      </c>
      <c r="I63" s="79"/>
      <c r="J63" s="23"/>
      <c r="L63" s="19"/>
      <c r="M63" s="20"/>
      <c r="N63" s="21"/>
    </row>
    <row r="64" spans="1:14" ht="15.75" customHeight="1">
      <c r="A64" s="29">
        <v>11</v>
      </c>
      <c r="B64" s="56" t="s">
        <v>48</v>
      </c>
      <c r="C64" s="40" t="s">
        <v>95</v>
      </c>
      <c r="D64" s="39" t="s">
        <v>69</v>
      </c>
      <c r="E64" s="17">
        <v>6</v>
      </c>
      <c r="F64" s="33">
        <f>SUM(E64)</f>
        <v>6</v>
      </c>
      <c r="G64" s="36">
        <v>291.68</v>
      </c>
      <c r="H64" s="114">
        <f t="shared" ref="H64:H72" si="8">SUM(F64*G64/1000)</f>
        <v>1.7500799999999999</v>
      </c>
      <c r="I64" s="13">
        <f>G64*3</f>
        <v>875.04</v>
      </c>
      <c r="J64" s="23"/>
      <c r="L64" s="19"/>
    </row>
    <row r="65" spans="1:22" ht="15.75" hidden="1" customHeight="1">
      <c r="A65" s="29"/>
      <c r="B65" s="56" t="s">
        <v>49</v>
      </c>
      <c r="C65" s="40" t="s">
        <v>95</v>
      </c>
      <c r="D65" s="39" t="s">
        <v>69</v>
      </c>
      <c r="E65" s="17">
        <v>4</v>
      </c>
      <c r="F65" s="33">
        <f>SUM(E65)</f>
        <v>4</v>
      </c>
      <c r="G65" s="36">
        <v>100.01</v>
      </c>
      <c r="H65" s="114">
        <f t="shared" si="8"/>
        <v>0.40004000000000001</v>
      </c>
      <c r="I65" s="13">
        <v>0</v>
      </c>
      <c r="J65" s="23"/>
      <c r="L65" s="19"/>
    </row>
    <row r="66" spans="1:22" ht="15.75" hidden="1" customHeight="1">
      <c r="A66" s="29"/>
      <c r="B66" s="56" t="s">
        <v>50</v>
      </c>
      <c r="C66" s="42" t="s">
        <v>118</v>
      </c>
      <c r="D66" s="39" t="s">
        <v>55</v>
      </c>
      <c r="E66" s="121">
        <v>15552</v>
      </c>
      <c r="F66" s="37">
        <f>SUM(E66/100)</f>
        <v>155.52000000000001</v>
      </c>
      <c r="G66" s="36">
        <v>278.24</v>
      </c>
      <c r="H66" s="114">
        <f t="shared" si="8"/>
        <v>43.271884800000009</v>
      </c>
      <c r="I66" s="13">
        <v>0</v>
      </c>
    </row>
    <row r="67" spans="1:22" ht="15.75" hidden="1" customHeight="1">
      <c r="A67" s="29"/>
      <c r="B67" s="56" t="s">
        <v>51</v>
      </c>
      <c r="C67" s="40" t="s">
        <v>119</v>
      </c>
      <c r="D67" s="39"/>
      <c r="E67" s="121">
        <v>15552</v>
      </c>
      <c r="F67" s="36">
        <f>SUM(E67/1000)</f>
        <v>15.552</v>
      </c>
      <c r="G67" s="36">
        <v>216.68</v>
      </c>
      <c r="H67" s="114">
        <f t="shared" si="8"/>
        <v>3.3698073600000003</v>
      </c>
      <c r="I67" s="13">
        <v>0</v>
      </c>
    </row>
    <row r="68" spans="1:22" ht="15.75" hidden="1" customHeight="1">
      <c r="A68" s="29"/>
      <c r="B68" s="56" t="s">
        <v>52</v>
      </c>
      <c r="C68" s="40" t="s">
        <v>81</v>
      </c>
      <c r="D68" s="39" t="s">
        <v>55</v>
      </c>
      <c r="E68" s="121">
        <v>2432</v>
      </c>
      <c r="F68" s="36">
        <f>SUM(E68/100)</f>
        <v>24.32</v>
      </c>
      <c r="G68" s="36">
        <v>2720.94</v>
      </c>
      <c r="H68" s="114">
        <f t="shared" si="8"/>
        <v>66.173260800000008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29"/>
      <c r="B69" s="53" t="s">
        <v>75</v>
      </c>
      <c r="C69" s="40" t="s">
        <v>33</v>
      </c>
      <c r="D69" s="39"/>
      <c r="E69" s="121">
        <v>14.8</v>
      </c>
      <c r="F69" s="36">
        <f>SUM(E69)</f>
        <v>14.8</v>
      </c>
      <c r="G69" s="36">
        <v>42.61</v>
      </c>
      <c r="H69" s="114">
        <f t="shared" si="8"/>
        <v>0.63062800000000008</v>
      </c>
      <c r="I69" s="13">
        <v>0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31.5" hidden="1" customHeight="1">
      <c r="A70" s="29"/>
      <c r="B70" s="53" t="s">
        <v>76</v>
      </c>
      <c r="C70" s="40" t="s">
        <v>33</v>
      </c>
      <c r="D70" s="39"/>
      <c r="E70" s="121">
        <f>E69</f>
        <v>14.8</v>
      </c>
      <c r="F70" s="36">
        <f>SUM(E70)</f>
        <v>14.8</v>
      </c>
      <c r="G70" s="36">
        <v>46.04</v>
      </c>
      <c r="H70" s="114">
        <f t="shared" si="8"/>
        <v>0.681392</v>
      </c>
      <c r="I70" s="13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hidden="1" customHeight="1">
      <c r="A71" s="29"/>
      <c r="B71" s="39" t="s">
        <v>59</v>
      </c>
      <c r="C71" s="40" t="s">
        <v>60</v>
      </c>
      <c r="D71" s="39" t="s">
        <v>55</v>
      </c>
      <c r="E71" s="17">
        <v>5</v>
      </c>
      <c r="F71" s="33">
        <f>SUM(E71)</f>
        <v>5</v>
      </c>
      <c r="G71" s="36">
        <v>65.42</v>
      </c>
      <c r="H71" s="114">
        <f t="shared" si="8"/>
        <v>0.3271</v>
      </c>
      <c r="I71" s="13">
        <v>0</v>
      </c>
      <c r="J71" s="5"/>
      <c r="K71" s="5"/>
      <c r="L71" s="5"/>
      <c r="M71" s="5"/>
      <c r="N71" s="5"/>
      <c r="O71" s="5"/>
      <c r="P71" s="5"/>
      <c r="Q71" s="5"/>
      <c r="R71" s="187"/>
      <c r="S71" s="187"/>
      <c r="T71" s="187"/>
      <c r="U71" s="187"/>
    </row>
    <row r="72" spans="1:22" ht="15.75" customHeight="1">
      <c r="A72" s="29">
        <v>12</v>
      </c>
      <c r="B72" s="39" t="s">
        <v>160</v>
      </c>
      <c r="C72" s="45" t="s">
        <v>161</v>
      </c>
      <c r="D72" s="39" t="s">
        <v>69</v>
      </c>
      <c r="E72" s="17">
        <f>E51</f>
        <v>3053.4</v>
      </c>
      <c r="F72" s="33">
        <f>SUM(E72*12)</f>
        <v>36640.800000000003</v>
      </c>
      <c r="G72" s="36">
        <v>2.2799999999999998</v>
      </c>
      <c r="H72" s="114">
        <f t="shared" si="8"/>
        <v>83.541024000000007</v>
      </c>
      <c r="I72" s="13">
        <f>F72/12*G72</f>
        <v>6961.7519999999995</v>
      </c>
      <c r="J72" s="5"/>
      <c r="K72" s="5"/>
      <c r="L72" s="5"/>
      <c r="M72" s="5"/>
      <c r="N72" s="5"/>
      <c r="O72" s="5"/>
      <c r="P72" s="5"/>
      <c r="Q72" s="5"/>
      <c r="R72" s="60"/>
      <c r="S72" s="60"/>
      <c r="T72" s="60"/>
      <c r="U72" s="60"/>
    </row>
    <row r="73" spans="1:22" ht="15.75" customHeight="1">
      <c r="A73" s="29"/>
      <c r="B73" s="66" t="s">
        <v>77</v>
      </c>
      <c r="C73" s="16"/>
      <c r="D73" s="14"/>
      <c r="E73" s="18"/>
      <c r="F73" s="13"/>
      <c r="G73" s="13"/>
      <c r="H73" s="87" t="s">
        <v>132</v>
      </c>
      <c r="I73" s="79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2" ht="15.75" hidden="1" customHeight="1">
      <c r="A74" s="29">
        <v>19</v>
      </c>
      <c r="B74" s="39" t="s">
        <v>162</v>
      </c>
      <c r="C74" s="40" t="s">
        <v>163</v>
      </c>
      <c r="D74" s="39" t="s">
        <v>69</v>
      </c>
      <c r="E74" s="17">
        <v>1</v>
      </c>
      <c r="F74" s="36">
        <f>E74</f>
        <v>1</v>
      </c>
      <c r="G74" s="36">
        <v>1029.1199999999999</v>
      </c>
      <c r="H74" s="113">
        <f t="shared" ref="H74:H75" si="9">SUM(F74*G74/1000)</f>
        <v>1.0291199999999998</v>
      </c>
      <c r="I74" s="13">
        <v>0</v>
      </c>
    </row>
    <row r="75" spans="1:22" ht="15.75" hidden="1" customHeight="1">
      <c r="A75" s="29"/>
      <c r="B75" s="39" t="s">
        <v>164</v>
      </c>
      <c r="C75" s="40" t="s">
        <v>165</v>
      </c>
      <c r="D75" s="129"/>
      <c r="E75" s="17">
        <v>1</v>
      </c>
      <c r="F75" s="36">
        <v>1</v>
      </c>
      <c r="G75" s="36">
        <v>735</v>
      </c>
      <c r="H75" s="113">
        <f t="shared" si="9"/>
        <v>0.73499999999999999</v>
      </c>
      <c r="I75" s="13">
        <v>0</v>
      </c>
    </row>
    <row r="76" spans="1:22" ht="15" customHeight="1">
      <c r="A76" s="29">
        <v>13</v>
      </c>
      <c r="B76" s="39" t="s">
        <v>78</v>
      </c>
      <c r="C76" s="40" t="s">
        <v>79</v>
      </c>
      <c r="D76" s="39" t="s">
        <v>69</v>
      </c>
      <c r="E76" s="17">
        <v>5</v>
      </c>
      <c r="F76" s="33">
        <f>SUM(E76/10)</f>
        <v>0.5</v>
      </c>
      <c r="G76" s="36">
        <v>657.87</v>
      </c>
      <c r="H76" s="113">
        <f>SUM(F76*G76/1000)</f>
        <v>0.32893499999999998</v>
      </c>
      <c r="I76" s="13">
        <f>G76*0.4</f>
        <v>263.14800000000002</v>
      </c>
    </row>
    <row r="77" spans="1:22" ht="14.25" hidden="1" customHeight="1">
      <c r="A77" s="29"/>
      <c r="B77" s="39" t="s">
        <v>130</v>
      </c>
      <c r="C77" s="40" t="s">
        <v>95</v>
      </c>
      <c r="D77" s="39" t="s">
        <v>69</v>
      </c>
      <c r="E77" s="17">
        <v>1</v>
      </c>
      <c r="F77" s="36">
        <f>E77</f>
        <v>1</v>
      </c>
      <c r="G77" s="36">
        <v>1118.72</v>
      </c>
      <c r="H77" s="113">
        <f>SUM(F77*G77/1000)</f>
        <v>1.1187199999999999</v>
      </c>
      <c r="I77" s="13">
        <v>0</v>
      </c>
    </row>
    <row r="78" spans="1:22" ht="15.75" customHeight="1">
      <c r="A78" s="29">
        <v>14</v>
      </c>
      <c r="B78" s="115" t="s">
        <v>166</v>
      </c>
      <c r="C78" s="116" t="s">
        <v>95</v>
      </c>
      <c r="D78" s="39" t="s">
        <v>69</v>
      </c>
      <c r="E78" s="17">
        <v>2</v>
      </c>
      <c r="F78" s="33">
        <f>E78*12</f>
        <v>24</v>
      </c>
      <c r="G78" s="36">
        <v>53.42</v>
      </c>
      <c r="H78" s="113">
        <f t="shared" ref="H78:H79" si="10">SUM(F78*G78/1000)</f>
        <v>1.2820799999999999</v>
      </c>
      <c r="I78" s="13">
        <f>G78*2</f>
        <v>106.84</v>
      </c>
    </row>
    <row r="79" spans="1:22" ht="31.5" customHeight="1">
      <c r="A79" s="29">
        <v>15</v>
      </c>
      <c r="B79" s="115" t="s">
        <v>167</v>
      </c>
      <c r="C79" s="116" t="s">
        <v>95</v>
      </c>
      <c r="D79" s="39" t="s">
        <v>30</v>
      </c>
      <c r="E79" s="17">
        <v>1</v>
      </c>
      <c r="F79" s="33">
        <f>E79*12</f>
        <v>12</v>
      </c>
      <c r="G79" s="36">
        <v>1194</v>
      </c>
      <c r="H79" s="113">
        <f t="shared" si="10"/>
        <v>14.327999999999999</v>
      </c>
      <c r="I79" s="13">
        <f>G79</f>
        <v>1194</v>
      </c>
    </row>
    <row r="80" spans="1:22" ht="15.75" hidden="1" customHeight="1">
      <c r="A80" s="29"/>
      <c r="B80" s="90" t="s">
        <v>80</v>
      </c>
      <c r="C80" s="16"/>
      <c r="D80" s="14"/>
      <c r="E80" s="18"/>
      <c r="F80" s="18"/>
      <c r="G80" s="18"/>
      <c r="H80" s="18"/>
      <c r="I80" s="79"/>
    </row>
    <row r="81" spans="1:9" ht="15.75" hidden="1" customHeight="1">
      <c r="A81" s="29"/>
      <c r="B81" s="41" t="s">
        <v>122</v>
      </c>
      <c r="C81" s="42" t="s">
        <v>81</v>
      </c>
      <c r="D81" s="56"/>
      <c r="E81" s="59"/>
      <c r="F81" s="37">
        <v>0.3</v>
      </c>
      <c r="G81" s="37">
        <v>3619.09</v>
      </c>
      <c r="H81" s="114">
        <f t="shared" ref="H81" si="11">SUM(F81*G81/1000)</f>
        <v>1.0857270000000001</v>
      </c>
      <c r="I81" s="13">
        <v>0</v>
      </c>
    </row>
    <row r="82" spans="1:9" ht="15.75" hidden="1" customHeight="1">
      <c r="A82" s="29"/>
      <c r="B82" s="66" t="s">
        <v>120</v>
      </c>
      <c r="C82" s="90"/>
      <c r="D82" s="31"/>
      <c r="E82" s="32"/>
      <c r="F82" s="91"/>
      <c r="G82" s="91"/>
      <c r="H82" s="92">
        <f>SUM(H58:H81)</f>
        <v>248.78712212000002</v>
      </c>
      <c r="I82" s="77"/>
    </row>
    <row r="83" spans="1:9" ht="15.75" hidden="1" customHeight="1">
      <c r="A83" s="94"/>
      <c r="B83" s="34" t="s">
        <v>121</v>
      </c>
      <c r="C83" s="130"/>
      <c r="D83" s="131"/>
      <c r="E83" s="132"/>
      <c r="F83" s="38">
        <f>232/10</f>
        <v>23.2</v>
      </c>
      <c r="G83" s="38">
        <v>12361.2</v>
      </c>
      <c r="H83" s="114">
        <f>G83*F83/1000</f>
        <v>286.77984000000004</v>
      </c>
      <c r="I83" s="95">
        <v>0</v>
      </c>
    </row>
    <row r="84" spans="1:9" ht="15.75" customHeight="1">
      <c r="A84" s="179" t="s">
        <v>144</v>
      </c>
      <c r="B84" s="180"/>
      <c r="C84" s="180"/>
      <c r="D84" s="180"/>
      <c r="E84" s="180"/>
      <c r="F84" s="180"/>
      <c r="G84" s="180"/>
      <c r="H84" s="180"/>
      <c r="I84" s="181"/>
    </row>
    <row r="85" spans="1:9" ht="15.75" customHeight="1">
      <c r="A85" s="96">
        <v>16</v>
      </c>
      <c r="B85" s="34" t="s">
        <v>123</v>
      </c>
      <c r="C85" s="40" t="s">
        <v>56</v>
      </c>
      <c r="D85" s="103" t="s">
        <v>57</v>
      </c>
      <c r="E85" s="36">
        <v>3053.4</v>
      </c>
      <c r="F85" s="36">
        <f>SUM(E85*12)</f>
        <v>36640.800000000003</v>
      </c>
      <c r="G85" s="36">
        <v>3.1</v>
      </c>
      <c r="H85" s="114">
        <f>SUM(F85*G85/1000)</f>
        <v>113.58648000000001</v>
      </c>
      <c r="I85" s="101">
        <f>F85/12*G85</f>
        <v>9465.5400000000009</v>
      </c>
    </row>
    <row r="86" spans="1:9" ht="31.5" customHeight="1">
      <c r="A86" s="29">
        <v>17</v>
      </c>
      <c r="B86" s="39" t="s">
        <v>82</v>
      </c>
      <c r="C86" s="40"/>
      <c r="D86" s="103" t="s">
        <v>57</v>
      </c>
      <c r="E86" s="121">
        <v>3053.4</v>
      </c>
      <c r="F86" s="36">
        <f>E86*12</f>
        <v>36640.800000000003</v>
      </c>
      <c r="G86" s="36">
        <v>3.5</v>
      </c>
      <c r="H86" s="114">
        <f>F86*G86/1000</f>
        <v>128.24280000000002</v>
      </c>
      <c r="I86" s="13">
        <f>F86/12*G86</f>
        <v>10686.9</v>
      </c>
    </row>
    <row r="87" spans="1:9" ht="15.75" customHeight="1">
      <c r="A87" s="29"/>
      <c r="B87" s="43" t="s">
        <v>85</v>
      </c>
      <c r="C87" s="90"/>
      <c r="D87" s="88"/>
      <c r="E87" s="91"/>
      <c r="F87" s="91"/>
      <c r="G87" s="91"/>
      <c r="H87" s="92">
        <f>SUM(H86)</f>
        <v>128.24280000000002</v>
      </c>
      <c r="I87" s="91">
        <f>I86+I85+I79+I78+I76+I72+I64+I62+I34+I33+I31+I30+I27+I26+I18+I17+I16</f>
        <v>57260.888414555557</v>
      </c>
    </row>
    <row r="88" spans="1:9" ht="15.75" customHeight="1">
      <c r="A88" s="188" t="s">
        <v>62</v>
      </c>
      <c r="B88" s="189"/>
      <c r="C88" s="189"/>
      <c r="D88" s="189"/>
      <c r="E88" s="189"/>
      <c r="F88" s="189"/>
      <c r="G88" s="189"/>
      <c r="H88" s="189"/>
      <c r="I88" s="190"/>
    </row>
    <row r="89" spans="1:9" ht="31.5" customHeight="1">
      <c r="A89" s="29">
        <v>18</v>
      </c>
      <c r="B89" s="115" t="s">
        <v>222</v>
      </c>
      <c r="C89" s="116" t="s">
        <v>29</v>
      </c>
      <c r="D89" s="117"/>
      <c r="E89" s="36"/>
      <c r="F89" s="36">
        <v>4</v>
      </c>
      <c r="G89" s="13">
        <v>1104.48</v>
      </c>
      <c r="H89" s="114">
        <f>F89*G89/1000</f>
        <v>4.4179200000000005</v>
      </c>
      <c r="I89" s="13">
        <f>G89*0.0605</f>
        <v>66.821039999999996</v>
      </c>
    </row>
    <row r="90" spans="1:9" ht="15.75" customHeight="1">
      <c r="A90" s="29" t="s">
        <v>223</v>
      </c>
      <c r="B90" s="115" t="s">
        <v>103</v>
      </c>
      <c r="C90" s="116" t="s">
        <v>95</v>
      </c>
      <c r="D90" s="52"/>
      <c r="E90" s="36"/>
      <c r="F90" s="36">
        <v>128</v>
      </c>
      <c r="G90" s="36">
        <v>55.55</v>
      </c>
      <c r="H90" s="114">
        <f t="shared" ref="H90:H91" si="12">F90*G90/1000</f>
        <v>7.1103999999999994</v>
      </c>
      <c r="I90" s="13">
        <f>G90*64</f>
        <v>3555.2</v>
      </c>
    </row>
    <row r="91" spans="1:9" ht="31.5" customHeight="1">
      <c r="A91" s="29">
        <v>20</v>
      </c>
      <c r="B91" s="57" t="s">
        <v>93</v>
      </c>
      <c r="C91" s="58" t="s">
        <v>104</v>
      </c>
      <c r="D91" s="117"/>
      <c r="E91" s="36"/>
      <c r="F91" s="36">
        <v>0.02</v>
      </c>
      <c r="G91" s="36">
        <v>613.44000000000005</v>
      </c>
      <c r="H91" s="114">
        <f t="shared" si="12"/>
        <v>1.22688E-2</v>
      </c>
      <c r="I91" s="13">
        <f>G91*3</f>
        <v>1840.3200000000002</v>
      </c>
    </row>
    <row r="92" spans="1:9" ht="18" customHeight="1">
      <c r="A92" s="29">
        <v>21</v>
      </c>
      <c r="B92" s="57" t="s">
        <v>209</v>
      </c>
      <c r="C92" s="58" t="s">
        <v>95</v>
      </c>
      <c r="D92" s="117"/>
      <c r="E92" s="36"/>
      <c r="F92" s="36"/>
      <c r="G92" s="36">
        <v>89.92</v>
      </c>
      <c r="H92" s="114"/>
      <c r="I92" s="13">
        <f>G92*2</f>
        <v>179.84</v>
      </c>
    </row>
    <row r="93" spans="1:9" ht="20.25" customHeight="1">
      <c r="A93" s="29">
        <v>22</v>
      </c>
      <c r="B93" s="57" t="s">
        <v>210</v>
      </c>
      <c r="C93" s="58" t="s">
        <v>95</v>
      </c>
      <c r="D93" s="117"/>
      <c r="E93" s="36"/>
      <c r="F93" s="36"/>
      <c r="G93" s="36">
        <v>95.25</v>
      </c>
      <c r="H93" s="114"/>
      <c r="I93" s="13">
        <f>G93*1</f>
        <v>95.25</v>
      </c>
    </row>
    <row r="94" spans="1:9" ht="20.25" customHeight="1">
      <c r="A94" s="29">
        <v>23</v>
      </c>
      <c r="B94" s="57" t="s">
        <v>86</v>
      </c>
      <c r="C94" s="58" t="s">
        <v>95</v>
      </c>
      <c r="D94" s="117"/>
      <c r="E94" s="36"/>
      <c r="F94" s="36"/>
      <c r="G94" s="36">
        <v>197.48</v>
      </c>
      <c r="H94" s="114"/>
      <c r="I94" s="13">
        <f>G94*1</f>
        <v>197.48</v>
      </c>
    </row>
    <row r="95" spans="1:9" ht="30.75" customHeight="1">
      <c r="A95" s="29">
        <v>24</v>
      </c>
      <c r="B95" s="57" t="s">
        <v>87</v>
      </c>
      <c r="C95" s="58" t="s">
        <v>39</v>
      </c>
      <c r="D95" s="117"/>
      <c r="E95" s="36"/>
      <c r="F95" s="36"/>
      <c r="G95" s="36">
        <v>3724.37</v>
      </c>
      <c r="H95" s="114"/>
      <c r="I95" s="13">
        <f>G95*0.01</f>
        <v>37.243699999999997</v>
      </c>
    </row>
    <row r="96" spans="1:9" ht="27.75" customHeight="1">
      <c r="A96" s="29">
        <v>25</v>
      </c>
      <c r="B96" s="57" t="s">
        <v>84</v>
      </c>
      <c r="C96" s="58" t="s">
        <v>95</v>
      </c>
      <c r="D96" s="117"/>
      <c r="E96" s="36"/>
      <c r="F96" s="36"/>
      <c r="G96" s="13">
        <v>86.69</v>
      </c>
      <c r="H96" s="114"/>
      <c r="I96" s="13">
        <f>G96*1</f>
        <v>86.69</v>
      </c>
    </row>
    <row r="97" spans="1:9" ht="31.5" customHeight="1">
      <c r="A97" s="29">
        <v>26</v>
      </c>
      <c r="B97" s="57" t="s">
        <v>207</v>
      </c>
      <c r="C97" s="58" t="s">
        <v>136</v>
      </c>
      <c r="D97" s="52"/>
      <c r="E97" s="13"/>
      <c r="F97" s="13">
        <v>1</v>
      </c>
      <c r="G97" s="36">
        <v>1187</v>
      </c>
      <c r="H97" s="89">
        <f>F97*G97/1000</f>
        <v>1.1870000000000001</v>
      </c>
      <c r="I97" s="13">
        <f>G97*1</f>
        <v>1187</v>
      </c>
    </row>
    <row r="98" spans="1:9" ht="15.75" customHeight="1">
      <c r="A98" s="29"/>
      <c r="B98" s="50" t="s">
        <v>53</v>
      </c>
      <c r="C98" s="46"/>
      <c r="D98" s="54"/>
      <c r="E98" s="46">
        <v>1</v>
      </c>
      <c r="F98" s="46"/>
      <c r="G98" s="46"/>
      <c r="H98" s="46"/>
      <c r="I98" s="32">
        <f>I97+I96+I95+I94+I93+I92+I91+I89</f>
        <v>3690.6447399999997</v>
      </c>
    </row>
    <row r="99" spans="1:9" ht="15.75" customHeight="1">
      <c r="A99" s="29"/>
      <c r="B99" s="52" t="s">
        <v>83</v>
      </c>
      <c r="C99" s="15"/>
      <c r="D99" s="15"/>
      <c r="E99" s="47"/>
      <c r="F99" s="47"/>
      <c r="G99" s="48"/>
      <c r="H99" s="48"/>
      <c r="I99" s="17">
        <v>0</v>
      </c>
    </row>
    <row r="100" spans="1:9" ht="15.75" customHeight="1">
      <c r="A100" s="55"/>
      <c r="B100" s="51" t="s">
        <v>151</v>
      </c>
      <c r="C100" s="35"/>
      <c r="D100" s="35"/>
      <c r="E100" s="35"/>
      <c r="F100" s="35"/>
      <c r="G100" s="35"/>
      <c r="H100" s="35"/>
      <c r="I100" s="49">
        <f>I87+I98</f>
        <v>60951.533154555553</v>
      </c>
    </row>
    <row r="101" spans="1:9" ht="15.75" customHeight="1">
      <c r="A101" s="199" t="s">
        <v>224</v>
      </c>
      <c r="B101" s="200"/>
      <c r="C101" s="200"/>
      <c r="D101" s="200"/>
      <c r="E101" s="200"/>
      <c r="F101" s="200"/>
      <c r="G101" s="200"/>
      <c r="H101" s="200"/>
      <c r="I101" s="200"/>
    </row>
    <row r="102" spans="1:9" ht="15.75">
      <c r="A102" s="191" t="s">
        <v>225</v>
      </c>
      <c r="B102" s="191"/>
      <c r="C102" s="191"/>
      <c r="D102" s="191"/>
      <c r="E102" s="191"/>
      <c r="F102" s="191"/>
      <c r="G102" s="191"/>
      <c r="H102" s="191"/>
      <c r="I102" s="191"/>
    </row>
    <row r="103" spans="1:9" ht="15.75">
      <c r="A103" s="62"/>
      <c r="B103" s="192" t="s">
        <v>226</v>
      </c>
      <c r="C103" s="192"/>
      <c r="D103" s="192"/>
      <c r="E103" s="192"/>
      <c r="F103" s="192"/>
      <c r="G103" s="192"/>
      <c r="H103" s="70"/>
      <c r="I103" s="3"/>
    </row>
    <row r="104" spans="1:9">
      <c r="A104" s="60"/>
      <c r="B104" s="193" t="s">
        <v>6</v>
      </c>
      <c r="C104" s="193"/>
      <c r="D104" s="193"/>
      <c r="E104" s="193"/>
      <c r="F104" s="193"/>
      <c r="G104" s="193"/>
      <c r="H104" s="24"/>
      <c r="I104" s="5"/>
    </row>
    <row r="105" spans="1:9" ht="15.75" customHeight="1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ht="15.75" customHeight="1">
      <c r="A106" s="194" t="s">
        <v>7</v>
      </c>
      <c r="B106" s="194"/>
      <c r="C106" s="194"/>
      <c r="D106" s="194"/>
      <c r="E106" s="194"/>
      <c r="F106" s="194"/>
      <c r="G106" s="194"/>
      <c r="H106" s="194"/>
      <c r="I106" s="194"/>
    </row>
    <row r="107" spans="1:9" ht="15.75" customHeight="1">
      <c r="A107" s="194" t="s">
        <v>8</v>
      </c>
      <c r="B107" s="194"/>
      <c r="C107" s="194"/>
      <c r="D107" s="194"/>
      <c r="E107" s="194"/>
      <c r="F107" s="194"/>
      <c r="G107" s="194"/>
      <c r="H107" s="194"/>
      <c r="I107" s="194"/>
    </row>
    <row r="108" spans="1:9" ht="15.75" customHeight="1">
      <c r="A108" s="195" t="s">
        <v>63</v>
      </c>
      <c r="B108" s="195"/>
      <c r="C108" s="195"/>
      <c r="D108" s="195"/>
      <c r="E108" s="195"/>
      <c r="F108" s="195"/>
      <c r="G108" s="195"/>
      <c r="H108" s="195"/>
      <c r="I108" s="195"/>
    </row>
    <row r="109" spans="1:9" ht="15.75" customHeight="1">
      <c r="A109" s="11"/>
    </row>
    <row r="110" spans="1:9" ht="15.75" customHeight="1">
      <c r="A110" s="196" t="s">
        <v>9</v>
      </c>
      <c r="B110" s="196"/>
      <c r="C110" s="196"/>
      <c r="D110" s="196"/>
      <c r="E110" s="196"/>
      <c r="F110" s="196"/>
      <c r="G110" s="196"/>
      <c r="H110" s="196"/>
      <c r="I110" s="196"/>
    </row>
    <row r="111" spans="1:9" ht="15.75" customHeight="1">
      <c r="A111" s="4"/>
    </row>
    <row r="112" spans="1:9" ht="15.75" customHeight="1">
      <c r="B112" s="61" t="s">
        <v>10</v>
      </c>
      <c r="C112" s="197" t="s">
        <v>94</v>
      </c>
      <c r="D112" s="197"/>
      <c r="E112" s="197"/>
      <c r="F112" s="68"/>
      <c r="I112" s="64"/>
    </row>
    <row r="113" spans="1:9" ht="15.75" customHeight="1">
      <c r="A113" s="60"/>
      <c r="C113" s="193" t="s">
        <v>11</v>
      </c>
      <c r="D113" s="193"/>
      <c r="E113" s="193"/>
      <c r="F113" s="24"/>
      <c r="I113" s="63" t="s">
        <v>12</v>
      </c>
    </row>
    <row r="114" spans="1:9" ht="15.75" customHeight="1">
      <c r="A114" s="25"/>
      <c r="C114" s="12"/>
      <c r="D114" s="12"/>
      <c r="G114" s="12"/>
      <c r="H114" s="12"/>
    </row>
    <row r="115" spans="1:9" ht="15.75" customHeight="1">
      <c r="B115" s="61" t="s">
        <v>13</v>
      </c>
      <c r="C115" s="198"/>
      <c r="D115" s="198"/>
      <c r="E115" s="198"/>
      <c r="F115" s="69"/>
      <c r="I115" s="64"/>
    </row>
    <row r="116" spans="1:9" ht="15.75" customHeight="1">
      <c r="A116" s="60"/>
      <c r="C116" s="187" t="s">
        <v>11</v>
      </c>
      <c r="D116" s="187"/>
      <c r="E116" s="187"/>
      <c r="F116" s="60"/>
      <c r="I116" s="63" t="s">
        <v>12</v>
      </c>
    </row>
    <row r="117" spans="1:9" ht="15.75" customHeight="1">
      <c r="A117" s="4" t="s">
        <v>14</v>
      </c>
    </row>
    <row r="118" spans="1:9">
      <c r="A118" s="201" t="s">
        <v>15</v>
      </c>
      <c r="B118" s="201"/>
      <c r="C118" s="201"/>
      <c r="D118" s="201"/>
      <c r="E118" s="201"/>
      <c r="F118" s="201"/>
      <c r="G118" s="201"/>
      <c r="H118" s="201"/>
      <c r="I118" s="201"/>
    </row>
    <row r="119" spans="1:9" ht="45" customHeight="1">
      <c r="A119" s="202" t="s">
        <v>16</v>
      </c>
      <c r="B119" s="202"/>
      <c r="C119" s="202"/>
      <c r="D119" s="202"/>
      <c r="E119" s="202"/>
      <c r="F119" s="202"/>
      <c r="G119" s="202"/>
      <c r="H119" s="202"/>
      <c r="I119" s="202"/>
    </row>
    <row r="120" spans="1:9" ht="30" customHeight="1">
      <c r="A120" s="202" t="s">
        <v>17</v>
      </c>
      <c r="B120" s="202"/>
      <c r="C120" s="202"/>
      <c r="D120" s="202"/>
      <c r="E120" s="202"/>
      <c r="F120" s="202"/>
      <c r="G120" s="202"/>
      <c r="H120" s="202"/>
      <c r="I120" s="202"/>
    </row>
    <row r="121" spans="1:9" ht="30" customHeight="1">
      <c r="A121" s="202" t="s">
        <v>21</v>
      </c>
      <c r="B121" s="202"/>
      <c r="C121" s="202"/>
      <c r="D121" s="202"/>
      <c r="E121" s="202"/>
      <c r="F121" s="202"/>
      <c r="G121" s="202"/>
      <c r="H121" s="202"/>
      <c r="I121" s="202"/>
    </row>
    <row r="122" spans="1:9" ht="15" customHeight="1">
      <c r="A122" s="202" t="s">
        <v>20</v>
      </c>
      <c r="B122" s="202"/>
      <c r="C122" s="202"/>
      <c r="D122" s="202"/>
      <c r="E122" s="202"/>
      <c r="F122" s="202"/>
      <c r="G122" s="202"/>
      <c r="H122" s="202"/>
      <c r="I122" s="202"/>
    </row>
  </sheetData>
  <autoFilter ref="I12:I66"/>
  <mergeCells count="30">
    <mergeCell ref="A14:I14"/>
    <mergeCell ref="A15:I15"/>
    <mergeCell ref="A28:I28"/>
    <mergeCell ref="A45:I45"/>
    <mergeCell ref="A56:I56"/>
    <mergeCell ref="A3:I3"/>
    <mergeCell ref="A4:I4"/>
    <mergeCell ref="A5:I5"/>
    <mergeCell ref="A8:I8"/>
    <mergeCell ref="A10:I10"/>
    <mergeCell ref="R71:U71"/>
    <mergeCell ref="C116:E116"/>
    <mergeCell ref="A88:I88"/>
    <mergeCell ref="A102:I102"/>
    <mergeCell ref="B103:G103"/>
    <mergeCell ref="B104:G104"/>
    <mergeCell ref="A106:I106"/>
    <mergeCell ref="A107:I107"/>
    <mergeCell ref="A108:I108"/>
    <mergeCell ref="A110:I110"/>
    <mergeCell ref="C112:E112"/>
    <mergeCell ref="C113:E113"/>
    <mergeCell ref="C115:E115"/>
    <mergeCell ref="A84:I84"/>
    <mergeCell ref="A101:I101"/>
    <mergeCell ref="A118:I118"/>
    <mergeCell ref="A119:I119"/>
    <mergeCell ref="A120:I120"/>
    <mergeCell ref="A121:I121"/>
    <mergeCell ref="A122:I122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rowBreaks count="1" manualBreakCount="1">
    <brk id="109" max="8" man="1"/>
  </rowBreaks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21"/>
  <sheetViews>
    <sheetView topLeftCell="A90" workbookViewId="0">
      <selection activeCell="A105" sqref="A105:I10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219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82" t="s">
        <v>146</v>
      </c>
      <c r="B3" s="182"/>
      <c r="C3" s="182"/>
      <c r="D3" s="182"/>
      <c r="E3" s="182"/>
      <c r="F3" s="182"/>
      <c r="G3" s="182"/>
      <c r="H3" s="182"/>
      <c r="I3" s="182"/>
      <c r="J3" s="3"/>
      <c r="K3" s="3"/>
      <c r="L3" s="3"/>
    </row>
    <row r="4" spans="1:13" ht="31.5" customHeight="1">
      <c r="A4" s="183" t="s">
        <v>124</v>
      </c>
      <c r="B4" s="183"/>
      <c r="C4" s="183"/>
      <c r="D4" s="183"/>
      <c r="E4" s="183"/>
      <c r="F4" s="183"/>
      <c r="G4" s="183"/>
      <c r="H4" s="183"/>
      <c r="I4" s="183"/>
    </row>
    <row r="5" spans="1:13" ht="15.75" customHeight="1">
      <c r="A5" s="182" t="s">
        <v>233</v>
      </c>
      <c r="B5" s="184"/>
      <c r="C5" s="184"/>
      <c r="D5" s="184"/>
      <c r="E5" s="184"/>
      <c r="F5" s="184"/>
      <c r="G5" s="184"/>
      <c r="H5" s="184"/>
      <c r="I5" s="184"/>
      <c r="J5" s="2"/>
      <c r="K5" s="2"/>
      <c r="L5" s="2"/>
      <c r="M5" s="2"/>
    </row>
    <row r="6" spans="1:13" ht="15.75" customHeight="1">
      <c r="A6" s="2"/>
      <c r="B6" s="65"/>
      <c r="C6" s="65"/>
      <c r="D6" s="65"/>
      <c r="E6" s="65"/>
      <c r="F6" s="65"/>
      <c r="G6" s="65"/>
      <c r="H6" s="65"/>
      <c r="I6" s="30">
        <v>43343</v>
      </c>
      <c r="J6" s="2"/>
      <c r="K6" s="2"/>
      <c r="L6" s="2"/>
      <c r="M6" s="2"/>
    </row>
    <row r="7" spans="1:13" ht="15.75" customHeight="1">
      <c r="B7" s="61"/>
      <c r="C7" s="61"/>
      <c r="D7" s="6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85" t="s">
        <v>221</v>
      </c>
      <c r="B8" s="185"/>
      <c r="C8" s="185"/>
      <c r="D8" s="185"/>
      <c r="E8" s="185"/>
      <c r="F8" s="185"/>
      <c r="G8" s="185"/>
      <c r="H8" s="185"/>
      <c r="I8" s="18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86" t="s">
        <v>173</v>
      </c>
      <c r="B10" s="186"/>
      <c r="C10" s="186"/>
      <c r="D10" s="186"/>
      <c r="E10" s="186"/>
      <c r="F10" s="186"/>
      <c r="G10" s="186"/>
      <c r="H10" s="186"/>
      <c r="I10" s="18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7" t="s">
        <v>61</v>
      </c>
      <c r="B14" s="177"/>
      <c r="C14" s="177"/>
      <c r="D14" s="177"/>
      <c r="E14" s="177"/>
      <c r="F14" s="177"/>
      <c r="G14" s="177"/>
      <c r="H14" s="177"/>
      <c r="I14" s="177"/>
      <c r="J14" s="8"/>
      <c r="K14" s="8"/>
      <c r="L14" s="8"/>
      <c r="M14" s="8"/>
    </row>
    <row r="15" spans="1:13" ht="15.75" customHeight="1">
      <c r="A15" s="178" t="s">
        <v>4</v>
      </c>
      <c r="B15" s="178"/>
      <c r="C15" s="178"/>
      <c r="D15" s="178"/>
      <c r="E15" s="178"/>
      <c r="F15" s="178"/>
      <c r="G15" s="178"/>
      <c r="H15" s="178"/>
      <c r="I15" s="178"/>
      <c r="J15" s="8"/>
      <c r="K15" s="8"/>
      <c r="L15" s="8"/>
      <c r="M15" s="8"/>
    </row>
    <row r="16" spans="1:13" ht="15.75" customHeight="1">
      <c r="A16" s="29">
        <v>1</v>
      </c>
      <c r="B16" s="71" t="s">
        <v>90</v>
      </c>
      <c r="C16" s="72" t="s">
        <v>99</v>
      </c>
      <c r="D16" s="71" t="s">
        <v>125</v>
      </c>
      <c r="E16" s="73">
        <v>92.5</v>
      </c>
      <c r="F16" s="74">
        <f>SUM(E16*156/100)</f>
        <v>144.30000000000001</v>
      </c>
      <c r="G16" s="74">
        <v>230</v>
      </c>
      <c r="H16" s="78">
        <f t="shared" ref="H16:H25" si="0">SUM(F16*G16/1000)</f>
        <v>33.189</v>
      </c>
      <c r="I16" s="13">
        <f>F16/12*G16</f>
        <v>2765.75</v>
      </c>
      <c r="J16" s="8"/>
      <c r="K16" s="8"/>
      <c r="L16" s="8"/>
      <c r="M16" s="8"/>
    </row>
    <row r="17" spans="1:13" ht="15.75" customHeight="1">
      <c r="A17" s="29">
        <v>2</v>
      </c>
      <c r="B17" s="71" t="s">
        <v>91</v>
      </c>
      <c r="C17" s="72" t="s">
        <v>99</v>
      </c>
      <c r="D17" s="71" t="s">
        <v>126</v>
      </c>
      <c r="E17" s="73">
        <v>288.8</v>
      </c>
      <c r="F17" s="74">
        <f>SUM(E17*104/100)</f>
        <v>300.35200000000003</v>
      </c>
      <c r="G17" s="74">
        <v>230</v>
      </c>
      <c r="H17" s="78">
        <f t="shared" si="0"/>
        <v>69.080960000000005</v>
      </c>
      <c r="I17" s="13">
        <f>F17/12*G17</f>
        <v>5756.7466666666678</v>
      </c>
      <c r="J17" s="22"/>
      <c r="K17" s="8"/>
      <c r="L17" s="8"/>
      <c r="M17" s="8"/>
    </row>
    <row r="18" spans="1:13" ht="15.75" customHeight="1">
      <c r="A18" s="29">
        <v>3</v>
      </c>
      <c r="B18" s="71" t="s">
        <v>92</v>
      </c>
      <c r="C18" s="72" t="s">
        <v>99</v>
      </c>
      <c r="D18" s="71" t="s">
        <v>149</v>
      </c>
      <c r="E18" s="73">
        <f>SUM(E16+E17)</f>
        <v>381.3</v>
      </c>
      <c r="F18" s="74">
        <f>SUM(E18*12/100)</f>
        <v>45.756</v>
      </c>
      <c r="G18" s="74">
        <v>661.67</v>
      </c>
      <c r="H18" s="78">
        <f t="shared" si="0"/>
        <v>30.275372519999998</v>
      </c>
      <c r="I18" s="13">
        <f>F18/12*G18</f>
        <v>2522.9477099999999</v>
      </c>
      <c r="J18" s="22"/>
      <c r="K18" s="8"/>
      <c r="L18" s="8"/>
      <c r="M18" s="8"/>
    </row>
    <row r="19" spans="1:13" ht="15.75" hidden="1" customHeight="1">
      <c r="A19" s="29">
        <v>4</v>
      </c>
      <c r="B19" s="71" t="s">
        <v>107</v>
      </c>
      <c r="C19" s="72" t="s">
        <v>108</v>
      </c>
      <c r="D19" s="71" t="s">
        <v>109</v>
      </c>
      <c r="E19" s="73">
        <v>19.2</v>
      </c>
      <c r="F19" s="74">
        <f>SUM(E19/10)</f>
        <v>1.92</v>
      </c>
      <c r="G19" s="74">
        <v>223.17</v>
      </c>
      <c r="H19" s="78">
        <f t="shared" si="0"/>
        <v>0.42848639999999993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4</v>
      </c>
      <c r="B20" s="71" t="s">
        <v>98</v>
      </c>
      <c r="C20" s="72" t="s">
        <v>99</v>
      </c>
      <c r="D20" s="71" t="s">
        <v>153</v>
      </c>
      <c r="E20" s="73">
        <v>27.3</v>
      </c>
      <c r="F20" s="74">
        <f>SUM(E20*2/100)</f>
        <v>0.54600000000000004</v>
      </c>
      <c r="G20" s="74">
        <v>285.76</v>
      </c>
      <c r="H20" s="78">
        <f t="shared" si="0"/>
        <v>0.15602495999999999</v>
      </c>
      <c r="I20" s="13">
        <f>F20/2*G20</f>
        <v>78.012479999999996</v>
      </c>
      <c r="J20" s="22"/>
      <c r="K20" s="8"/>
      <c r="L20" s="8"/>
      <c r="M20" s="8"/>
    </row>
    <row r="21" spans="1:13" ht="15.75" hidden="1" customHeight="1">
      <c r="A21" s="29">
        <v>5</v>
      </c>
      <c r="B21" s="71" t="s">
        <v>105</v>
      </c>
      <c r="C21" s="72" t="s">
        <v>99</v>
      </c>
      <c r="D21" s="71" t="s">
        <v>153</v>
      </c>
      <c r="E21" s="73">
        <v>9.08</v>
      </c>
      <c r="F21" s="74">
        <f>SUM(E21*2/100)</f>
        <v>0.18160000000000001</v>
      </c>
      <c r="G21" s="74">
        <v>283.44</v>
      </c>
      <c r="H21" s="78">
        <f>SUM(F21*G21/1000)</f>
        <v>5.1472704000000001E-2</v>
      </c>
      <c r="I21" s="13">
        <f>F21/2*G21</f>
        <v>25.736352</v>
      </c>
      <c r="J21" s="22"/>
      <c r="K21" s="8"/>
      <c r="L21" s="8"/>
      <c r="M21" s="8"/>
    </row>
    <row r="22" spans="1:13" ht="15.75" hidden="1" customHeight="1">
      <c r="A22" s="29">
        <v>7</v>
      </c>
      <c r="B22" s="71" t="s">
        <v>100</v>
      </c>
      <c r="C22" s="72" t="s">
        <v>54</v>
      </c>
      <c r="D22" s="71" t="s">
        <v>109</v>
      </c>
      <c r="E22" s="76">
        <v>30</v>
      </c>
      <c r="F22" s="74">
        <f>SUM(E22/100)</f>
        <v>0.3</v>
      </c>
      <c r="G22" s="74">
        <v>58.08</v>
      </c>
      <c r="H22" s="78">
        <f t="shared" si="0"/>
        <v>1.7423999999999999E-2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6</v>
      </c>
      <c r="B23" s="71" t="s">
        <v>101</v>
      </c>
      <c r="C23" s="72" t="s">
        <v>54</v>
      </c>
      <c r="D23" s="71" t="s">
        <v>109</v>
      </c>
      <c r="E23" s="73">
        <v>20</v>
      </c>
      <c r="F23" s="74">
        <f>SUM(E23/100)</f>
        <v>0.2</v>
      </c>
      <c r="G23" s="74">
        <v>511.12</v>
      </c>
      <c r="H23" s="78">
        <f t="shared" si="0"/>
        <v>0.10222400000000001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71" t="s">
        <v>102</v>
      </c>
      <c r="C24" s="72" t="s">
        <v>54</v>
      </c>
      <c r="D24" s="71" t="s">
        <v>109</v>
      </c>
      <c r="E24" s="73">
        <v>8.5</v>
      </c>
      <c r="F24" s="74">
        <f>SUM(E24/100)</f>
        <v>8.5000000000000006E-2</v>
      </c>
      <c r="G24" s="74">
        <v>683.05</v>
      </c>
      <c r="H24" s="78">
        <f t="shared" si="0"/>
        <v>5.805925E-2</v>
      </c>
      <c r="I24" s="13">
        <v>0</v>
      </c>
      <c r="J24" s="22"/>
      <c r="K24" s="8"/>
      <c r="L24" s="8"/>
      <c r="M24" s="8"/>
    </row>
    <row r="25" spans="1:13" ht="15.75" hidden="1" customHeight="1">
      <c r="A25" s="94">
        <v>7</v>
      </c>
      <c r="B25" s="83" t="s">
        <v>106</v>
      </c>
      <c r="C25" s="84" t="s">
        <v>54</v>
      </c>
      <c r="D25" s="83" t="s">
        <v>55</v>
      </c>
      <c r="E25" s="81">
        <v>20</v>
      </c>
      <c r="F25" s="85">
        <f>SUM(E25/100)</f>
        <v>0.2</v>
      </c>
      <c r="G25" s="85">
        <v>283.44</v>
      </c>
      <c r="H25" s="82">
        <f t="shared" si="0"/>
        <v>5.6688000000000002E-2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4</v>
      </c>
      <c r="B26" s="34" t="s">
        <v>66</v>
      </c>
      <c r="C26" s="44" t="s">
        <v>33</v>
      </c>
      <c r="D26" s="34" t="s">
        <v>154</v>
      </c>
      <c r="E26" s="118">
        <v>0.05</v>
      </c>
      <c r="F26" s="33">
        <f>SUM(E26*182)</f>
        <v>9.1</v>
      </c>
      <c r="G26" s="33">
        <v>264.85000000000002</v>
      </c>
      <c r="H26" s="119">
        <f t="shared" ref="H26:H27" si="1">SUM(F26*G26/1000)</f>
        <v>2.4101350000000004</v>
      </c>
      <c r="I26" s="13">
        <f>F26/12*G26</f>
        <v>200.84458333333333</v>
      </c>
      <c r="J26" s="23"/>
    </row>
    <row r="27" spans="1:13" ht="15.75" customHeight="1">
      <c r="A27" s="29">
        <v>5</v>
      </c>
      <c r="B27" s="120" t="s">
        <v>23</v>
      </c>
      <c r="C27" s="44" t="s">
        <v>24</v>
      </c>
      <c r="D27" s="120" t="s">
        <v>132</v>
      </c>
      <c r="E27" s="121">
        <v>3053.4</v>
      </c>
      <c r="F27" s="33">
        <f>SUM(E27*12)</f>
        <v>36640.800000000003</v>
      </c>
      <c r="G27" s="33">
        <v>4.09</v>
      </c>
      <c r="H27" s="119">
        <f t="shared" si="1"/>
        <v>149.860872</v>
      </c>
      <c r="I27" s="13">
        <f>F27/12*G27</f>
        <v>12488.405999999999</v>
      </c>
      <c r="J27" s="23"/>
    </row>
    <row r="28" spans="1:13" ht="15.75" customHeight="1">
      <c r="A28" s="178" t="s">
        <v>150</v>
      </c>
      <c r="B28" s="178"/>
      <c r="C28" s="178"/>
      <c r="D28" s="178"/>
      <c r="E28" s="178"/>
      <c r="F28" s="178"/>
      <c r="G28" s="178"/>
      <c r="H28" s="178"/>
      <c r="I28" s="178"/>
      <c r="J28" s="22"/>
      <c r="K28" s="8"/>
      <c r="L28" s="8"/>
      <c r="M28" s="8"/>
    </row>
    <row r="29" spans="1:13" ht="15.75" customHeight="1">
      <c r="A29" s="96"/>
      <c r="B29" s="104" t="s">
        <v>28</v>
      </c>
      <c r="C29" s="98"/>
      <c r="D29" s="97"/>
      <c r="E29" s="99"/>
      <c r="F29" s="100"/>
      <c r="G29" s="100"/>
      <c r="H29" s="105"/>
      <c r="I29" s="106"/>
      <c r="J29" s="22"/>
      <c r="K29" s="8"/>
      <c r="L29" s="8"/>
      <c r="M29" s="8"/>
    </row>
    <row r="30" spans="1:13" ht="15.75" customHeight="1">
      <c r="A30" s="29">
        <v>6</v>
      </c>
      <c r="B30" s="71" t="s">
        <v>110</v>
      </c>
      <c r="C30" s="72" t="s">
        <v>111</v>
      </c>
      <c r="D30" s="71" t="s">
        <v>127</v>
      </c>
      <c r="E30" s="74">
        <v>317.7</v>
      </c>
      <c r="F30" s="74">
        <f>SUM(E30*52/1000)</f>
        <v>16.520399999999999</v>
      </c>
      <c r="G30" s="74">
        <v>204.44</v>
      </c>
      <c r="H30" s="78">
        <f t="shared" ref="H30:H36" si="2">SUM(F30*G30/1000)</f>
        <v>3.3774305759999996</v>
      </c>
      <c r="I30" s="13">
        <f t="shared" ref="I30:I34" si="3">F30/6*G30</f>
        <v>562.90509599999996</v>
      </c>
      <c r="J30" s="22"/>
      <c r="K30" s="8"/>
      <c r="L30" s="8"/>
      <c r="M30" s="8"/>
    </row>
    <row r="31" spans="1:13" ht="31.5" customHeight="1">
      <c r="A31" s="29">
        <v>7</v>
      </c>
      <c r="B31" s="71" t="s">
        <v>137</v>
      </c>
      <c r="C31" s="72" t="s">
        <v>111</v>
      </c>
      <c r="D31" s="71" t="s">
        <v>128</v>
      </c>
      <c r="E31" s="74">
        <v>146.1</v>
      </c>
      <c r="F31" s="74">
        <f>SUM(E31*78/1000)</f>
        <v>11.395799999999999</v>
      </c>
      <c r="G31" s="74">
        <v>339.21</v>
      </c>
      <c r="H31" s="78">
        <f t="shared" si="2"/>
        <v>3.8655693179999995</v>
      </c>
      <c r="I31" s="13">
        <f t="shared" si="3"/>
        <v>644.26155299999994</v>
      </c>
      <c r="J31" s="22"/>
      <c r="K31" s="8"/>
      <c r="L31" s="8"/>
      <c r="M31" s="8"/>
    </row>
    <row r="32" spans="1:13" ht="15.75" hidden="1" customHeight="1">
      <c r="A32" s="29">
        <v>11</v>
      </c>
      <c r="B32" s="71" t="s">
        <v>27</v>
      </c>
      <c r="C32" s="72" t="s">
        <v>111</v>
      </c>
      <c r="D32" s="71" t="s">
        <v>55</v>
      </c>
      <c r="E32" s="74">
        <f>E30</f>
        <v>317.7</v>
      </c>
      <c r="F32" s="74">
        <f>SUM(E32/1000)</f>
        <v>0.31769999999999998</v>
      </c>
      <c r="G32" s="74">
        <v>3961.23</v>
      </c>
      <c r="H32" s="78">
        <f t="shared" si="2"/>
        <v>1.2584827709999999</v>
      </c>
      <c r="I32" s="13">
        <f>F32*G32</f>
        <v>1258.482771</v>
      </c>
      <c r="J32" s="22"/>
      <c r="K32" s="8"/>
      <c r="L32" s="8"/>
      <c r="M32" s="8"/>
    </row>
    <row r="33" spans="1:14" ht="15.75" customHeight="1">
      <c r="A33" s="29">
        <v>8</v>
      </c>
      <c r="B33" s="71" t="s">
        <v>155</v>
      </c>
      <c r="C33" s="72" t="s">
        <v>41</v>
      </c>
      <c r="D33" s="71" t="s">
        <v>65</v>
      </c>
      <c r="E33" s="74">
        <v>5</v>
      </c>
      <c r="F33" s="74">
        <f>E33*155/100</f>
        <v>7.75</v>
      </c>
      <c r="G33" s="74">
        <v>1707.63</v>
      </c>
      <c r="H33" s="78">
        <f t="shared" si="2"/>
        <v>13.234132500000001</v>
      </c>
      <c r="I33" s="13">
        <f t="shared" si="3"/>
        <v>2205.6887500000003</v>
      </c>
      <c r="J33" s="22"/>
      <c r="K33" s="8"/>
      <c r="L33" s="8"/>
      <c r="M33" s="8"/>
    </row>
    <row r="34" spans="1:14" ht="15.75" customHeight="1">
      <c r="A34" s="29">
        <v>9</v>
      </c>
      <c r="B34" s="71" t="s">
        <v>112</v>
      </c>
      <c r="C34" s="72" t="s">
        <v>31</v>
      </c>
      <c r="D34" s="71" t="s">
        <v>65</v>
      </c>
      <c r="E34" s="80">
        <f>1/6</f>
        <v>0.16666666666666666</v>
      </c>
      <c r="F34" s="74">
        <f>155/6</f>
        <v>25.833333333333332</v>
      </c>
      <c r="G34" s="74">
        <v>74.349999999999994</v>
      </c>
      <c r="H34" s="78">
        <f t="shared" si="2"/>
        <v>1.920708333333333</v>
      </c>
      <c r="I34" s="13">
        <f t="shared" si="3"/>
        <v>320.11805555555554</v>
      </c>
      <c r="J34" s="22"/>
      <c r="K34" s="8"/>
      <c r="L34" s="8"/>
      <c r="M34" s="8"/>
    </row>
    <row r="35" spans="1:14" ht="15.75" hidden="1" customHeight="1">
      <c r="A35" s="29"/>
      <c r="B35" s="34" t="s">
        <v>67</v>
      </c>
      <c r="C35" s="44" t="s">
        <v>33</v>
      </c>
      <c r="D35" s="34" t="s">
        <v>69</v>
      </c>
      <c r="E35" s="121"/>
      <c r="F35" s="33">
        <v>2</v>
      </c>
      <c r="G35" s="33">
        <v>250.92</v>
      </c>
      <c r="H35" s="119">
        <f t="shared" si="2"/>
        <v>0.50183999999999995</v>
      </c>
      <c r="I35" s="13">
        <v>0</v>
      </c>
      <c r="J35" s="22"/>
      <c r="K35" s="8"/>
    </row>
    <row r="36" spans="1:14" ht="15.75" hidden="1" customHeight="1">
      <c r="A36" s="29"/>
      <c r="B36" s="34" t="s">
        <v>68</v>
      </c>
      <c r="C36" s="44" t="s">
        <v>32</v>
      </c>
      <c r="D36" s="34" t="s">
        <v>69</v>
      </c>
      <c r="E36" s="121"/>
      <c r="F36" s="33">
        <v>1</v>
      </c>
      <c r="G36" s="33">
        <v>1490.31</v>
      </c>
      <c r="H36" s="119">
        <f t="shared" si="2"/>
        <v>1.49031</v>
      </c>
      <c r="I36" s="13"/>
      <c r="J36" s="22"/>
      <c r="K36" s="8"/>
    </row>
    <row r="37" spans="1:14" ht="15.75" hidden="1" customHeight="1">
      <c r="A37" s="29"/>
      <c r="B37" s="93" t="s">
        <v>5</v>
      </c>
      <c r="C37" s="72"/>
      <c r="D37" s="71"/>
      <c r="E37" s="73"/>
      <c r="F37" s="74"/>
      <c r="G37" s="74"/>
      <c r="H37" s="78" t="s">
        <v>132</v>
      </c>
      <c r="I37" s="79"/>
      <c r="J37" s="23"/>
    </row>
    <row r="38" spans="1:14" ht="15.75" hidden="1" customHeight="1">
      <c r="A38" s="29">
        <v>9</v>
      </c>
      <c r="B38" s="71" t="s">
        <v>26</v>
      </c>
      <c r="C38" s="72" t="s">
        <v>32</v>
      </c>
      <c r="D38" s="71"/>
      <c r="E38" s="73"/>
      <c r="F38" s="74">
        <v>3</v>
      </c>
      <c r="G38" s="74">
        <v>2003</v>
      </c>
      <c r="H38" s="78">
        <f t="shared" ref="H38:H44" si="4">SUM(F38*G38/1000)</f>
        <v>6.0090000000000003</v>
      </c>
      <c r="I38" s="13">
        <f t="shared" ref="I38:I44" si="5">F38/6*G38</f>
        <v>1001.5</v>
      </c>
      <c r="J38" s="23"/>
    </row>
    <row r="39" spans="1:14" ht="15.75" hidden="1" customHeight="1">
      <c r="A39" s="29">
        <v>10</v>
      </c>
      <c r="B39" s="71" t="s">
        <v>70</v>
      </c>
      <c r="C39" s="72" t="s">
        <v>29</v>
      </c>
      <c r="D39" s="71" t="s">
        <v>156</v>
      </c>
      <c r="E39" s="74">
        <v>160.6</v>
      </c>
      <c r="F39" s="74">
        <f>SUM(E39*18/1000)</f>
        <v>2.8907999999999996</v>
      </c>
      <c r="G39" s="74">
        <v>2757.78</v>
      </c>
      <c r="H39" s="78">
        <f t="shared" si="4"/>
        <v>7.972190423999999</v>
      </c>
      <c r="I39" s="13">
        <f t="shared" si="5"/>
        <v>1328.698404</v>
      </c>
      <c r="J39" s="23"/>
    </row>
    <row r="40" spans="1:14" ht="15.75" hidden="1" customHeight="1">
      <c r="A40" s="29">
        <v>11</v>
      </c>
      <c r="B40" s="71" t="s">
        <v>71</v>
      </c>
      <c r="C40" s="72" t="s">
        <v>29</v>
      </c>
      <c r="D40" s="71" t="s">
        <v>129</v>
      </c>
      <c r="E40" s="73">
        <v>89.1</v>
      </c>
      <c r="F40" s="74">
        <f>SUM(E40*155/1000)</f>
        <v>13.810499999999999</v>
      </c>
      <c r="G40" s="74">
        <v>460.02</v>
      </c>
      <c r="H40" s="78">
        <f t="shared" si="4"/>
        <v>6.3531062099999991</v>
      </c>
      <c r="I40" s="13">
        <f t="shared" si="5"/>
        <v>1058.8510349999999</v>
      </c>
      <c r="J40" s="23"/>
    </row>
    <row r="41" spans="1:14" ht="15.75" hidden="1" customHeight="1">
      <c r="A41" s="29">
        <v>12</v>
      </c>
      <c r="B41" s="71" t="s">
        <v>157</v>
      </c>
      <c r="C41" s="72" t="s">
        <v>158</v>
      </c>
      <c r="D41" s="71" t="s">
        <v>69</v>
      </c>
      <c r="E41" s="73"/>
      <c r="F41" s="74">
        <v>39</v>
      </c>
      <c r="G41" s="74">
        <v>301.70999999999998</v>
      </c>
      <c r="H41" s="78">
        <f t="shared" si="4"/>
        <v>11.766689999999999</v>
      </c>
      <c r="I41" s="13">
        <v>0</v>
      </c>
      <c r="J41" s="23"/>
    </row>
    <row r="42" spans="1:14" ht="47.25" hidden="1" customHeight="1">
      <c r="A42" s="29">
        <v>13</v>
      </c>
      <c r="B42" s="71" t="s">
        <v>88</v>
      </c>
      <c r="C42" s="72" t="s">
        <v>111</v>
      </c>
      <c r="D42" s="71" t="s">
        <v>159</v>
      </c>
      <c r="E42" s="74">
        <v>46.5</v>
      </c>
      <c r="F42" s="74">
        <f>SUM(E42*35/1000)</f>
        <v>1.6274999999999999</v>
      </c>
      <c r="G42" s="74">
        <v>7611.16</v>
      </c>
      <c r="H42" s="78">
        <f t="shared" si="4"/>
        <v>12.3871629</v>
      </c>
      <c r="I42" s="13">
        <f t="shared" si="5"/>
        <v>2064.5271499999999</v>
      </c>
      <c r="J42" s="23"/>
      <c r="L42" s="19"/>
      <c r="M42" s="20"/>
      <c r="N42" s="21"/>
    </row>
    <row r="43" spans="1:14" ht="15.75" hidden="1" customHeight="1">
      <c r="A43" s="94">
        <v>14</v>
      </c>
      <c r="B43" s="71" t="s">
        <v>113</v>
      </c>
      <c r="C43" s="72" t="s">
        <v>111</v>
      </c>
      <c r="D43" s="71" t="s">
        <v>72</v>
      </c>
      <c r="E43" s="74">
        <v>89.1</v>
      </c>
      <c r="F43" s="74">
        <f>SUM(E43*45/1000)</f>
        <v>4.0094999999999992</v>
      </c>
      <c r="G43" s="74">
        <v>562.25</v>
      </c>
      <c r="H43" s="78">
        <f t="shared" si="4"/>
        <v>2.2543413749999996</v>
      </c>
      <c r="I43" s="13">
        <f t="shared" si="5"/>
        <v>375.72356249999996</v>
      </c>
      <c r="J43" s="23"/>
      <c r="L43" s="19"/>
      <c r="M43" s="20"/>
      <c r="N43" s="21"/>
    </row>
    <row r="44" spans="1:14" ht="15.75" hidden="1" customHeight="1">
      <c r="A44" s="122"/>
      <c r="B44" s="71" t="s">
        <v>73</v>
      </c>
      <c r="C44" s="72" t="s">
        <v>33</v>
      </c>
      <c r="D44" s="71"/>
      <c r="E44" s="73"/>
      <c r="F44" s="74">
        <v>0.9</v>
      </c>
      <c r="G44" s="74">
        <v>974.83</v>
      </c>
      <c r="H44" s="78">
        <f t="shared" si="4"/>
        <v>0.8773470000000001</v>
      </c>
      <c r="I44" s="13">
        <f t="shared" si="5"/>
        <v>146.22450000000001</v>
      </c>
      <c r="J44" s="23"/>
      <c r="L44" s="19"/>
      <c r="M44" s="20"/>
      <c r="N44" s="21"/>
    </row>
    <row r="45" spans="1:14" ht="15.75" hidden="1" customHeight="1">
      <c r="A45" s="179" t="s">
        <v>138</v>
      </c>
      <c r="B45" s="180"/>
      <c r="C45" s="180"/>
      <c r="D45" s="180"/>
      <c r="E45" s="180"/>
      <c r="F45" s="180"/>
      <c r="G45" s="180"/>
      <c r="H45" s="180"/>
      <c r="I45" s="181"/>
      <c r="J45" s="23"/>
      <c r="L45" s="19"/>
      <c r="M45" s="20"/>
      <c r="N45" s="21"/>
    </row>
    <row r="46" spans="1:14" ht="15.75" hidden="1" customHeight="1">
      <c r="A46" s="96"/>
      <c r="B46" s="34" t="s">
        <v>114</v>
      </c>
      <c r="C46" s="44" t="s">
        <v>111</v>
      </c>
      <c r="D46" s="34" t="s">
        <v>43</v>
      </c>
      <c r="E46" s="121">
        <v>1632.75</v>
      </c>
      <c r="F46" s="33">
        <f>SUM(E46*2/1000)</f>
        <v>3.2654999999999998</v>
      </c>
      <c r="G46" s="36">
        <v>1062</v>
      </c>
      <c r="H46" s="119">
        <f t="shared" ref="H46:H55" si="6">SUM(F46*G46/1000)</f>
        <v>3.4679609999999998</v>
      </c>
      <c r="I46" s="13">
        <f>F46/2*G46</f>
        <v>1733.9804999999999</v>
      </c>
      <c r="J46" s="23"/>
      <c r="L46" s="19"/>
      <c r="M46" s="20"/>
      <c r="N46" s="21"/>
    </row>
    <row r="47" spans="1:14" ht="15.75" hidden="1" customHeight="1">
      <c r="A47" s="29"/>
      <c r="B47" s="34" t="s">
        <v>36</v>
      </c>
      <c r="C47" s="44" t="s">
        <v>111</v>
      </c>
      <c r="D47" s="34" t="s">
        <v>43</v>
      </c>
      <c r="E47" s="121">
        <v>53.75</v>
      </c>
      <c r="F47" s="33">
        <f>SUM(E47*2/1000)</f>
        <v>0.1075</v>
      </c>
      <c r="G47" s="36">
        <v>759.98</v>
      </c>
      <c r="H47" s="119">
        <f t="shared" si="6"/>
        <v>8.1697850000000002E-2</v>
      </c>
      <c r="I47" s="13">
        <f t="shared" ref="I47:I54" si="7">F47/2*G47</f>
        <v>40.848925000000001</v>
      </c>
      <c r="J47" s="23"/>
      <c r="L47" s="19"/>
      <c r="M47" s="20"/>
      <c r="N47" s="21"/>
    </row>
    <row r="48" spans="1:14" ht="15.75" hidden="1" customHeight="1">
      <c r="A48" s="29"/>
      <c r="B48" s="34" t="s">
        <v>37</v>
      </c>
      <c r="C48" s="44" t="s">
        <v>111</v>
      </c>
      <c r="D48" s="34" t="s">
        <v>43</v>
      </c>
      <c r="E48" s="121">
        <v>2285.6</v>
      </c>
      <c r="F48" s="33">
        <f>SUM(E48*2/1000)</f>
        <v>4.5712000000000002</v>
      </c>
      <c r="G48" s="36">
        <v>759.98</v>
      </c>
      <c r="H48" s="119">
        <f t="shared" si="6"/>
        <v>3.4740205760000005</v>
      </c>
      <c r="I48" s="13">
        <f t="shared" si="7"/>
        <v>1737.0102880000002</v>
      </c>
      <c r="J48" s="23"/>
      <c r="L48" s="19"/>
      <c r="M48" s="20"/>
      <c r="N48" s="21"/>
    </row>
    <row r="49" spans="1:14" ht="15.75" hidden="1" customHeight="1">
      <c r="A49" s="29"/>
      <c r="B49" s="34" t="s">
        <v>38</v>
      </c>
      <c r="C49" s="44" t="s">
        <v>111</v>
      </c>
      <c r="D49" s="34" t="s">
        <v>43</v>
      </c>
      <c r="E49" s="121">
        <v>1860</v>
      </c>
      <c r="F49" s="33">
        <f>SUM(E49*2/1000)</f>
        <v>3.72</v>
      </c>
      <c r="G49" s="36">
        <v>795.82</v>
      </c>
      <c r="H49" s="119">
        <f t="shared" si="6"/>
        <v>2.9604504</v>
      </c>
      <c r="I49" s="13">
        <f t="shared" si="7"/>
        <v>1480.2252000000001</v>
      </c>
      <c r="J49" s="23"/>
      <c r="L49" s="19"/>
      <c r="M49" s="20"/>
      <c r="N49" s="21"/>
    </row>
    <row r="50" spans="1:14" ht="15.75" hidden="1" customHeight="1">
      <c r="A50" s="29"/>
      <c r="B50" s="34" t="s">
        <v>34</v>
      </c>
      <c r="C50" s="44" t="s">
        <v>35</v>
      </c>
      <c r="D50" s="34" t="s">
        <v>43</v>
      </c>
      <c r="E50" s="121">
        <v>120.5</v>
      </c>
      <c r="F50" s="33">
        <f>SUM(E50*2/100)</f>
        <v>2.41</v>
      </c>
      <c r="G50" s="36">
        <v>95.49</v>
      </c>
      <c r="H50" s="119">
        <f t="shared" si="6"/>
        <v>0.2301309</v>
      </c>
      <c r="I50" s="13">
        <f t="shared" si="7"/>
        <v>115.06545</v>
      </c>
      <c r="J50" s="23"/>
      <c r="L50" s="19"/>
      <c r="M50" s="20"/>
      <c r="N50" s="21"/>
    </row>
    <row r="51" spans="1:14" ht="15.75" hidden="1" customHeight="1">
      <c r="A51" s="29">
        <v>15</v>
      </c>
      <c r="B51" s="34" t="s">
        <v>58</v>
      </c>
      <c r="C51" s="44" t="s">
        <v>111</v>
      </c>
      <c r="D51" s="34" t="s">
        <v>141</v>
      </c>
      <c r="E51" s="121">
        <v>3053.4</v>
      </c>
      <c r="F51" s="33">
        <f>SUM(E51*5/1000)</f>
        <v>15.266999999999999</v>
      </c>
      <c r="G51" s="36">
        <v>1591.6</v>
      </c>
      <c r="H51" s="119">
        <f t="shared" si="6"/>
        <v>24.298957199999997</v>
      </c>
      <c r="I51" s="13">
        <f>F51/5*G51</f>
        <v>4859.79144</v>
      </c>
      <c r="J51" s="23"/>
      <c r="L51" s="19"/>
      <c r="M51" s="20"/>
      <c r="N51" s="21"/>
    </row>
    <row r="52" spans="1:14" ht="31.5" hidden="1" customHeight="1">
      <c r="A52" s="29"/>
      <c r="B52" s="34" t="s">
        <v>115</v>
      </c>
      <c r="C52" s="44" t="s">
        <v>111</v>
      </c>
      <c r="D52" s="34" t="s">
        <v>43</v>
      </c>
      <c r="E52" s="121">
        <f>E51</f>
        <v>3053.4</v>
      </c>
      <c r="F52" s="33">
        <f>SUM(E52*2/1000)</f>
        <v>6.1067999999999998</v>
      </c>
      <c r="G52" s="36">
        <v>1591.6</v>
      </c>
      <c r="H52" s="119">
        <f t="shared" si="6"/>
        <v>9.7195828800000008</v>
      </c>
      <c r="I52" s="13">
        <f t="shared" si="7"/>
        <v>4859.79144</v>
      </c>
      <c r="J52" s="23"/>
      <c r="L52" s="19"/>
      <c r="M52" s="20"/>
      <c r="N52" s="21"/>
    </row>
    <row r="53" spans="1:14" ht="31.5" hidden="1" customHeight="1">
      <c r="A53" s="29"/>
      <c r="B53" s="34" t="s">
        <v>133</v>
      </c>
      <c r="C53" s="44" t="s">
        <v>39</v>
      </c>
      <c r="D53" s="34" t="s">
        <v>43</v>
      </c>
      <c r="E53" s="121">
        <v>20</v>
      </c>
      <c r="F53" s="33">
        <f>SUM(E53*2/100)</f>
        <v>0.4</v>
      </c>
      <c r="G53" s="36">
        <v>3581.13</v>
      </c>
      <c r="H53" s="119">
        <f t="shared" si="6"/>
        <v>1.4324520000000003</v>
      </c>
      <c r="I53" s="13">
        <f t="shared" si="7"/>
        <v>716.22600000000011</v>
      </c>
      <c r="J53" s="23"/>
      <c r="L53" s="19"/>
      <c r="M53" s="20"/>
      <c r="N53" s="21"/>
    </row>
    <row r="54" spans="1:14" ht="15.75" hidden="1" customHeight="1">
      <c r="A54" s="29"/>
      <c r="B54" s="34" t="s">
        <v>40</v>
      </c>
      <c r="C54" s="44" t="s">
        <v>41</v>
      </c>
      <c r="D54" s="34" t="s">
        <v>43</v>
      </c>
      <c r="E54" s="121">
        <v>1</v>
      </c>
      <c r="F54" s="33">
        <v>0.02</v>
      </c>
      <c r="G54" s="36">
        <v>7412.92</v>
      </c>
      <c r="H54" s="119">
        <f t="shared" si="6"/>
        <v>0.14825839999999998</v>
      </c>
      <c r="I54" s="13">
        <f t="shared" si="7"/>
        <v>74.129199999999997</v>
      </c>
      <c r="J54" s="23"/>
      <c r="L54" s="19"/>
      <c r="M54" s="20"/>
      <c r="N54" s="21"/>
    </row>
    <row r="55" spans="1:14" ht="15.75" hidden="1" customHeight="1">
      <c r="A55" s="29">
        <v>16</v>
      </c>
      <c r="B55" s="34" t="s">
        <v>42</v>
      </c>
      <c r="C55" s="44" t="s">
        <v>95</v>
      </c>
      <c r="D55" s="34" t="s">
        <v>74</v>
      </c>
      <c r="E55" s="121">
        <v>128</v>
      </c>
      <c r="F55" s="33">
        <f>SUM(E55)*3</f>
        <v>384</v>
      </c>
      <c r="G55" s="37">
        <v>86.15</v>
      </c>
      <c r="H55" s="119">
        <f t="shared" si="6"/>
        <v>33.081600000000009</v>
      </c>
      <c r="I55" s="13">
        <f>E55*G55</f>
        <v>11027.2</v>
      </c>
      <c r="J55" s="23"/>
      <c r="L55" s="19"/>
      <c r="M55" s="20"/>
      <c r="N55" s="21"/>
    </row>
    <row r="56" spans="1:14" ht="15.75" customHeight="1">
      <c r="A56" s="203" t="s">
        <v>143</v>
      </c>
      <c r="B56" s="204"/>
      <c r="C56" s="204"/>
      <c r="D56" s="204"/>
      <c r="E56" s="204"/>
      <c r="F56" s="204"/>
      <c r="G56" s="204"/>
      <c r="H56" s="204"/>
      <c r="I56" s="205"/>
      <c r="J56" s="23"/>
      <c r="L56" s="19"/>
      <c r="M56" s="20"/>
      <c r="N56" s="21"/>
    </row>
    <row r="57" spans="1:14" ht="15.75" hidden="1" customHeight="1">
      <c r="A57" s="29"/>
      <c r="B57" s="93" t="s">
        <v>44</v>
      </c>
      <c r="C57" s="72"/>
      <c r="D57" s="71"/>
      <c r="E57" s="73"/>
      <c r="F57" s="74"/>
      <c r="G57" s="74"/>
      <c r="H57" s="78"/>
      <c r="I57" s="79"/>
      <c r="J57" s="23"/>
      <c r="L57" s="19"/>
      <c r="M57" s="20"/>
      <c r="N57" s="21"/>
    </row>
    <row r="58" spans="1:14" ht="31.5" hidden="1" customHeight="1">
      <c r="A58" s="29">
        <v>17</v>
      </c>
      <c r="B58" s="71" t="s">
        <v>116</v>
      </c>
      <c r="C58" s="72" t="s">
        <v>99</v>
      </c>
      <c r="D58" s="71" t="s">
        <v>117</v>
      </c>
      <c r="E58" s="73">
        <v>92.7</v>
      </c>
      <c r="F58" s="74">
        <f>SUM(E58*6/100)</f>
        <v>5.5620000000000003</v>
      </c>
      <c r="G58" s="13">
        <v>2431.1799999999998</v>
      </c>
      <c r="H58" s="78">
        <f>SUM(F58*G58/1000)</f>
        <v>13.522223159999999</v>
      </c>
      <c r="I58" s="13">
        <f>F58/6*G58</f>
        <v>2253.7038600000001</v>
      </c>
      <c r="J58" s="23"/>
      <c r="L58" s="19"/>
      <c r="M58" s="20"/>
      <c r="N58" s="21"/>
    </row>
    <row r="59" spans="1:14" ht="15.75" hidden="1" customHeight="1">
      <c r="A59" s="29">
        <v>10</v>
      </c>
      <c r="B59" s="71" t="s">
        <v>134</v>
      </c>
      <c r="C59" s="72" t="s">
        <v>135</v>
      </c>
      <c r="D59" s="14" t="s">
        <v>69</v>
      </c>
      <c r="E59" s="73"/>
      <c r="F59" s="74">
        <v>2</v>
      </c>
      <c r="G59" s="67">
        <v>1582.05</v>
      </c>
      <c r="H59" s="78">
        <f>SUM(F59*G59/1000)</f>
        <v>3.1640999999999999</v>
      </c>
      <c r="I59" s="13">
        <f>G59*2</f>
        <v>3164.1</v>
      </c>
      <c r="J59" s="23"/>
      <c r="L59" s="19"/>
      <c r="M59" s="20"/>
      <c r="N59" s="21"/>
    </row>
    <row r="60" spans="1:14" ht="15.75" customHeight="1">
      <c r="A60" s="29"/>
      <c r="B60" s="93" t="s">
        <v>45</v>
      </c>
      <c r="C60" s="72"/>
      <c r="D60" s="71"/>
      <c r="E60" s="73"/>
      <c r="F60" s="74"/>
      <c r="G60" s="74"/>
      <c r="H60" s="75" t="s">
        <v>132</v>
      </c>
      <c r="I60" s="79"/>
      <c r="J60" s="23"/>
      <c r="L60" s="19"/>
      <c r="M60" s="20"/>
      <c r="N60" s="21"/>
    </row>
    <row r="61" spans="1:14" ht="15.75" hidden="1" customHeight="1">
      <c r="A61" s="29"/>
      <c r="B61" s="34" t="s">
        <v>46</v>
      </c>
      <c r="C61" s="44" t="s">
        <v>99</v>
      </c>
      <c r="D61" s="34" t="s">
        <v>55</v>
      </c>
      <c r="E61" s="123">
        <v>145</v>
      </c>
      <c r="F61" s="33">
        <f>SUM(E61/100)</f>
        <v>1.45</v>
      </c>
      <c r="G61" s="36">
        <v>1040.8399999999999</v>
      </c>
      <c r="H61" s="124">
        <v>9.1679999999999993</v>
      </c>
      <c r="I61" s="13">
        <v>0</v>
      </c>
      <c r="J61" s="23"/>
      <c r="L61" s="19"/>
      <c r="M61" s="20"/>
      <c r="N61" s="21"/>
    </row>
    <row r="62" spans="1:14" ht="15.75" customHeight="1">
      <c r="A62" s="29">
        <v>10</v>
      </c>
      <c r="B62" s="125" t="s">
        <v>96</v>
      </c>
      <c r="C62" s="126" t="s">
        <v>25</v>
      </c>
      <c r="D62" s="125" t="s">
        <v>30</v>
      </c>
      <c r="E62" s="123">
        <v>255.2</v>
      </c>
      <c r="F62" s="33">
        <v>2400</v>
      </c>
      <c r="G62" s="127">
        <v>1.2</v>
      </c>
      <c r="H62" s="128">
        <f>G62*F62/1000</f>
        <v>2.88</v>
      </c>
      <c r="I62" s="13">
        <f>F62/12*G62</f>
        <v>240</v>
      </c>
      <c r="J62" s="23"/>
      <c r="L62" s="19"/>
      <c r="M62" s="20"/>
      <c r="N62" s="21"/>
    </row>
    <row r="63" spans="1:14" ht="15.75" customHeight="1">
      <c r="A63" s="29"/>
      <c r="B63" s="102" t="s">
        <v>47</v>
      </c>
      <c r="C63" s="84"/>
      <c r="D63" s="83"/>
      <c r="E63" s="81"/>
      <c r="F63" s="85"/>
      <c r="G63" s="85"/>
      <c r="H63" s="86" t="s">
        <v>132</v>
      </c>
      <c r="I63" s="79"/>
      <c r="J63" s="23"/>
      <c r="L63" s="19"/>
      <c r="M63" s="20"/>
      <c r="N63" s="21"/>
    </row>
    <row r="64" spans="1:14" ht="21" customHeight="1">
      <c r="A64" s="29">
        <v>11</v>
      </c>
      <c r="B64" s="56" t="s">
        <v>48</v>
      </c>
      <c r="C64" s="40" t="s">
        <v>95</v>
      </c>
      <c r="D64" s="39" t="s">
        <v>69</v>
      </c>
      <c r="E64" s="17">
        <v>6</v>
      </c>
      <c r="F64" s="33">
        <f>SUM(E64)</f>
        <v>6</v>
      </c>
      <c r="G64" s="36">
        <v>291.68</v>
      </c>
      <c r="H64" s="114">
        <f t="shared" ref="H64:H72" si="8">SUM(F64*G64/1000)</f>
        <v>1.7500799999999999</v>
      </c>
      <c r="I64" s="13">
        <f>G64*5</f>
        <v>1458.4</v>
      </c>
      <c r="J64" s="23"/>
      <c r="L64" s="19"/>
    </row>
    <row r="65" spans="1:22" ht="20.25" hidden="1" customHeight="1">
      <c r="A65" s="29"/>
      <c r="B65" s="56" t="s">
        <v>49</v>
      </c>
      <c r="C65" s="40" t="s">
        <v>95</v>
      </c>
      <c r="D65" s="39" t="s">
        <v>69</v>
      </c>
      <c r="E65" s="17">
        <v>4</v>
      </c>
      <c r="F65" s="33">
        <f>SUM(E65)</f>
        <v>4</v>
      </c>
      <c r="G65" s="36">
        <v>100.01</v>
      </c>
      <c r="H65" s="114">
        <f t="shared" si="8"/>
        <v>0.40004000000000001</v>
      </c>
      <c r="I65" s="13">
        <v>0</v>
      </c>
      <c r="J65" s="23"/>
      <c r="L65" s="19"/>
    </row>
    <row r="66" spans="1:22" ht="17.25" hidden="1" customHeight="1">
      <c r="A66" s="29"/>
      <c r="B66" s="56" t="s">
        <v>50</v>
      </c>
      <c r="C66" s="42" t="s">
        <v>118</v>
      </c>
      <c r="D66" s="39" t="s">
        <v>55</v>
      </c>
      <c r="E66" s="121">
        <v>15552</v>
      </c>
      <c r="F66" s="37">
        <f>SUM(E66/100)</f>
        <v>155.52000000000001</v>
      </c>
      <c r="G66" s="36">
        <v>278.24</v>
      </c>
      <c r="H66" s="114">
        <f t="shared" si="8"/>
        <v>43.271884800000009</v>
      </c>
      <c r="I66" s="13">
        <v>0</v>
      </c>
    </row>
    <row r="67" spans="1:22" ht="18.75" hidden="1" customHeight="1">
      <c r="A67" s="29"/>
      <c r="B67" s="56" t="s">
        <v>51</v>
      </c>
      <c r="C67" s="40" t="s">
        <v>119</v>
      </c>
      <c r="D67" s="39"/>
      <c r="E67" s="121">
        <v>15552</v>
      </c>
      <c r="F67" s="36">
        <f>SUM(E67/1000)</f>
        <v>15.552</v>
      </c>
      <c r="G67" s="36">
        <v>216.68</v>
      </c>
      <c r="H67" s="114">
        <f t="shared" si="8"/>
        <v>3.3698073600000003</v>
      </c>
      <c r="I67" s="13">
        <v>0</v>
      </c>
    </row>
    <row r="68" spans="1:22" ht="21" hidden="1" customHeight="1">
      <c r="A68" s="29"/>
      <c r="B68" s="56" t="s">
        <v>52</v>
      </c>
      <c r="C68" s="40" t="s">
        <v>81</v>
      </c>
      <c r="D68" s="39" t="s">
        <v>55</v>
      </c>
      <c r="E68" s="121">
        <v>2432</v>
      </c>
      <c r="F68" s="36">
        <f>SUM(E68/100)</f>
        <v>24.32</v>
      </c>
      <c r="G68" s="36">
        <v>2720.94</v>
      </c>
      <c r="H68" s="114">
        <f t="shared" si="8"/>
        <v>66.173260800000008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20.25" hidden="1" customHeight="1">
      <c r="A69" s="29"/>
      <c r="B69" s="53" t="s">
        <v>75</v>
      </c>
      <c r="C69" s="40" t="s">
        <v>33</v>
      </c>
      <c r="D69" s="39"/>
      <c r="E69" s="121">
        <v>14.8</v>
      </c>
      <c r="F69" s="36">
        <f>SUM(E69)</f>
        <v>14.8</v>
      </c>
      <c r="G69" s="36">
        <v>42.61</v>
      </c>
      <c r="H69" s="114">
        <f t="shared" si="8"/>
        <v>0.63062800000000008</v>
      </c>
      <c r="I69" s="13">
        <v>0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18.75" hidden="1" customHeight="1">
      <c r="A70" s="29"/>
      <c r="B70" s="53" t="s">
        <v>76</v>
      </c>
      <c r="C70" s="40" t="s">
        <v>33</v>
      </c>
      <c r="D70" s="39"/>
      <c r="E70" s="121">
        <f>E69</f>
        <v>14.8</v>
      </c>
      <c r="F70" s="36">
        <f>SUM(E70)</f>
        <v>14.8</v>
      </c>
      <c r="G70" s="36">
        <v>46.04</v>
      </c>
      <c r="H70" s="114">
        <f t="shared" si="8"/>
        <v>0.681392</v>
      </c>
      <c r="I70" s="13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7.25" hidden="1" customHeight="1">
      <c r="A71" s="29"/>
      <c r="B71" s="39" t="s">
        <v>59</v>
      </c>
      <c r="C71" s="40" t="s">
        <v>60</v>
      </c>
      <c r="D71" s="39" t="s">
        <v>55</v>
      </c>
      <c r="E71" s="17">
        <v>5</v>
      </c>
      <c r="F71" s="33">
        <f>SUM(E71)</f>
        <v>5</v>
      </c>
      <c r="G71" s="36">
        <v>65.42</v>
      </c>
      <c r="H71" s="114">
        <f t="shared" si="8"/>
        <v>0.3271</v>
      </c>
      <c r="I71" s="13">
        <v>0</v>
      </c>
      <c r="J71" s="5"/>
      <c r="K71" s="5"/>
      <c r="L71" s="5"/>
      <c r="M71" s="5"/>
      <c r="N71" s="5"/>
      <c r="O71" s="5"/>
      <c r="P71" s="5"/>
      <c r="Q71" s="5"/>
      <c r="R71" s="187"/>
      <c r="S71" s="187"/>
      <c r="T71" s="187"/>
      <c r="U71" s="187"/>
    </row>
    <row r="72" spans="1:22" ht="15.75" customHeight="1">
      <c r="A72" s="29">
        <v>12</v>
      </c>
      <c r="B72" s="39" t="s">
        <v>160</v>
      </c>
      <c r="C72" s="45" t="s">
        <v>161</v>
      </c>
      <c r="D72" s="39" t="s">
        <v>69</v>
      </c>
      <c r="E72" s="17">
        <f>E51</f>
        <v>3053.4</v>
      </c>
      <c r="F72" s="33">
        <f>SUM(E72*12)</f>
        <v>36640.800000000003</v>
      </c>
      <c r="G72" s="36">
        <v>2.2799999999999998</v>
      </c>
      <c r="H72" s="114">
        <f t="shared" si="8"/>
        <v>83.541024000000007</v>
      </c>
      <c r="I72" s="13">
        <f>F72/12*G72</f>
        <v>6961.7519999999995</v>
      </c>
      <c r="J72" s="5"/>
      <c r="K72" s="5"/>
      <c r="L72" s="5"/>
      <c r="M72" s="5"/>
      <c r="N72" s="5"/>
      <c r="O72" s="5"/>
      <c r="P72" s="5"/>
      <c r="Q72" s="5"/>
      <c r="R72" s="60"/>
      <c r="S72" s="60"/>
      <c r="T72" s="60"/>
      <c r="U72" s="60"/>
    </row>
    <row r="73" spans="1:22" ht="15.75" customHeight="1">
      <c r="A73" s="29"/>
      <c r="B73" s="66" t="s">
        <v>77</v>
      </c>
      <c r="C73" s="16"/>
      <c r="D73" s="14"/>
      <c r="E73" s="18"/>
      <c r="F73" s="13"/>
      <c r="G73" s="13"/>
      <c r="H73" s="87" t="s">
        <v>132</v>
      </c>
      <c r="I73" s="79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2" ht="15.75" hidden="1" customHeight="1">
      <c r="A74" s="29">
        <v>19</v>
      </c>
      <c r="B74" s="39" t="s">
        <v>162</v>
      </c>
      <c r="C74" s="40" t="s">
        <v>163</v>
      </c>
      <c r="D74" s="39" t="s">
        <v>69</v>
      </c>
      <c r="E74" s="17">
        <v>1</v>
      </c>
      <c r="F74" s="36">
        <f>E74</f>
        <v>1</v>
      </c>
      <c r="G74" s="36">
        <v>1029.1199999999999</v>
      </c>
      <c r="H74" s="113">
        <f t="shared" ref="H74:H75" si="9">SUM(F74*G74/1000)</f>
        <v>1.0291199999999998</v>
      </c>
      <c r="I74" s="13">
        <v>0</v>
      </c>
    </row>
    <row r="75" spans="1:22" ht="15.75" hidden="1" customHeight="1">
      <c r="A75" s="29"/>
      <c r="B75" s="39" t="s">
        <v>164</v>
      </c>
      <c r="C75" s="40" t="s">
        <v>165</v>
      </c>
      <c r="D75" s="129"/>
      <c r="E75" s="17">
        <v>1</v>
      </c>
      <c r="F75" s="36">
        <v>1</v>
      </c>
      <c r="G75" s="36">
        <v>735</v>
      </c>
      <c r="H75" s="113">
        <f t="shared" si="9"/>
        <v>0.73499999999999999</v>
      </c>
      <c r="I75" s="13">
        <v>0</v>
      </c>
    </row>
    <row r="76" spans="1:22" ht="15.75" hidden="1" customHeight="1">
      <c r="A76" s="29"/>
      <c r="B76" s="39" t="s">
        <v>78</v>
      </c>
      <c r="C76" s="40" t="s">
        <v>79</v>
      </c>
      <c r="D76" s="39" t="s">
        <v>69</v>
      </c>
      <c r="E76" s="17">
        <v>5</v>
      </c>
      <c r="F76" s="33">
        <f>SUM(E76/10)</f>
        <v>0.5</v>
      </c>
      <c r="G76" s="36">
        <v>657.87</v>
      </c>
      <c r="H76" s="113">
        <f>SUM(F76*G76/1000)</f>
        <v>0.32893499999999998</v>
      </c>
      <c r="I76" s="13">
        <v>0</v>
      </c>
    </row>
    <row r="77" spans="1:22" ht="15.75" hidden="1" customHeight="1">
      <c r="A77" s="29"/>
      <c r="B77" s="39" t="s">
        <v>130</v>
      </c>
      <c r="C77" s="40" t="s">
        <v>95</v>
      </c>
      <c r="D77" s="39" t="s">
        <v>69</v>
      </c>
      <c r="E77" s="17">
        <v>1</v>
      </c>
      <c r="F77" s="36">
        <f>E77</f>
        <v>1</v>
      </c>
      <c r="G77" s="36">
        <v>1118.72</v>
      </c>
      <c r="H77" s="113">
        <f>SUM(F77*G77/1000)</f>
        <v>1.1187199999999999</v>
      </c>
      <c r="I77" s="13">
        <v>0</v>
      </c>
    </row>
    <row r="78" spans="1:22" ht="15.75" customHeight="1">
      <c r="A78" s="29">
        <v>13</v>
      </c>
      <c r="B78" s="115" t="s">
        <v>166</v>
      </c>
      <c r="C78" s="116" t="s">
        <v>95</v>
      </c>
      <c r="D78" s="39" t="s">
        <v>69</v>
      </c>
      <c r="E78" s="17">
        <v>2</v>
      </c>
      <c r="F78" s="33">
        <f>E78*12</f>
        <v>24</v>
      </c>
      <c r="G78" s="36">
        <v>53.42</v>
      </c>
      <c r="H78" s="113">
        <f t="shared" ref="H78:H79" si="10">SUM(F78*G78/1000)</f>
        <v>1.2820799999999999</v>
      </c>
      <c r="I78" s="13">
        <f>G78*2</f>
        <v>106.84</v>
      </c>
    </row>
    <row r="79" spans="1:22" ht="31.5" customHeight="1">
      <c r="A79" s="29">
        <v>14</v>
      </c>
      <c r="B79" s="115" t="s">
        <v>167</v>
      </c>
      <c r="C79" s="116" t="s">
        <v>95</v>
      </c>
      <c r="D79" s="39" t="s">
        <v>30</v>
      </c>
      <c r="E79" s="17">
        <v>1</v>
      </c>
      <c r="F79" s="33">
        <f>E79*12</f>
        <v>12</v>
      </c>
      <c r="G79" s="36">
        <v>1194</v>
      </c>
      <c r="H79" s="113">
        <f t="shared" si="10"/>
        <v>14.327999999999999</v>
      </c>
      <c r="I79" s="13">
        <f>G79</f>
        <v>1194</v>
      </c>
    </row>
    <row r="80" spans="1:22" ht="15.75" hidden="1" customHeight="1">
      <c r="A80" s="29"/>
      <c r="B80" s="90" t="s">
        <v>80</v>
      </c>
      <c r="C80" s="16"/>
      <c r="D80" s="14"/>
      <c r="E80" s="18"/>
      <c r="F80" s="18"/>
      <c r="G80" s="18"/>
      <c r="H80" s="18"/>
      <c r="I80" s="79"/>
    </row>
    <row r="81" spans="1:9" ht="15.75" hidden="1" customHeight="1">
      <c r="A81" s="29"/>
      <c r="B81" s="41" t="s">
        <v>122</v>
      </c>
      <c r="C81" s="42" t="s">
        <v>81</v>
      </c>
      <c r="D81" s="56"/>
      <c r="E81" s="59"/>
      <c r="F81" s="37">
        <v>0.3</v>
      </c>
      <c r="G81" s="37">
        <v>3619.09</v>
      </c>
      <c r="H81" s="114">
        <f t="shared" ref="H81" si="11">SUM(F81*G81/1000)</f>
        <v>1.0857270000000001</v>
      </c>
      <c r="I81" s="13">
        <v>0</v>
      </c>
    </row>
    <row r="82" spans="1:9" ht="15.75" hidden="1" customHeight="1">
      <c r="A82" s="29"/>
      <c r="B82" s="66" t="s">
        <v>120</v>
      </c>
      <c r="C82" s="90"/>
      <c r="D82" s="31"/>
      <c r="E82" s="32"/>
      <c r="F82" s="91"/>
      <c r="G82" s="91"/>
      <c r="H82" s="92">
        <f>SUM(H58:H81)</f>
        <v>248.78712212000002</v>
      </c>
      <c r="I82" s="77"/>
    </row>
    <row r="83" spans="1:9" ht="15.75" hidden="1" customHeight="1">
      <c r="A83" s="94"/>
      <c r="B83" s="34" t="s">
        <v>121</v>
      </c>
      <c r="C83" s="130"/>
      <c r="D83" s="131"/>
      <c r="E83" s="132"/>
      <c r="F83" s="38">
        <f>232/10</f>
        <v>23.2</v>
      </c>
      <c r="G83" s="38">
        <v>12361.2</v>
      </c>
      <c r="H83" s="114">
        <f>G83*F83/1000</f>
        <v>286.77984000000004</v>
      </c>
      <c r="I83" s="95">
        <v>0</v>
      </c>
    </row>
    <row r="84" spans="1:9" ht="15.75" customHeight="1">
      <c r="A84" s="179" t="s">
        <v>144</v>
      </c>
      <c r="B84" s="180"/>
      <c r="C84" s="180"/>
      <c r="D84" s="180"/>
      <c r="E84" s="180"/>
      <c r="F84" s="180"/>
      <c r="G84" s="180"/>
      <c r="H84" s="180"/>
      <c r="I84" s="181"/>
    </row>
    <row r="85" spans="1:9" ht="15.75" customHeight="1">
      <c r="A85" s="96">
        <v>15</v>
      </c>
      <c r="B85" s="34" t="s">
        <v>123</v>
      </c>
      <c r="C85" s="40" t="s">
        <v>56</v>
      </c>
      <c r="D85" s="103" t="s">
        <v>57</v>
      </c>
      <c r="E85" s="36">
        <v>3053.4</v>
      </c>
      <c r="F85" s="36">
        <f>SUM(E85*12)</f>
        <v>36640.800000000003</v>
      </c>
      <c r="G85" s="36">
        <v>3.1</v>
      </c>
      <c r="H85" s="114">
        <f>SUM(F85*G85/1000)</f>
        <v>113.58648000000001</v>
      </c>
      <c r="I85" s="101">
        <f>F85/12*G85</f>
        <v>9465.5400000000009</v>
      </c>
    </row>
    <row r="86" spans="1:9" ht="31.5" customHeight="1">
      <c r="A86" s="29">
        <v>16</v>
      </c>
      <c r="B86" s="39" t="s">
        <v>82</v>
      </c>
      <c r="C86" s="40"/>
      <c r="D86" s="103" t="s">
        <v>57</v>
      </c>
      <c r="E86" s="121">
        <v>3053.4</v>
      </c>
      <c r="F86" s="36">
        <f>E86*12</f>
        <v>36640.800000000003</v>
      </c>
      <c r="G86" s="36">
        <v>3.5</v>
      </c>
      <c r="H86" s="114">
        <f>F86*G86/1000</f>
        <v>128.24280000000002</v>
      </c>
      <c r="I86" s="13">
        <f>F86/12*G86</f>
        <v>10686.9</v>
      </c>
    </row>
    <row r="87" spans="1:9" ht="15.75" customHeight="1">
      <c r="A87" s="29"/>
      <c r="B87" s="43" t="s">
        <v>85</v>
      </c>
      <c r="C87" s="90"/>
      <c r="D87" s="88"/>
      <c r="E87" s="91"/>
      <c r="F87" s="91"/>
      <c r="G87" s="91"/>
      <c r="H87" s="92">
        <f>SUM(H86)</f>
        <v>128.24280000000002</v>
      </c>
      <c r="I87" s="91">
        <f>I86+I85+I79+I78+I72+I64+I62+I34+I33+I31+I30+I27+I26+I18+I17+I16</f>
        <v>57581.100414555556</v>
      </c>
    </row>
    <row r="88" spans="1:9" ht="15.75" customHeight="1">
      <c r="A88" s="188" t="s">
        <v>62</v>
      </c>
      <c r="B88" s="189"/>
      <c r="C88" s="189"/>
      <c r="D88" s="189"/>
      <c r="E88" s="189"/>
      <c r="F88" s="189"/>
      <c r="G88" s="189"/>
      <c r="H88" s="189"/>
      <c r="I88" s="190"/>
    </row>
    <row r="89" spans="1:9" ht="17.25" customHeight="1">
      <c r="A89" s="29">
        <v>17</v>
      </c>
      <c r="B89" s="115" t="s">
        <v>174</v>
      </c>
      <c r="C89" s="116" t="s">
        <v>168</v>
      </c>
      <c r="D89" s="117"/>
      <c r="E89" s="36"/>
      <c r="F89" s="36">
        <v>4</v>
      </c>
      <c r="G89" s="36">
        <v>134.12</v>
      </c>
      <c r="H89" s="114">
        <f>F89*G89/1000</f>
        <v>0.53648000000000007</v>
      </c>
      <c r="I89" s="13">
        <f>G89*6</f>
        <v>804.72</v>
      </c>
    </row>
    <row r="90" spans="1:9" ht="15.75" customHeight="1">
      <c r="A90" s="29" t="s">
        <v>242</v>
      </c>
      <c r="B90" s="115" t="s">
        <v>103</v>
      </c>
      <c r="C90" s="116" t="s">
        <v>95</v>
      </c>
      <c r="D90" s="52"/>
      <c r="E90" s="36"/>
      <c r="F90" s="36">
        <v>128</v>
      </c>
      <c r="G90" s="36">
        <v>55.55</v>
      </c>
      <c r="H90" s="114">
        <f t="shared" ref="H90" si="12">F90*G90/1000</f>
        <v>7.1103999999999994</v>
      </c>
      <c r="I90" s="13">
        <f>G90*64</f>
        <v>3555.2</v>
      </c>
    </row>
    <row r="91" spans="1:9" ht="31.5" customHeight="1">
      <c r="A91" s="29">
        <v>19</v>
      </c>
      <c r="B91" s="57" t="s">
        <v>93</v>
      </c>
      <c r="C91" s="58" t="s">
        <v>104</v>
      </c>
      <c r="D91" s="117"/>
      <c r="E91" s="36"/>
      <c r="F91" s="13">
        <v>2</v>
      </c>
      <c r="G91" s="36">
        <v>613.44000000000005</v>
      </c>
      <c r="H91" s="114">
        <f>F91*G91/1000</f>
        <v>1.2268800000000002</v>
      </c>
      <c r="I91" s="13">
        <f>G91*1</f>
        <v>613.44000000000005</v>
      </c>
    </row>
    <row r="92" spans="1:9" ht="15" customHeight="1">
      <c r="A92" s="29">
        <v>20</v>
      </c>
      <c r="B92" s="115" t="s">
        <v>234</v>
      </c>
      <c r="C92" s="141" t="s">
        <v>95</v>
      </c>
      <c r="D92" s="39"/>
      <c r="E92" s="17"/>
      <c r="F92" s="36">
        <f>(16.7)/10</f>
        <v>1.67</v>
      </c>
      <c r="G92" s="36">
        <v>755.74</v>
      </c>
      <c r="H92" s="114">
        <f t="shared" ref="H92" si="13">F92*G92/1000</f>
        <v>1.2620858000000001</v>
      </c>
      <c r="I92" s="13">
        <f>G92*1</f>
        <v>755.74</v>
      </c>
    </row>
    <row r="93" spans="1:9" ht="15.75" customHeight="1">
      <c r="A93" s="29">
        <v>21</v>
      </c>
      <c r="B93" s="115" t="s">
        <v>235</v>
      </c>
      <c r="C93" s="141" t="s">
        <v>95</v>
      </c>
      <c r="D93" s="39"/>
      <c r="E93" s="17"/>
      <c r="F93" s="36"/>
      <c r="G93" s="36">
        <v>15.58</v>
      </c>
      <c r="H93" s="114"/>
      <c r="I93" s="13">
        <f>G93*1</f>
        <v>15.58</v>
      </c>
    </row>
    <row r="94" spans="1:9" ht="27.75" customHeight="1">
      <c r="A94" s="29">
        <v>22</v>
      </c>
      <c r="B94" s="115" t="s">
        <v>236</v>
      </c>
      <c r="C94" s="116" t="s">
        <v>237</v>
      </c>
      <c r="D94" s="39"/>
      <c r="E94" s="17"/>
      <c r="F94" s="36"/>
      <c r="G94" s="166">
        <v>24829.08</v>
      </c>
      <c r="H94" s="114"/>
      <c r="I94" s="13">
        <f>G94*0.01</f>
        <v>248.29080000000002</v>
      </c>
    </row>
    <row r="95" spans="1:9" ht="30.75" customHeight="1">
      <c r="A95" s="29">
        <v>23</v>
      </c>
      <c r="B95" s="115" t="s">
        <v>238</v>
      </c>
      <c r="C95" s="116" t="s">
        <v>239</v>
      </c>
      <c r="D95" s="39"/>
      <c r="E95" s="17"/>
      <c r="F95" s="36"/>
      <c r="G95" s="13">
        <v>225.35</v>
      </c>
      <c r="H95" s="114"/>
      <c r="I95" s="13">
        <f>G95*0.7776</f>
        <v>175.23215999999999</v>
      </c>
    </row>
    <row r="96" spans="1:9" ht="15.75" customHeight="1">
      <c r="A96" s="29">
        <v>24</v>
      </c>
      <c r="B96" s="115" t="s">
        <v>240</v>
      </c>
      <c r="C96" s="116" t="s">
        <v>241</v>
      </c>
      <c r="D96" s="39"/>
      <c r="E96" s="17"/>
      <c r="F96" s="36"/>
      <c r="G96" s="36">
        <v>203.68</v>
      </c>
      <c r="H96" s="114"/>
      <c r="I96" s="13">
        <f>G96*1</f>
        <v>203.68</v>
      </c>
    </row>
    <row r="97" spans="1:9" ht="15.75" customHeight="1">
      <c r="A97" s="29"/>
      <c r="B97" s="50" t="s">
        <v>53</v>
      </c>
      <c r="C97" s="46"/>
      <c r="D97" s="54"/>
      <c r="E97" s="46">
        <v>1</v>
      </c>
      <c r="F97" s="46"/>
      <c r="G97" s="46"/>
      <c r="H97" s="46"/>
      <c r="I97" s="32">
        <f>SUM(I89:I96)-I90</f>
        <v>2816.6829600000001</v>
      </c>
    </row>
    <row r="98" spans="1:9" ht="15.75" customHeight="1">
      <c r="A98" s="29"/>
      <c r="B98" s="52" t="s">
        <v>83</v>
      </c>
      <c r="C98" s="15"/>
      <c r="D98" s="15"/>
      <c r="E98" s="47"/>
      <c r="F98" s="47"/>
      <c r="G98" s="48"/>
      <c r="H98" s="48"/>
      <c r="I98" s="17">
        <v>0</v>
      </c>
    </row>
    <row r="99" spans="1:9" ht="15.75" customHeight="1">
      <c r="A99" s="55"/>
      <c r="B99" s="51" t="s">
        <v>151</v>
      </c>
      <c r="C99" s="35"/>
      <c r="D99" s="35"/>
      <c r="E99" s="35"/>
      <c r="F99" s="35"/>
      <c r="G99" s="35"/>
      <c r="H99" s="35"/>
      <c r="I99" s="49">
        <f>I87+I97</f>
        <v>60397.783374555554</v>
      </c>
    </row>
    <row r="100" spans="1:9" ht="15.75" customHeight="1">
      <c r="A100" s="199" t="s">
        <v>243</v>
      </c>
      <c r="B100" s="200"/>
      <c r="C100" s="200"/>
      <c r="D100" s="200"/>
      <c r="E100" s="200"/>
      <c r="F100" s="200"/>
      <c r="G100" s="200"/>
      <c r="H100" s="200"/>
      <c r="I100" s="200"/>
    </row>
    <row r="101" spans="1:9" ht="15.75">
      <c r="A101" s="191" t="s">
        <v>244</v>
      </c>
      <c r="B101" s="191"/>
      <c r="C101" s="191"/>
      <c r="D101" s="191"/>
      <c r="E101" s="191"/>
      <c r="F101" s="191"/>
      <c r="G101" s="191"/>
      <c r="H101" s="191"/>
      <c r="I101" s="191"/>
    </row>
    <row r="102" spans="1:9" ht="15.75">
      <c r="A102" s="62"/>
      <c r="B102" s="192" t="s">
        <v>245</v>
      </c>
      <c r="C102" s="192"/>
      <c r="D102" s="192"/>
      <c r="E102" s="192"/>
      <c r="F102" s="192"/>
      <c r="G102" s="192"/>
      <c r="H102" s="70"/>
      <c r="I102" s="3"/>
    </row>
    <row r="103" spans="1:9">
      <c r="A103" s="60"/>
      <c r="B103" s="193" t="s">
        <v>6</v>
      </c>
      <c r="C103" s="193"/>
      <c r="D103" s="193"/>
      <c r="E103" s="193"/>
      <c r="F103" s="193"/>
      <c r="G103" s="193"/>
      <c r="H103" s="24"/>
      <c r="I103" s="5"/>
    </row>
    <row r="104" spans="1:9" ht="15.75" customHeight="1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ht="15.75" customHeight="1">
      <c r="A105" s="194" t="s">
        <v>7</v>
      </c>
      <c r="B105" s="194"/>
      <c r="C105" s="194"/>
      <c r="D105" s="194"/>
      <c r="E105" s="194"/>
      <c r="F105" s="194"/>
      <c r="G105" s="194"/>
      <c r="H105" s="194"/>
      <c r="I105" s="194"/>
    </row>
    <row r="106" spans="1:9" ht="15.75" customHeight="1">
      <c r="A106" s="194" t="s">
        <v>8</v>
      </c>
      <c r="B106" s="194"/>
      <c r="C106" s="194"/>
      <c r="D106" s="194"/>
      <c r="E106" s="194"/>
      <c r="F106" s="194"/>
      <c r="G106" s="194"/>
      <c r="H106" s="194"/>
      <c r="I106" s="194"/>
    </row>
    <row r="107" spans="1:9" ht="15.75" customHeight="1">
      <c r="A107" s="195" t="s">
        <v>63</v>
      </c>
      <c r="B107" s="195"/>
      <c r="C107" s="195"/>
      <c r="D107" s="195"/>
      <c r="E107" s="195"/>
      <c r="F107" s="195"/>
      <c r="G107" s="195"/>
      <c r="H107" s="195"/>
      <c r="I107" s="195"/>
    </row>
    <row r="108" spans="1:9" ht="15.75" customHeight="1">
      <c r="A108" s="11"/>
    </row>
    <row r="109" spans="1:9" ht="15.75" customHeight="1">
      <c r="A109" s="196" t="s">
        <v>9</v>
      </c>
      <c r="B109" s="196"/>
      <c r="C109" s="196"/>
      <c r="D109" s="196"/>
      <c r="E109" s="196"/>
      <c r="F109" s="196"/>
      <c r="G109" s="196"/>
      <c r="H109" s="196"/>
      <c r="I109" s="196"/>
    </row>
    <row r="110" spans="1:9" ht="15.75" customHeight="1">
      <c r="A110" s="4"/>
    </row>
    <row r="111" spans="1:9" ht="15.75" customHeight="1">
      <c r="B111" s="61" t="s">
        <v>10</v>
      </c>
      <c r="C111" s="197" t="s">
        <v>94</v>
      </c>
      <c r="D111" s="197"/>
      <c r="E111" s="197"/>
      <c r="F111" s="68"/>
      <c r="I111" s="64"/>
    </row>
    <row r="112" spans="1:9" ht="15.75" customHeight="1">
      <c r="A112" s="60"/>
      <c r="C112" s="193" t="s">
        <v>11</v>
      </c>
      <c r="D112" s="193"/>
      <c r="E112" s="193"/>
      <c r="F112" s="24"/>
      <c r="I112" s="63" t="s">
        <v>12</v>
      </c>
    </row>
    <row r="113" spans="1:9" ht="15.75" customHeight="1">
      <c r="A113" s="25"/>
      <c r="C113" s="12"/>
      <c r="D113" s="12"/>
      <c r="G113" s="12"/>
      <c r="H113" s="12"/>
    </row>
    <row r="114" spans="1:9" ht="15.75" customHeight="1">
      <c r="B114" s="61" t="s">
        <v>13</v>
      </c>
      <c r="C114" s="198"/>
      <c r="D114" s="198"/>
      <c r="E114" s="198"/>
      <c r="F114" s="69"/>
      <c r="I114" s="64"/>
    </row>
    <row r="115" spans="1:9" ht="15.75" customHeight="1">
      <c r="A115" s="60"/>
      <c r="C115" s="187" t="s">
        <v>11</v>
      </c>
      <c r="D115" s="187"/>
      <c r="E115" s="187"/>
      <c r="F115" s="60"/>
      <c r="I115" s="63" t="s">
        <v>12</v>
      </c>
    </row>
    <row r="116" spans="1:9" ht="15.75" customHeight="1">
      <c r="A116" s="4" t="s">
        <v>14</v>
      </c>
    </row>
    <row r="117" spans="1:9">
      <c r="A117" s="201" t="s">
        <v>15</v>
      </c>
      <c r="B117" s="201"/>
      <c r="C117" s="201"/>
      <c r="D117" s="201"/>
      <c r="E117" s="201"/>
      <c r="F117" s="201"/>
      <c r="G117" s="201"/>
      <c r="H117" s="201"/>
      <c r="I117" s="201"/>
    </row>
    <row r="118" spans="1:9" ht="45" customHeight="1">
      <c r="A118" s="202" t="s">
        <v>16</v>
      </c>
      <c r="B118" s="202"/>
      <c r="C118" s="202"/>
      <c r="D118" s="202"/>
      <c r="E118" s="202"/>
      <c r="F118" s="202"/>
      <c r="G118" s="202"/>
      <c r="H118" s="202"/>
      <c r="I118" s="202"/>
    </row>
    <row r="119" spans="1:9" ht="30" customHeight="1">
      <c r="A119" s="202" t="s">
        <v>17</v>
      </c>
      <c r="B119" s="202"/>
      <c r="C119" s="202"/>
      <c r="D119" s="202"/>
      <c r="E119" s="202"/>
      <c r="F119" s="202"/>
      <c r="G119" s="202"/>
      <c r="H119" s="202"/>
      <c r="I119" s="202"/>
    </row>
    <row r="120" spans="1:9" ht="30" customHeight="1">
      <c r="A120" s="202" t="s">
        <v>21</v>
      </c>
      <c r="B120" s="202"/>
      <c r="C120" s="202"/>
      <c r="D120" s="202"/>
      <c r="E120" s="202"/>
      <c r="F120" s="202"/>
      <c r="G120" s="202"/>
      <c r="H120" s="202"/>
      <c r="I120" s="202"/>
    </row>
    <row r="121" spans="1:9" ht="15" customHeight="1">
      <c r="A121" s="202" t="s">
        <v>20</v>
      </c>
      <c r="B121" s="202"/>
      <c r="C121" s="202"/>
      <c r="D121" s="202"/>
      <c r="E121" s="202"/>
      <c r="F121" s="202"/>
      <c r="G121" s="202"/>
      <c r="H121" s="202"/>
      <c r="I121" s="202"/>
    </row>
  </sheetData>
  <autoFilter ref="I12:I66"/>
  <mergeCells count="30">
    <mergeCell ref="A14:I14"/>
    <mergeCell ref="A15:I15"/>
    <mergeCell ref="A28:I28"/>
    <mergeCell ref="A45:I45"/>
    <mergeCell ref="A56:I56"/>
    <mergeCell ref="A3:I3"/>
    <mergeCell ref="A4:I4"/>
    <mergeCell ref="A5:I5"/>
    <mergeCell ref="A8:I8"/>
    <mergeCell ref="A10:I10"/>
    <mergeCell ref="R71:U71"/>
    <mergeCell ref="C115:E115"/>
    <mergeCell ref="A88:I88"/>
    <mergeCell ref="A101:I101"/>
    <mergeCell ref="B102:G102"/>
    <mergeCell ref="B103:G103"/>
    <mergeCell ref="A105:I105"/>
    <mergeCell ref="A106:I106"/>
    <mergeCell ref="A107:I107"/>
    <mergeCell ref="A109:I109"/>
    <mergeCell ref="C111:E111"/>
    <mergeCell ref="C112:E112"/>
    <mergeCell ref="C114:E114"/>
    <mergeCell ref="A84:I84"/>
    <mergeCell ref="A100:I100"/>
    <mergeCell ref="A117:I117"/>
    <mergeCell ref="A118:I118"/>
    <mergeCell ref="A119:I119"/>
    <mergeCell ref="A120:I120"/>
    <mergeCell ref="A121:I121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4"/>
  <sheetViews>
    <sheetView topLeftCell="A79" workbookViewId="0">
      <selection activeCell="A98" sqref="A98:I9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0.140625" hidden="1" customWidth="1"/>
    <col min="6" max="6" width="12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219</v>
      </c>
      <c r="I1" s="26"/>
      <c r="J1" s="1"/>
      <c r="K1" s="1"/>
      <c r="L1" s="1"/>
      <c r="M1" s="1"/>
    </row>
    <row r="2" spans="1:13" ht="15.75" customHeight="1">
      <c r="A2" s="28" t="s">
        <v>64</v>
      </c>
      <c r="J2" s="2"/>
      <c r="K2" s="2"/>
      <c r="L2" s="2"/>
      <c r="M2" s="2"/>
    </row>
    <row r="3" spans="1:13" ht="15.75" customHeight="1">
      <c r="A3" s="182" t="s">
        <v>147</v>
      </c>
      <c r="B3" s="182"/>
      <c r="C3" s="182"/>
      <c r="D3" s="182"/>
      <c r="E3" s="182"/>
      <c r="F3" s="182"/>
      <c r="G3" s="182"/>
      <c r="H3" s="182"/>
      <c r="I3" s="182"/>
      <c r="J3" s="3"/>
      <c r="K3" s="3"/>
      <c r="L3" s="3"/>
    </row>
    <row r="4" spans="1:13" ht="31.5" customHeight="1">
      <c r="A4" s="183" t="s">
        <v>124</v>
      </c>
      <c r="B4" s="183"/>
      <c r="C4" s="183"/>
      <c r="D4" s="183"/>
      <c r="E4" s="183"/>
      <c r="F4" s="183"/>
      <c r="G4" s="183"/>
      <c r="H4" s="183"/>
      <c r="I4" s="183"/>
    </row>
    <row r="5" spans="1:13" ht="15.75" customHeight="1">
      <c r="A5" s="182" t="s">
        <v>246</v>
      </c>
      <c r="B5" s="184"/>
      <c r="C5" s="184"/>
      <c r="D5" s="184"/>
      <c r="E5" s="184"/>
      <c r="F5" s="184"/>
      <c r="G5" s="184"/>
      <c r="H5" s="184"/>
      <c r="I5" s="184"/>
      <c r="J5" s="2"/>
      <c r="K5" s="2"/>
      <c r="L5" s="2"/>
      <c r="M5" s="2"/>
    </row>
    <row r="6" spans="1:13" ht="15.75" customHeight="1">
      <c r="A6" s="2"/>
      <c r="B6" s="65"/>
      <c r="C6" s="65"/>
      <c r="D6" s="65"/>
      <c r="E6" s="65"/>
      <c r="F6" s="65"/>
      <c r="G6" s="65"/>
      <c r="H6" s="65"/>
      <c r="I6" s="30">
        <v>43373</v>
      </c>
      <c r="J6" s="2"/>
      <c r="K6" s="2"/>
      <c r="L6" s="2"/>
      <c r="M6" s="2"/>
    </row>
    <row r="7" spans="1:13" ht="15.75" customHeight="1">
      <c r="B7" s="61"/>
      <c r="C7" s="61"/>
      <c r="D7" s="6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85" t="s">
        <v>221</v>
      </c>
      <c r="B8" s="185"/>
      <c r="C8" s="185"/>
      <c r="D8" s="185"/>
      <c r="E8" s="185"/>
      <c r="F8" s="185"/>
      <c r="G8" s="185"/>
      <c r="H8" s="185"/>
      <c r="I8" s="185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86" t="s">
        <v>173</v>
      </c>
      <c r="B10" s="186"/>
      <c r="C10" s="186"/>
      <c r="D10" s="186"/>
      <c r="E10" s="186"/>
      <c r="F10" s="186"/>
      <c r="G10" s="186"/>
      <c r="H10" s="186"/>
      <c r="I10" s="186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77" t="s">
        <v>61</v>
      </c>
      <c r="B14" s="177"/>
      <c r="C14" s="177"/>
      <c r="D14" s="177"/>
      <c r="E14" s="177"/>
      <c r="F14" s="177"/>
      <c r="G14" s="177"/>
      <c r="H14" s="177"/>
      <c r="I14" s="177"/>
      <c r="J14" s="8"/>
      <c r="K14" s="8"/>
      <c r="L14" s="8"/>
      <c r="M14" s="8"/>
    </row>
    <row r="15" spans="1:13" ht="15.75" customHeight="1">
      <c r="A15" s="178" t="s">
        <v>4</v>
      </c>
      <c r="B15" s="178"/>
      <c r="C15" s="178"/>
      <c r="D15" s="178"/>
      <c r="E15" s="178"/>
      <c r="F15" s="178"/>
      <c r="G15" s="178"/>
      <c r="H15" s="178"/>
      <c r="I15" s="178"/>
      <c r="J15" s="8"/>
      <c r="K15" s="8"/>
      <c r="L15" s="8"/>
      <c r="M15" s="8"/>
    </row>
    <row r="16" spans="1:13" ht="15.75" customHeight="1">
      <c r="A16" s="29">
        <v>1</v>
      </c>
      <c r="B16" s="71" t="s">
        <v>90</v>
      </c>
      <c r="C16" s="72" t="s">
        <v>99</v>
      </c>
      <c r="D16" s="71" t="s">
        <v>125</v>
      </c>
      <c r="E16" s="73">
        <v>92.5</v>
      </c>
      <c r="F16" s="74">
        <f>SUM(E16*156/100)</f>
        <v>144.30000000000001</v>
      </c>
      <c r="G16" s="74">
        <v>230</v>
      </c>
      <c r="H16" s="78">
        <f t="shared" ref="H16:H25" si="0">SUM(F16*G16/1000)</f>
        <v>33.189</v>
      </c>
      <c r="I16" s="13">
        <f>F16/12*G16</f>
        <v>2765.75</v>
      </c>
      <c r="J16" s="8"/>
      <c r="K16" s="8"/>
      <c r="L16" s="8"/>
      <c r="M16" s="8"/>
    </row>
    <row r="17" spans="1:13" ht="15.75" customHeight="1">
      <c r="A17" s="29">
        <v>2</v>
      </c>
      <c r="B17" s="71" t="s">
        <v>91</v>
      </c>
      <c r="C17" s="72" t="s">
        <v>99</v>
      </c>
      <c r="D17" s="71" t="s">
        <v>126</v>
      </c>
      <c r="E17" s="73">
        <v>288.8</v>
      </c>
      <c r="F17" s="74">
        <f>SUM(E17*104/100)</f>
        <v>300.35200000000003</v>
      </c>
      <c r="G17" s="74">
        <v>230</v>
      </c>
      <c r="H17" s="78">
        <f t="shared" si="0"/>
        <v>69.080960000000005</v>
      </c>
      <c r="I17" s="13">
        <f>F17/12*G17</f>
        <v>5756.7466666666678</v>
      </c>
      <c r="J17" s="22"/>
      <c r="K17" s="8"/>
      <c r="L17" s="8"/>
      <c r="M17" s="8"/>
    </row>
    <row r="18" spans="1:13" ht="15.75" customHeight="1">
      <c r="A18" s="29">
        <v>3</v>
      </c>
      <c r="B18" s="71" t="s">
        <v>92</v>
      </c>
      <c r="C18" s="72" t="s">
        <v>99</v>
      </c>
      <c r="D18" s="71" t="s">
        <v>149</v>
      </c>
      <c r="E18" s="73">
        <f>SUM(E16+E17)</f>
        <v>381.3</v>
      </c>
      <c r="F18" s="74">
        <f>SUM(E18*12/100)</f>
        <v>45.756</v>
      </c>
      <c r="G18" s="74">
        <v>661.67</v>
      </c>
      <c r="H18" s="78">
        <f t="shared" si="0"/>
        <v>30.275372519999998</v>
      </c>
      <c r="I18" s="13">
        <f>F18/12*G18</f>
        <v>2522.9477099999999</v>
      </c>
      <c r="J18" s="22"/>
      <c r="K18" s="8"/>
      <c r="L18" s="8"/>
      <c r="M18" s="8"/>
    </row>
    <row r="19" spans="1:13" ht="15.75" hidden="1" customHeight="1">
      <c r="A19" s="29">
        <v>4</v>
      </c>
      <c r="B19" s="71" t="s">
        <v>107</v>
      </c>
      <c r="C19" s="72" t="s">
        <v>108</v>
      </c>
      <c r="D19" s="71" t="s">
        <v>109</v>
      </c>
      <c r="E19" s="73">
        <v>19.2</v>
      </c>
      <c r="F19" s="74">
        <f>SUM(E19/10)</f>
        <v>1.92</v>
      </c>
      <c r="G19" s="74">
        <v>223.17</v>
      </c>
      <c r="H19" s="78">
        <f t="shared" si="0"/>
        <v>0.42848639999999993</v>
      </c>
      <c r="I19" s="13">
        <v>0</v>
      </c>
      <c r="J19" s="22"/>
      <c r="K19" s="8"/>
      <c r="L19" s="8"/>
      <c r="M19" s="8"/>
    </row>
    <row r="20" spans="1:13" ht="15.75" customHeight="1">
      <c r="A20" s="29">
        <v>4</v>
      </c>
      <c r="B20" s="71" t="s">
        <v>98</v>
      </c>
      <c r="C20" s="72" t="s">
        <v>99</v>
      </c>
      <c r="D20" s="71" t="s">
        <v>153</v>
      </c>
      <c r="E20" s="73">
        <v>27.3</v>
      </c>
      <c r="F20" s="74">
        <f>SUM(E20*2/100)</f>
        <v>0.54600000000000004</v>
      </c>
      <c r="G20" s="74">
        <v>285.76</v>
      </c>
      <c r="H20" s="78">
        <f t="shared" si="0"/>
        <v>0.15602495999999999</v>
      </c>
      <c r="I20" s="13">
        <f>F20/2*G20</f>
        <v>78.012479999999996</v>
      </c>
      <c r="J20" s="22"/>
      <c r="K20" s="8"/>
      <c r="L20" s="8"/>
      <c r="M20" s="8"/>
    </row>
    <row r="21" spans="1:13" ht="15.75" customHeight="1">
      <c r="A21" s="29">
        <v>5</v>
      </c>
      <c r="B21" s="71" t="s">
        <v>105</v>
      </c>
      <c r="C21" s="72" t="s">
        <v>99</v>
      </c>
      <c r="D21" s="71" t="s">
        <v>153</v>
      </c>
      <c r="E21" s="73">
        <v>9.08</v>
      </c>
      <c r="F21" s="74">
        <f>SUM(E21*2/100)</f>
        <v>0.18160000000000001</v>
      </c>
      <c r="G21" s="74">
        <v>283.44</v>
      </c>
      <c r="H21" s="78">
        <f>SUM(F21*G21/1000)</f>
        <v>5.1472704000000001E-2</v>
      </c>
      <c r="I21" s="13">
        <f>F21/2*G21</f>
        <v>25.736352</v>
      </c>
      <c r="J21" s="22"/>
      <c r="K21" s="8"/>
      <c r="L21" s="8"/>
      <c r="M21" s="8"/>
    </row>
    <row r="22" spans="1:13" ht="15.75" hidden="1" customHeight="1">
      <c r="A22" s="29">
        <v>7</v>
      </c>
      <c r="B22" s="71" t="s">
        <v>100</v>
      </c>
      <c r="C22" s="72" t="s">
        <v>54</v>
      </c>
      <c r="D22" s="71" t="s">
        <v>109</v>
      </c>
      <c r="E22" s="76">
        <v>30</v>
      </c>
      <c r="F22" s="74">
        <f>SUM(E22/100)</f>
        <v>0.3</v>
      </c>
      <c r="G22" s="74">
        <v>58.08</v>
      </c>
      <c r="H22" s="78">
        <f t="shared" si="0"/>
        <v>1.7423999999999999E-2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6</v>
      </c>
      <c r="B23" s="71" t="s">
        <v>101</v>
      </c>
      <c r="C23" s="72" t="s">
        <v>54</v>
      </c>
      <c r="D23" s="71" t="s">
        <v>109</v>
      </c>
      <c r="E23" s="73">
        <v>20</v>
      </c>
      <c r="F23" s="74">
        <f>SUM(E23/100)</f>
        <v>0.2</v>
      </c>
      <c r="G23" s="74">
        <v>511.12</v>
      </c>
      <c r="H23" s="78">
        <f t="shared" si="0"/>
        <v>0.10222400000000001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71" t="s">
        <v>102</v>
      </c>
      <c r="C24" s="72" t="s">
        <v>54</v>
      </c>
      <c r="D24" s="71" t="s">
        <v>109</v>
      </c>
      <c r="E24" s="73">
        <v>8.5</v>
      </c>
      <c r="F24" s="74">
        <f>SUM(E24/100)</f>
        <v>8.5000000000000006E-2</v>
      </c>
      <c r="G24" s="74">
        <v>683.05</v>
      </c>
      <c r="H24" s="78">
        <f t="shared" si="0"/>
        <v>5.805925E-2</v>
      </c>
      <c r="I24" s="13">
        <v>0</v>
      </c>
      <c r="J24" s="22"/>
      <c r="K24" s="8"/>
      <c r="L24" s="8"/>
      <c r="M24" s="8"/>
    </row>
    <row r="25" spans="1:13" ht="15.75" hidden="1" customHeight="1">
      <c r="A25" s="94">
        <v>7</v>
      </c>
      <c r="B25" s="83" t="s">
        <v>106</v>
      </c>
      <c r="C25" s="84" t="s">
        <v>54</v>
      </c>
      <c r="D25" s="83" t="s">
        <v>55</v>
      </c>
      <c r="E25" s="81">
        <v>20</v>
      </c>
      <c r="F25" s="85">
        <f>SUM(E25/100)</f>
        <v>0.2</v>
      </c>
      <c r="G25" s="85">
        <v>283.44</v>
      </c>
      <c r="H25" s="82">
        <f t="shared" si="0"/>
        <v>5.6688000000000002E-2</v>
      </c>
      <c r="I25" s="13">
        <v>0</v>
      </c>
      <c r="J25" s="22"/>
      <c r="K25" s="8"/>
      <c r="L25" s="8"/>
      <c r="M25" s="8"/>
    </row>
    <row r="26" spans="1:13" ht="15.75" customHeight="1">
      <c r="A26" s="29">
        <v>6</v>
      </c>
      <c r="B26" s="34" t="s">
        <v>66</v>
      </c>
      <c r="C26" s="44" t="s">
        <v>33</v>
      </c>
      <c r="D26" s="34" t="s">
        <v>154</v>
      </c>
      <c r="E26" s="118">
        <v>0.05</v>
      </c>
      <c r="F26" s="33">
        <f>SUM(E26*182)</f>
        <v>9.1</v>
      </c>
      <c r="G26" s="33">
        <v>264.85000000000002</v>
      </c>
      <c r="H26" s="119">
        <f t="shared" ref="H26:H27" si="1">SUM(F26*G26/1000)</f>
        <v>2.4101350000000004</v>
      </c>
      <c r="I26" s="13">
        <f>F26/12*G26</f>
        <v>200.84458333333333</v>
      </c>
      <c r="J26" s="23"/>
    </row>
    <row r="27" spans="1:13" ht="15.75" customHeight="1">
      <c r="A27" s="29">
        <v>7</v>
      </c>
      <c r="B27" s="120" t="s">
        <v>23</v>
      </c>
      <c r="C27" s="44" t="s">
        <v>24</v>
      </c>
      <c r="D27" s="120" t="s">
        <v>132</v>
      </c>
      <c r="E27" s="121">
        <v>3053.4</v>
      </c>
      <c r="F27" s="33">
        <f>SUM(E27*12)</f>
        <v>36640.800000000003</v>
      </c>
      <c r="G27" s="33">
        <v>4.09</v>
      </c>
      <c r="H27" s="119">
        <f t="shared" si="1"/>
        <v>149.860872</v>
      </c>
      <c r="I27" s="13">
        <f>F27/12*G27</f>
        <v>12488.405999999999</v>
      </c>
      <c r="J27" s="23"/>
    </row>
    <row r="28" spans="1:13" ht="15.75" customHeight="1">
      <c r="A28" s="178" t="s">
        <v>150</v>
      </c>
      <c r="B28" s="178"/>
      <c r="C28" s="178"/>
      <c r="D28" s="178"/>
      <c r="E28" s="178"/>
      <c r="F28" s="178"/>
      <c r="G28" s="178"/>
      <c r="H28" s="178"/>
      <c r="I28" s="178"/>
      <c r="J28" s="22"/>
      <c r="K28" s="8"/>
      <c r="L28" s="8"/>
      <c r="M28" s="8"/>
    </row>
    <row r="29" spans="1:13" ht="15.75" customHeight="1">
      <c r="A29" s="96"/>
      <c r="B29" s="104" t="s">
        <v>28</v>
      </c>
      <c r="C29" s="98"/>
      <c r="D29" s="97"/>
      <c r="E29" s="99"/>
      <c r="F29" s="100"/>
      <c r="G29" s="100"/>
      <c r="H29" s="105"/>
      <c r="I29" s="106"/>
      <c r="J29" s="22"/>
      <c r="K29" s="8"/>
      <c r="L29" s="8"/>
      <c r="M29" s="8"/>
    </row>
    <row r="30" spans="1:13" ht="15.75" customHeight="1">
      <c r="A30" s="29">
        <v>8</v>
      </c>
      <c r="B30" s="71" t="s">
        <v>110</v>
      </c>
      <c r="C30" s="72" t="s">
        <v>111</v>
      </c>
      <c r="D30" s="71" t="s">
        <v>127</v>
      </c>
      <c r="E30" s="74">
        <v>317.7</v>
      </c>
      <c r="F30" s="74">
        <f>SUM(E30*52/1000)</f>
        <v>16.520399999999999</v>
      </c>
      <c r="G30" s="74">
        <v>204.44</v>
      </c>
      <c r="H30" s="78">
        <f t="shared" ref="H30:H36" si="2">SUM(F30*G30/1000)</f>
        <v>3.3774305759999996</v>
      </c>
      <c r="I30" s="13">
        <f t="shared" ref="I30:I34" si="3">F30/6*G30</f>
        <v>562.90509599999996</v>
      </c>
      <c r="J30" s="22"/>
      <c r="K30" s="8"/>
      <c r="L30" s="8"/>
      <c r="M30" s="8"/>
    </row>
    <row r="31" spans="1:13" ht="31.5" customHeight="1">
      <c r="A31" s="29">
        <v>9</v>
      </c>
      <c r="B31" s="71" t="s">
        <v>137</v>
      </c>
      <c r="C31" s="72" t="s">
        <v>111</v>
      </c>
      <c r="D31" s="71" t="s">
        <v>128</v>
      </c>
      <c r="E31" s="74">
        <v>146.1</v>
      </c>
      <c r="F31" s="74">
        <f>SUM(E31*78/1000)</f>
        <v>11.395799999999999</v>
      </c>
      <c r="G31" s="74">
        <v>339.21</v>
      </c>
      <c r="H31" s="78">
        <f t="shared" si="2"/>
        <v>3.8655693179999995</v>
      </c>
      <c r="I31" s="13">
        <f t="shared" si="3"/>
        <v>644.26155299999994</v>
      </c>
      <c r="J31" s="22"/>
      <c r="K31" s="8"/>
      <c r="L31" s="8"/>
      <c r="M31" s="8"/>
    </row>
    <row r="32" spans="1:13" ht="15.75" hidden="1" customHeight="1">
      <c r="A32" s="29">
        <v>11</v>
      </c>
      <c r="B32" s="71" t="s">
        <v>27</v>
      </c>
      <c r="C32" s="72" t="s">
        <v>111</v>
      </c>
      <c r="D32" s="71" t="s">
        <v>55</v>
      </c>
      <c r="E32" s="74">
        <f>E30</f>
        <v>317.7</v>
      </c>
      <c r="F32" s="74">
        <f>SUM(E32/1000)</f>
        <v>0.31769999999999998</v>
      </c>
      <c r="G32" s="74">
        <v>3961.23</v>
      </c>
      <c r="H32" s="78">
        <f t="shared" si="2"/>
        <v>1.2584827709999999</v>
      </c>
      <c r="I32" s="13">
        <f>F32*G32</f>
        <v>1258.482771</v>
      </c>
      <c r="J32" s="22"/>
      <c r="K32" s="8"/>
      <c r="L32" s="8"/>
      <c r="M32" s="8"/>
    </row>
    <row r="33" spans="1:14" ht="15.75" customHeight="1">
      <c r="A33" s="29">
        <v>10</v>
      </c>
      <c r="B33" s="71" t="s">
        <v>155</v>
      </c>
      <c r="C33" s="72" t="s">
        <v>41</v>
      </c>
      <c r="D33" s="71" t="s">
        <v>65</v>
      </c>
      <c r="E33" s="74">
        <v>5</v>
      </c>
      <c r="F33" s="74">
        <f>E33*155/100</f>
        <v>7.75</v>
      </c>
      <c r="G33" s="74">
        <v>1707.63</v>
      </c>
      <c r="H33" s="78">
        <f t="shared" si="2"/>
        <v>13.234132500000001</v>
      </c>
      <c r="I33" s="13">
        <f t="shared" si="3"/>
        <v>2205.6887500000003</v>
      </c>
      <c r="J33" s="22"/>
      <c r="K33" s="8"/>
      <c r="L33" s="8"/>
      <c r="M33" s="8"/>
    </row>
    <row r="34" spans="1:14" ht="15.75" customHeight="1">
      <c r="A34" s="29">
        <v>11</v>
      </c>
      <c r="B34" s="71" t="s">
        <v>112</v>
      </c>
      <c r="C34" s="72" t="s">
        <v>31</v>
      </c>
      <c r="D34" s="71" t="s">
        <v>65</v>
      </c>
      <c r="E34" s="80">
        <f>1/6</f>
        <v>0.16666666666666666</v>
      </c>
      <c r="F34" s="74">
        <f>155/6</f>
        <v>25.833333333333332</v>
      </c>
      <c r="G34" s="74">
        <v>74.349999999999994</v>
      </c>
      <c r="H34" s="78">
        <f t="shared" si="2"/>
        <v>1.920708333333333</v>
      </c>
      <c r="I34" s="13">
        <f t="shared" si="3"/>
        <v>320.11805555555554</v>
      </c>
      <c r="J34" s="22"/>
      <c r="K34" s="8"/>
      <c r="L34" s="8"/>
      <c r="M34" s="8"/>
    </row>
    <row r="35" spans="1:14" ht="15.75" hidden="1" customHeight="1">
      <c r="A35" s="29"/>
      <c r="B35" s="34" t="s">
        <v>67</v>
      </c>
      <c r="C35" s="44" t="s">
        <v>33</v>
      </c>
      <c r="D35" s="34" t="s">
        <v>69</v>
      </c>
      <c r="E35" s="121"/>
      <c r="F35" s="33">
        <v>2</v>
      </c>
      <c r="G35" s="33">
        <v>250.92</v>
      </c>
      <c r="H35" s="119">
        <f t="shared" si="2"/>
        <v>0.50183999999999995</v>
      </c>
      <c r="I35" s="13">
        <v>0</v>
      </c>
      <c r="J35" s="22"/>
      <c r="K35" s="8"/>
    </row>
    <row r="36" spans="1:14" ht="15.75" hidden="1" customHeight="1">
      <c r="A36" s="29"/>
      <c r="B36" s="34" t="s">
        <v>68</v>
      </c>
      <c r="C36" s="44" t="s">
        <v>32</v>
      </c>
      <c r="D36" s="34" t="s">
        <v>69</v>
      </c>
      <c r="E36" s="121"/>
      <c r="F36" s="33">
        <v>1</v>
      </c>
      <c r="G36" s="33">
        <v>1490.31</v>
      </c>
      <c r="H36" s="119">
        <f t="shared" si="2"/>
        <v>1.49031</v>
      </c>
      <c r="I36" s="13"/>
      <c r="J36" s="22"/>
      <c r="K36" s="8"/>
    </row>
    <row r="37" spans="1:14" ht="15.75" hidden="1" customHeight="1">
      <c r="A37" s="29"/>
      <c r="B37" s="93" t="s">
        <v>5</v>
      </c>
      <c r="C37" s="72"/>
      <c r="D37" s="71"/>
      <c r="E37" s="73"/>
      <c r="F37" s="74"/>
      <c r="G37" s="74"/>
      <c r="H37" s="78" t="s">
        <v>132</v>
      </c>
      <c r="I37" s="79"/>
      <c r="J37" s="23"/>
    </row>
    <row r="38" spans="1:14" ht="15.75" hidden="1" customHeight="1">
      <c r="A38" s="29">
        <v>9</v>
      </c>
      <c r="B38" s="71" t="s">
        <v>26</v>
      </c>
      <c r="C38" s="72" t="s">
        <v>32</v>
      </c>
      <c r="D38" s="71"/>
      <c r="E38" s="73"/>
      <c r="F38" s="74">
        <v>3</v>
      </c>
      <c r="G38" s="74">
        <v>2003</v>
      </c>
      <c r="H38" s="78">
        <f t="shared" ref="H38:H44" si="4">SUM(F38*G38/1000)</f>
        <v>6.0090000000000003</v>
      </c>
      <c r="I38" s="13">
        <f t="shared" ref="I38:I44" si="5">F38/6*G38</f>
        <v>1001.5</v>
      </c>
      <c r="J38" s="23"/>
    </row>
    <row r="39" spans="1:14" ht="15.75" hidden="1" customHeight="1">
      <c r="A39" s="29">
        <v>10</v>
      </c>
      <c r="B39" s="71" t="s">
        <v>70</v>
      </c>
      <c r="C39" s="72" t="s">
        <v>29</v>
      </c>
      <c r="D39" s="71" t="s">
        <v>156</v>
      </c>
      <c r="E39" s="74">
        <v>160.6</v>
      </c>
      <c r="F39" s="74">
        <f>SUM(E39*18/1000)</f>
        <v>2.8907999999999996</v>
      </c>
      <c r="G39" s="74">
        <v>2757.78</v>
      </c>
      <c r="H39" s="78">
        <f t="shared" si="4"/>
        <v>7.972190423999999</v>
      </c>
      <c r="I39" s="13">
        <f t="shared" si="5"/>
        <v>1328.698404</v>
      </c>
      <c r="J39" s="23"/>
    </row>
    <row r="40" spans="1:14" ht="15.75" hidden="1" customHeight="1">
      <c r="A40" s="29">
        <v>11</v>
      </c>
      <c r="B40" s="71" t="s">
        <v>71</v>
      </c>
      <c r="C40" s="72" t="s">
        <v>29</v>
      </c>
      <c r="D40" s="71" t="s">
        <v>129</v>
      </c>
      <c r="E40" s="73">
        <v>89.1</v>
      </c>
      <c r="F40" s="74">
        <f>SUM(E40*155/1000)</f>
        <v>13.810499999999999</v>
      </c>
      <c r="G40" s="74">
        <v>460.02</v>
      </c>
      <c r="H40" s="78">
        <f t="shared" si="4"/>
        <v>6.3531062099999991</v>
      </c>
      <c r="I40" s="13">
        <f t="shared" si="5"/>
        <v>1058.8510349999999</v>
      </c>
      <c r="J40" s="23"/>
    </row>
    <row r="41" spans="1:14" ht="15.75" hidden="1" customHeight="1">
      <c r="A41" s="29">
        <v>12</v>
      </c>
      <c r="B41" s="71" t="s">
        <v>157</v>
      </c>
      <c r="C41" s="72" t="s">
        <v>158</v>
      </c>
      <c r="D41" s="71" t="s">
        <v>69</v>
      </c>
      <c r="E41" s="73"/>
      <c r="F41" s="74">
        <v>39</v>
      </c>
      <c r="G41" s="74">
        <v>301.70999999999998</v>
      </c>
      <c r="H41" s="78">
        <f t="shared" si="4"/>
        <v>11.766689999999999</v>
      </c>
      <c r="I41" s="13">
        <v>0</v>
      </c>
      <c r="J41" s="23"/>
    </row>
    <row r="42" spans="1:14" ht="47.25" hidden="1" customHeight="1">
      <c r="A42" s="29">
        <v>13</v>
      </c>
      <c r="B42" s="71" t="s">
        <v>88</v>
      </c>
      <c r="C42" s="72" t="s">
        <v>111</v>
      </c>
      <c r="D42" s="71" t="s">
        <v>159</v>
      </c>
      <c r="E42" s="74">
        <v>46.5</v>
      </c>
      <c r="F42" s="74">
        <f>SUM(E42*35/1000)</f>
        <v>1.6274999999999999</v>
      </c>
      <c r="G42" s="74">
        <v>7611.16</v>
      </c>
      <c r="H42" s="78">
        <f t="shared" si="4"/>
        <v>12.3871629</v>
      </c>
      <c r="I42" s="13">
        <f t="shared" si="5"/>
        <v>2064.5271499999999</v>
      </c>
      <c r="J42" s="23"/>
      <c r="L42" s="19"/>
      <c r="M42" s="20"/>
      <c r="N42" s="21"/>
    </row>
    <row r="43" spans="1:14" ht="15.75" hidden="1" customHeight="1">
      <c r="A43" s="94">
        <v>14</v>
      </c>
      <c r="B43" s="71" t="s">
        <v>113</v>
      </c>
      <c r="C43" s="72" t="s">
        <v>111</v>
      </c>
      <c r="D43" s="71" t="s">
        <v>72</v>
      </c>
      <c r="E43" s="74">
        <v>89.1</v>
      </c>
      <c r="F43" s="74">
        <f>SUM(E43*45/1000)</f>
        <v>4.0094999999999992</v>
      </c>
      <c r="G43" s="74">
        <v>562.25</v>
      </c>
      <c r="H43" s="78">
        <f t="shared" si="4"/>
        <v>2.2543413749999996</v>
      </c>
      <c r="I43" s="13">
        <f t="shared" si="5"/>
        <v>375.72356249999996</v>
      </c>
      <c r="J43" s="23"/>
      <c r="L43" s="19"/>
      <c r="M43" s="20"/>
      <c r="N43" s="21"/>
    </row>
    <row r="44" spans="1:14" ht="15.75" hidden="1" customHeight="1">
      <c r="A44" s="122"/>
      <c r="B44" s="71" t="s">
        <v>73</v>
      </c>
      <c r="C44" s="72" t="s">
        <v>33</v>
      </c>
      <c r="D44" s="71"/>
      <c r="E44" s="73"/>
      <c r="F44" s="74">
        <v>0.9</v>
      </c>
      <c r="G44" s="74">
        <v>974.83</v>
      </c>
      <c r="H44" s="78">
        <f t="shared" si="4"/>
        <v>0.8773470000000001</v>
      </c>
      <c r="I44" s="13">
        <f t="shared" si="5"/>
        <v>146.22450000000001</v>
      </c>
      <c r="J44" s="23"/>
      <c r="L44" s="19"/>
      <c r="M44" s="20"/>
      <c r="N44" s="21"/>
    </row>
    <row r="45" spans="1:14" ht="15.75" customHeight="1">
      <c r="A45" s="179" t="s">
        <v>138</v>
      </c>
      <c r="B45" s="180"/>
      <c r="C45" s="180"/>
      <c r="D45" s="180"/>
      <c r="E45" s="180"/>
      <c r="F45" s="180"/>
      <c r="G45" s="180"/>
      <c r="H45" s="180"/>
      <c r="I45" s="181"/>
      <c r="J45" s="23"/>
      <c r="L45" s="19"/>
      <c r="M45" s="20"/>
      <c r="N45" s="21"/>
    </row>
    <row r="46" spans="1:14" ht="15.75" customHeight="1">
      <c r="A46" s="96">
        <v>12</v>
      </c>
      <c r="B46" s="34" t="s">
        <v>114</v>
      </c>
      <c r="C46" s="44" t="s">
        <v>111</v>
      </c>
      <c r="D46" s="34" t="s">
        <v>43</v>
      </c>
      <c r="E46" s="121">
        <v>1632.75</v>
      </c>
      <c r="F46" s="33">
        <f>SUM(E46*2/1000)</f>
        <v>3.2654999999999998</v>
      </c>
      <c r="G46" s="36">
        <v>1062</v>
      </c>
      <c r="H46" s="119">
        <f t="shared" ref="H46:H55" si="6">SUM(F46*G46/1000)</f>
        <v>3.4679609999999998</v>
      </c>
      <c r="I46" s="13">
        <f>F46/2*G46</f>
        <v>1733.9804999999999</v>
      </c>
      <c r="J46" s="23"/>
      <c r="L46" s="19"/>
      <c r="M46" s="20"/>
      <c r="N46" s="21"/>
    </row>
    <row r="47" spans="1:14" ht="15.75" customHeight="1">
      <c r="A47" s="29">
        <v>13</v>
      </c>
      <c r="B47" s="34" t="s">
        <v>36</v>
      </c>
      <c r="C47" s="44" t="s">
        <v>111</v>
      </c>
      <c r="D47" s="34" t="s">
        <v>43</v>
      </c>
      <c r="E47" s="121">
        <v>53.75</v>
      </c>
      <c r="F47" s="33">
        <f>SUM(E47*2/1000)</f>
        <v>0.1075</v>
      </c>
      <c r="G47" s="36">
        <v>759.98</v>
      </c>
      <c r="H47" s="119">
        <f t="shared" si="6"/>
        <v>8.1697850000000002E-2</v>
      </c>
      <c r="I47" s="13">
        <f t="shared" ref="I47:I54" si="7">F47/2*G47</f>
        <v>40.848925000000001</v>
      </c>
      <c r="J47" s="23"/>
      <c r="L47" s="19"/>
      <c r="M47" s="20"/>
      <c r="N47" s="21"/>
    </row>
    <row r="48" spans="1:14" ht="15.75" customHeight="1">
      <c r="A48" s="29">
        <v>14</v>
      </c>
      <c r="B48" s="34" t="s">
        <v>37</v>
      </c>
      <c r="C48" s="44" t="s">
        <v>111</v>
      </c>
      <c r="D48" s="34" t="s">
        <v>43</v>
      </c>
      <c r="E48" s="121">
        <v>2285.6</v>
      </c>
      <c r="F48" s="33">
        <f>SUM(E48*2/1000)</f>
        <v>4.5712000000000002</v>
      </c>
      <c r="G48" s="36">
        <v>759.98</v>
      </c>
      <c r="H48" s="119">
        <f t="shared" si="6"/>
        <v>3.4740205760000005</v>
      </c>
      <c r="I48" s="13">
        <f t="shared" si="7"/>
        <v>1737.0102880000002</v>
      </c>
      <c r="J48" s="23"/>
      <c r="L48" s="19"/>
      <c r="M48" s="20"/>
      <c r="N48" s="21"/>
    </row>
    <row r="49" spans="1:14" ht="15.75" customHeight="1">
      <c r="A49" s="29">
        <v>15</v>
      </c>
      <c r="B49" s="34" t="s">
        <v>38</v>
      </c>
      <c r="C49" s="44" t="s">
        <v>111</v>
      </c>
      <c r="D49" s="34" t="s">
        <v>43</v>
      </c>
      <c r="E49" s="121">
        <v>1860</v>
      </c>
      <c r="F49" s="33">
        <f>SUM(E49*2/1000)</f>
        <v>3.72</v>
      </c>
      <c r="G49" s="36">
        <v>795.82</v>
      </c>
      <c r="H49" s="119">
        <f t="shared" si="6"/>
        <v>2.9604504</v>
      </c>
      <c r="I49" s="13">
        <f t="shared" si="7"/>
        <v>1480.2252000000001</v>
      </c>
      <c r="J49" s="23"/>
      <c r="L49" s="19"/>
      <c r="M49" s="20"/>
      <c r="N49" s="21"/>
    </row>
    <row r="50" spans="1:14" ht="15.75" customHeight="1">
      <c r="A50" s="29">
        <v>16</v>
      </c>
      <c r="B50" s="34" t="s">
        <v>34</v>
      </c>
      <c r="C50" s="44" t="s">
        <v>35</v>
      </c>
      <c r="D50" s="34" t="s">
        <v>43</v>
      </c>
      <c r="E50" s="121">
        <v>120.5</v>
      </c>
      <c r="F50" s="33">
        <f>SUM(E50*2/100)</f>
        <v>2.41</v>
      </c>
      <c r="G50" s="36">
        <v>95.49</v>
      </c>
      <c r="H50" s="119">
        <f t="shared" si="6"/>
        <v>0.2301309</v>
      </c>
      <c r="I50" s="13">
        <f t="shared" si="7"/>
        <v>115.06545</v>
      </c>
      <c r="J50" s="23"/>
      <c r="L50" s="19"/>
      <c r="M50" s="20"/>
      <c r="N50" s="21"/>
    </row>
    <row r="51" spans="1:14" ht="15.75" customHeight="1">
      <c r="A51" s="29">
        <v>17</v>
      </c>
      <c r="B51" s="34" t="s">
        <v>58</v>
      </c>
      <c r="C51" s="44" t="s">
        <v>111</v>
      </c>
      <c r="D51" s="34" t="s">
        <v>141</v>
      </c>
      <c r="E51" s="121">
        <v>3053.4</v>
      </c>
      <c r="F51" s="33">
        <f>SUM(E51*5/1000)</f>
        <v>15.266999999999999</v>
      </c>
      <c r="G51" s="36">
        <v>1591.6</v>
      </c>
      <c r="H51" s="119">
        <f t="shared" si="6"/>
        <v>24.298957199999997</v>
      </c>
      <c r="I51" s="13">
        <f>F51/5*G51</f>
        <v>4859.79144</v>
      </c>
      <c r="J51" s="23"/>
      <c r="L51" s="19"/>
      <c r="M51" s="20"/>
      <c r="N51" s="21"/>
    </row>
    <row r="52" spans="1:14" ht="31.5" hidden="1" customHeight="1">
      <c r="A52" s="29"/>
      <c r="B52" s="34" t="s">
        <v>115</v>
      </c>
      <c r="C52" s="44" t="s">
        <v>111</v>
      </c>
      <c r="D52" s="34" t="s">
        <v>43</v>
      </c>
      <c r="E52" s="121">
        <f>E51</f>
        <v>3053.4</v>
      </c>
      <c r="F52" s="33">
        <f>SUM(E52*2/1000)</f>
        <v>6.1067999999999998</v>
      </c>
      <c r="G52" s="36">
        <v>1591.6</v>
      </c>
      <c r="H52" s="119">
        <f t="shared" si="6"/>
        <v>9.7195828800000008</v>
      </c>
      <c r="I52" s="13">
        <f t="shared" si="7"/>
        <v>4859.79144</v>
      </c>
      <c r="J52" s="23"/>
      <c r="L52" s="19"/>
      <c r="M52" s="20"/>
      <c r="N52" s="21"/>
    </row>
    <row r="53" spans="1:14" ht="31.5" hidden="1" customHeight="1">
      <c r="A53" s="29"/>
      <c r="B53" s="34" t="s">
        <v>133</v>
      </c>
      <c r="C53" s="44" t="s">
        <v>39</v>
      </c>
      <c r="D53" s="34" t="s">
        <v>43</v>
      </c>
      <c r="E53" s="121">
        <v>20</v>
      </c>
      <c r="F53" s="33">
        <f>SUM(E53*2/100)</f>
        <v>0.4</v>
      </c>
      <c r="G53" s="36">
        <v>3581.13</v>
      </c>
      <c r="H53" s="119">
        <f t="shared" si="6"/>
        <v>1.4324520000000003</v>
      </c>
      <c r="I53" s="13">
        <f t="shared" si="7"/>
        <v>716.22600000000011</v>
      </c>
      <c r="J53" s="23"/>
      <c r="L53" s="19"/>
      <c r="M53" s="20"/>
      <c r="N53" s="21"/>
    </row>
    <row r="54" spans="1:14" ht="15.75" hidden="1" customHeight="1">
      <c r="A54" s="29"/>
      <c r="B54" s="34" t="s">
        <v>40</v>
      </c>
      <c r="C54" s="44" t="s">
        <v>41</v>
      </c>
      <c r="D54" s="34" t="s">
        <v>43</v>
      </c>
      <c r="E54" s="121">
        <v>1</v>
      </c>
      <c r="F54" s="33">
        <v>0.02</v>
      </c>
      <c r="G54" s="36">
        <v>7412.92</v>
      </c>
      <c r="H54" s="119">
        <f t="shared" si="6"/>
        <v>0.14825839999999998</v>
      </c>
      <c r="I54" s="13">
        <f t="shared" si="7"/>
        <v>74.129199999999997</v>
      </c>
      <c r="J54" s="23"/>
      <c r="L54" s="19"/>
      <c r="M54" s="20"/>
      <c r="N54" s="21"/>
    </row>
    <row r="55" spans="1:14" ht="15.75" customHeight="1">
      <c r="A55" s="29">
        <v>18</v>
      </c>
      <c r="B55" s="34" t="s">
        <v>42</v>
      </c>
      <c r="C55" s="44" t="s">
        <v>95</v>
      </c>
      <c r="D55" s="34" t="s">
        <v>74</v>
      </c>
      <c r="E55" s="121">
        <v>128</v>
      </c>
      <c r="F55" s="33">
        <f>SUM(E55)*3</f>
        <v>384</v>
      </c>
      <c r="G55" s="37">
        <v>86.15</v>
      </c>
      <c r="H55" s="119">
        <f t="shared" si="6"/>
        <v>33.081600000000009</v>
      </c>
      <c r="I55" s="13">
        <f>E55*G55</f>
        <v>11027.2</v>
      </c>
      <c r="J55" s="23"/>
      <c r="L55" s="19"/>
      <c r="M55" s="20"/>
      <c r="N55" s="21"/>
    </row>
    <row r="56" spans="1:14" ht="15.75" customHeight="1">
      <c r="A56" s="203" t="s">
        <v>139</v>
      </c>
      <c r="B56" s="204"/>
      <c r="C56" s="204"/>
      <c r="D56" s="204"/>
      <c r="E56" s="204"/>
      <c r="F56" s="204"/>
      <c r="G56" s="204"/>
      <c r="H56" s="204"/>
      <c r="I56" s="205"/>
      <c r="J56" s="23"/>
      <c r="L56" s="19"/>
      <c r="M56" s="20"/>
      <c r="N56" s="21"/>
    </row>
    <row r="57" spans="1:14" ht="15.75" hidden="1" customHeight="1">
      <c r="A57" s="29"/>
      <c r="B57" s="93" t="s">
        <v>44</v>
      </c>
      <c r="C57" s="72"/>
      <c r="D57" s="71"/>
      <c r="E57" s="73"/>
      <c r="F57" s="74"/>
      <c r="G57" s="74"/>
      <c r="H57" s="78"/>
      <c r="I57" s="79"/>
      <c r="J57" s="23"/>
      <c r="L57" s="19"/>
      <c r="M57" s="20"/>
      <c r="N57" s="21"/>
    </row>
    <row r="58" spans="1:14" ht="31.5" hidden="1" customHeight="1">
      <c r="A58" s="29">
        <v>17</v>
      </c>
      <c r="B58" s="71" t="s">
        <v>116</v>
      </c>
      <c r="C58" s="72" t="s">
        <v>99</v>
      </c>
      <c r="D58" s="71" t="s">
        <v>117</v>
      </c>
      <c r="E58" s="73">
        <v>92.7</v>
      </c>
      <c r="F58" s="74">
        <f>SUM(E58*6/100)</f>
        <v>5.5620000000000003</v>
      </c>
      <c r="G58" s="13">
        <v>2431.1799999999998</v>
      </c>
      <c r="H58" s="78">
        <f>SUM(F58*G58/1000)</f>
        <v>13.522223159999999</v>
      </c>
      <c r="I58" s="13">
        <f>F58/6*G58</f>
        <v>2253.7038600000001</v>
      </c>
      <c r="J58" s="23"/>
      <c r="L58" s="19"/>
      <c r="M58" s="20"/>
      <c r="N58" s="21"/>
    </row>
    <row r="59" spans="1:14" ht="15.75" hidden="1" customHeight="1">
      <c r="A59" s="29">
        <v>19</v>
      </c>
      <c r="B59" s="71" t="s">
        <v>134</v>
      </c>
      <c r="C59" s="72" t="s">
        <v>135</v>
      </c>
      <c r="D59" s="14" t="s">
        <v>69</v>
      </c>
      <c r="E59" s="73"/>
      <c r="F59" s="74">
        <v>2</v>
      </c>
      <c r="G59" s="67">
        <v>1582.05</v>
      </c>
      <c r="H59" s="78">
        <f>SUM(F59*G59/1000)</f>
        <v>3.1640999999999999</v>
      </c>
      <c r="I59" s="13">
        <f>G59*2</f>
        <v>3164.1</v>
      </c>
      <c r="J59" s="23"/>
      <c r="L59" s="19"/>
      <c r="M59" s="20"/>
      <c r="N59" s="21"/>
    </row>
    <row r="60" spans="1:14" ht="15.75" customHeight="1">
      <c r="A60" s="29"/>
      <c r="B60" s="93" t="s">
        <v>45</v>
      </c>
      <c r="C60" s="72"/>
      <c r="D60" s="71"/>
      <c r="E60" s="73"/>
      <c r="F60" s="74"/>
      <c r="G60" s="74"/>
      <c r="H60" s="75" t="s">
        <v>132</v>
      </c>
      <c r="I60" s="79"/>
      <c r="J60" s="23"/>
      <c r="L60" s="19"/>
      <c r="M60" s="20"/>
      <c r="N60" s="21"/>
    </row>
    <row r="61" spans="1:14" ht="15.75" hidden="1" customHeight="1">
      <c r="A61" s="29"/>
      <c r="B61" s="34" t="s">
        <v>46</v>
      </c>
      <c r="C61" s="44" t="s">
        <v>99</v>
      </c>
      <c r="D61" s="34" t="s">
        <v>55</v>
      </c>
      <c r="E61" s="123">
        <v>145</v>
      </c>
      <c r="F61" s="33">
        <f>SUM(E61/100)</f>
        <v>1.45</v>
      </c>
      <c r="G61" s="36">
        <v>1040.8399999999999</v>
      </c>
      <c r="H61" s="124">
        <v>9.1679999999999993</v>
      </c>
      <c r="I61" s="13">
        <v>0</v>
      </c>
      <c r="J61" s="23"/>
      <c r="L61" s="19"/>
      <c r="M61" s="20"/>
      <c r="N61" s="21"/>
    </row>
    <row r="62" spans="1:14" ht="15.75" customHeight="1">
      <c r="A62" s="29">
        <v>19</v>
      </c>
      <c r="B62" s="125" t="s">
        <v>96</v>
      </c>
      <c r="C62" s="126" t="s">
        <v>25</v>
      </c>
      <c r="D62" s="125" t="s">
        <v>30</v>
      </c>
      <c r="E62" s="123">
        <v>255.2</v>
      </c>
      <c r="F62" s="33">
        <v>2400</v>
      </c>
      <c r="G62" s="127">
        <v>1.2</v>
      </c>
      <c r="H62" s="128">
        <f>G62*F62/1000</f>
        <v>2.88</v>
      </c>
      <c r="I62" s="13">
        <f>F62/12*G62</f>
        <v>240</v>
      </c>
      <c r="J62" s="23"/>
      <c r="L62" s="19"/>
      <c r="M62" s="20"/>
      <c r="N62" s="21"/>
    </row>
    <row r="63" spans="1:14" ht="15.75" customHeight="1">
      <c r="A63" s="29"/>
      <c r="B63" s="102" t="s">
        <v>47</v>
      </c>
      <c r="C63" s="84"/>
      <c r="D63" s="83"/>
      <c r="E63" s="81"/>
      <c r="F63" s="85"/>
      <c r="G63" s="85"/>
      <c r="H63" s="86" t="s">
        <v>132</v>
      </c>
      <c r="I63" s="79"/>
      <c r="J63" s="23"/>
      <c r="L63" s="19"/>
      <c r="M63" s="20"/>
      <c r="N63" s="21"/>
    </row>
    <row r="64" spans="1:14" ht="15.75" customHeight="1">
      <c r="A64" s="29">
        <v>20</v>
      </c>
      <c r="B64" s="56" t="s">
        <v>48</v>
      </c>
      <c r="C64" s="40" t="s">
        <v>95</v>
      </c>
      <c r="D64" s="39" t="s">
        <v>69</v>
      </c>
      <c r="E64" s="17">
        <v>6</v>
      </c>
      <c r="F64" s="33">
        <f>SUM(E64)</f>
        <v>6</v>
      </c>
      <c r="G64" s="36">
        <v>291.68</v>
      </c>
      <c r="H64" s="114">
        <f t="shared" ref="H64:H72" si="8">SUM(F64*G64/1000)</f>
        <v>1.7500799999999999</v>
      </c>
      <c r="I64" s="13">
        <f>G64*8</f>
        <v>2333.44</v>
      </c>
      <c r="J64" s="23"/>
      <c r="L64" s="19"/>
    </row>
    <row r="65" spans="1:22" ht="15.75" hidden="1" customHeight="1">
      <c r="A65" s="29"/>
      <c r="B65" s="56" t="s">
        <v>49</v>
      </c>
      <c r="C65" s="40" t="s">
        <v>95</v>
      </c>
      <c r="D65" s="39" t="s">
        <v>69</v>
      </c>
      <c r="E65" s="17">
        <v>4</v>
      </c>
      <c r="F65" s="33">
        <f>SUM(E65)</f>
        <v>4</v>
      </c>
      <c r="G65" s="36">
        <v>100.01</v>
      </c>
      <c r="H65" s="114">
        <f t="shared" si="8"/>
        <v>0.40004000000000001</v>
      </c>
      <c r="I65" s="13">
        <v>0</v>
      </c>
      <c r="J65" s="23"/>
      <c r="L65" s="19"/>
    </row>
    <row r="66" spans="1:22" ht="15.75" hidden="1" customHeight="1">
      <c r="A66" s="29"/>
      <c r="B66" s="56" t="s">
        <v>50</v>
      </c>
      <c r="C66" s="42" t="s">
        <v>118</v>
      </c>
      <c r="D66" s="39" t="s">
        <v>55</v>
      </c>
      <c r="E66" s="121">
        <v>15552</v>
      </c>
      <c r="F66" s="37">
        <f>SUM(E66/100)</f>
        <v>155.52000000000001</v>
      </c>
      <c r="G66" s="36">
        <v>278.24</v>
      </c>
      <c r="H66" s="114">
        <f t="shared" si="8"/>
        <v>43.271884800000009</v>
      </c>
      <c r="I66" s="13">
        <v>0</v>
      </c>
    </row>
    <row r="67" spans="1:22" ht="15.75" hidden="1" customHeight="1">
      <c r="A67" s="29"/>
      <c r="B67" s="56" t="s">
        <v>51</v>
      </c>
      <c r="C67" s="40" t="s">
        <v>119</v>
      </c>
      <c r="D67" s="39"/>
      <c r="E67" s="121">
        <v>15552</v>
      </c>
      <c r="F67" s="36">
        <f>SUM(E67/1000)</f>
        <v>15.552</v>
      </c>
      <c r="G67" s="36">
        <v>216.68</v>
      </c>
      <c r="H67" s="114">
        <f t="shared" si="8"/>
        <v>3.3698073600000003</v>
      </c>
      <c r="I67" s="13">
        <v>0</v>
      </c>
    </row>
    <row r="68" spans="1:22" ht="15.75" hidden="1" customHeight="1">
      <c r="A68" s="29"/>
      <c r="B68" s="56" t="s">
        <v>52</v>
      </c>
      <c r="C68" s="40" t="s">
        <v>81</v>
      </c>
      <c r="D68" s="39" t="s">
        <v>55</v>
      </c>
      <c r="E68" s="121">
        <v>2432</v>
      </c>
      <c r="F68" s="36">
        <f>SUM(E68/100)</f>
        <v>24.32</v>
      </c>
      <c r="G68" s="36">
        <v>2720.94</v>
      </c>
      <c r="H68" s="114">
        <f t="shared" si="8"/>
        <v>66.173260800000008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29"/>
      <c r="B69" s="53" t="s">
        <v>75</v>
      </c>
      <c r="C69" s="40" t="s">
        <v>33</v>
      </c>
      <c r="D69" s="39"/>
      <c r="E69" s="121">
        <v>14.8</v>
      </c>
      <c r="F69" s="36">
        <f>SUM(E69)</f>
        <v>14.8</v>
      </c>
      <c r="G69" s="36">
        <v>42.61</v>
      </c>
      <c r="H69" s="114">
        <f t="shared" si="8"/>
        <v>0.63062800000000008</v>
      </c>
      <c r="I69" s="13">
        <v>0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31.5" hidden="1" customHeight="1">
      <c r="A70" s="29"/>
      <c r="B70" s="53" t="s">
        <v>76</v>
      </c>
      <c r="C70" s="40" t="s">
        <v>33</v>
      </c>
      <c r="D70" s="39"/>
      <c r="E70" s="121">
        <f>E69</f>
        <v>14.8</v>
      </c>
      <c r="F70" s="36">
        <f>SUM(E70)</f>
        <v>14.8</v>
      </c>
      <c r="G70" s="36">
        <v>46.04</v>
      </c>
      <c r="H70" s="114">
        <f t="shared" si="8"/>
        <v>0.681392</v>
      </c>
      <c r="I70" s="13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customHeight="1">
      <c r="A71" s="29">
        <v>21</v>
      </c>
      <c r="B71" s="39" t="s">
        <v>59</v>
      </c>
      <c r="C71" s="40" t="s">
        <v>60</v>
      </c>
      <c r="D71" s="39" t="s">
        <v>55</v>
      </c>
      <c r="E71" s="17">
        <v>5</v>
      </c>
      <c r="F71" s="33">
        <f>SUM(E71)</f>
        <v>5</v>
      </c>
      <c r="G71" s="36">
        <v>65.42</v>
      </c>
      <c r="H71" s="114">
        <f t="shared" si="8"/>
        <v>0.3271</v>
      </c>
      <c r="I71" s="13">
        <f>G71*4</f>
        <v>261.68</v>
      </c>
      <c r="J71" s="5"/>
      <c r="K71" s="5"/>
      <c r="L71" s="5"/>
      <c r="M71" s="5"/>
      <c r="N71" s="5"/>
      <c r="O71" s="5"/>
      <c r="P71" s="5"/>
      <c r="Q71" s="5"/>
      <c r="R71" s="187"/>
      <c r="S71" s="187"/>
      <c r="T71" s="187"/>
      <c r="U71" s="187"/>
    </row>
    <row r="72" spans="1:22" ht="15.75" customHeight="1">
      <c r="A72" s="29">
        <v>22</v>
      </c>
      <c r="B72" s="39" t="s">
        <v>160</v>
      </c>
      <c r="C72" s="45" t="s">
        <v>161</v>
      </c>
      <c r="D72" s="39" t="s">
        <v>69</v>
      </c>
      <c r="E72" s="17">
        <f>E51</f>
        <v>3053.4</v>
      </c>
      <c r="F72" s="33">
        <f>SUM(E72*12)</f>
        <v>36640.800000000003</v>
      </c>
      <c r="G72" s="36">
        <v>2.2799999999999998</v>
      </c>
      <c r="H72" s="114">
        <f t="shared" si="8"/>
        <v>83.541024000000007</v>
      </c>
      <c r="I72" s="13">
        <f>F72/12*G72</f>
        <v>6961.7519999999995</v>
      </c>
      <c r="J72" s="5"/>
      <c r="K72" s="5"/>
      <c r="L72" s="5"/>
      <c r="M72" s="5"/>
      <c r="N72" s="5"/>
      <c r="O72" s="5"/>
      <c r="P72" s="5"/>
      <c r="Q72" s="5"/>
      <c r="R72" s="60"/>
      <c r="S72" s="60"/>
      <c r="T72" s="60"/>
      <c r="U72" s="60"/>
    </row>
    <row r="73" spans="1:22" ht="15.75" customHeight="1">
      <c r="A73" s="29"/>
      <c r="B73" s="66" t="s">
        <v>77</v>
      </c>
      <c r="C73" s="16"/>
      <c r="D73" s="14"/>
      <c r="E73" s="18"/>
      <c r="F73" s="13"/>
      <c r="G73" s="13"/>
      <c r="H73" s="87" t="s">
        <v>132</v>
      </c>
      <c r="I73" s="79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2" ht="15.75" hidden="1" customHeight="1">
      <c r="A74" s="29">
        <v>19</v>
      </c>
      <c r="B74" s="39" t="s">
        <v>162</v>
      </c>
      <c r="C74" s="40" t="s">
        <v>163</v>
      </c>
      <c r="D74" s="39" t="s">
        <v>69</v>
      </c>
      <c r="E74" s="17">
        <v>1</v>
      </c>
      <c r="F74" s="36">
        <f>E74</f>
        <v>1</v>
      </c>
      <c r="G74" s="36">
        <v>1029.1199999999999</v>
      </c>
      <c r="H74" s="113">
        <f t="shared" ref="H74:H75" si="9">SUM(F74*G74/1000)</f>
        <v>1.0291199999999998</v>
      </c>
      <c r="I74" s="13">
        <v>0</v>
      </c>
    </row>
    <row r="75" spans="1:22" ht="15.75" hidden="1" customHeight="1">
      <c r="A75" s="29"/>
      <c r="B75" s="39" t="s">
        <v>164</v>
      </c>
      <c r="C75" s="40" t="s">
        <v>165</v>
      </c>
      <c r="D75" s="129"/>
      <c r="E75" s="17">
        <v>1</v>
      </c>
      <c r="F75" s="36">
        <v>1</v>
      </c>
      <c r="G75" s="36">
        <v>735</v>
      </c>
      <c r="H75" s="113">
        <f t="shared" si="9"/>
        <v>0.73499999999999999</v>
      </c>
      <c r="I75" s="13">
        <v>0</v>
      </c>
    </row>
    <row r="76" spans="1:22" ht="16.5" customHeight="1">
      <c r="A76" s="29">
        <v>23</v>
      </c>
      <c r="B76" s="39" t="s">
        <v>78</v>
      </c>
      <c r="C76" s="40" t="s">
        <v>79</v>
      </c>
      <c r="D76" s="39" t="s">
        <v>69</v>
      </c>
      <c r="E76" s="17">
        <v>5</v>
      </c>
      <c r="F76" s="33">
        <f>SUM(E76/10)</f>
        <v>0.5</v>
      </c>
      <c r="G76" s="36">
        <v>657.87</v>
      </c>
      <c r="H76" s="113">
        <f>SUM(F76*G76/1000)</f>
        <v>0.32893499999999998</v>
      </c>
      <c r="I76" s="13">
        <f>G76*0.2</f>
        <v>131.57400000000001</v>
      </c>
    </row>
    <row r="77" spans="1:22" ht="17.25" hidden="1" customHeight="1">
      <c r="A77" s="29"/>
      <c r="B77" s="39" t="s">
        <v>130</v>
      </c>
      <c r="C77" s="40" t="s">
        <v>95</v>
      </c>
      <c r="D77" s="39" t="s">
        <v>69</v>
      </c>
      <c r="E77" s="17">
        <v>1</v>
      </c>
      <c r="F77" s="36">
        <f>E77</f>
        <v>1</v>
      </c>
      <c r="G77" s="36">
        <v>1118.72</v>
      </c>
      <c r="H77" s="113">
        <f>SUM(F77*G77/1000)</f>
        <v>1.1187199999999999</v>
      </c>
      <c r="I77" s="13">
        <v>0</v>
      </c>
    </row>
    <row r="78" spans="1:22" ht="15.75" customHeight="1">
      <c r="A78" s="29">
        <v>24</v>
      </c>
      <c r="B78" s="115" t="s">
        <v>166</v>
      </c>
      <c r="C78" s="116" t="s">
        <v>95</v>
      </c>
      <c r="D78" s="39" t="s">
        <v>69</v>
      </c>
      <c r="E78" s="17">
        <v>2</v>
      </c>
      <c r="F78" s="33">
        <f>E78*12</f>
        <v>24</v>
      </c>
      <c r="G78" s="36">
        <v>53.42</v>
      </c>
      <c r="H78" s="113">
        <f t="shared" ref="H78:H79" si="10">SUM(F78*G78/1000)</f>
        <v>1.2820799999999999</v>
      </c>
      <c r="I78" s="13">
        <f>G78*2</f>
        <v>106.84</v>
      </c>
    </row>
    <row r="79" spans="1:22" ht="31.5" customHeight="1">
      <c r="A79" s="29">
        <v>25</v>
      </c>
      <c r="B79" s="115" t="s">
        <v>167</v>
      </c>
      <c r="C79" s="116" t="s">
        <v>95</v>
      </c>
      <c r="D79" s="39" t="s">
        <v>30</v>
      </c>
      <c r="E79" s="17">
        <v>1</v>
      </c>
      <c r="F79" s="33">
        <f>E79*12</f>
        <v>12</v>
      </c>
      <c r="G79" s="36">
        <v>1194</v>
      </c>
      <c r="H79" s="113">
        <f t="shared" si="10"/>
        <v>14.327999999999999</v>
      </c>
      <c r="I79" s="13">
        <f>G79</f>
        <v>1194</v>
      </c>
    </row>
    <row r="80" spans="1:22" ht="15.75" hidden="1" customHeight="1">
      <c r="A80" s="29"/>
      <c r="B80" s="90" t="s">
        <v>80</v>
      </c>
      <c r="C80" s="16"/>
      <c r="D80" s="14"/>
      <c r="E80" s="18"/>
      <c r="F80" s="18"/>
      <c r="G80" s="18"/>
      <c r="H80" s="18"/>
      <c r="I80" s="79"/>
    </row>
    <row r="81" spans="1:9" ht="15.75" hidden="1" customHeight="1">
      <c r="A81" s="29"/>
      <c r="B81" s="41" t="s">
        <v>122</v>
      </c>
      <c r="C81" s="42" t="s">
        <v>81</v>
      </c>
      <c r="D81" s="56"/>
      <c r="E81" s="59"/>
      <c r="F81" s="37">
        <v>0.3</v>
      </c>
      <c r="G81" s="37">
        <v>3619.09</v>
      </c>
      <c r="H81" s="114">
        <f t="shared" ref="H81" si="11">SUM(F81*G81/1000)</f>
        <v>1.0857270000000001</v>
      </c>
      <c r="I81" s="13">
        <v>0</v>
      </c>
    </row>
    <row r="82" spans="1:9" ht="15.75" hidden="1" customHeight="1">
      <c r="A82" s="29"/>
      <c r="B82" s="66" t="s">
        <v>120</v>
      </c>
      <c r="C82" s="90"/>
      <c r="D82" s="31"/>
      <c r="E82" s="32"/>
      <c r="F82" s="91"/>
      <c r="G82" s="91"/>
      <c r="H82" s="92">
        <f>SUM(H58:H81)</f>
        <v>248.78712212000002</v>
      </c>
      <c r="I82" s="77"/>
    </row>
    <row r="83" spans="1:9" ht="15.75" hidden="1" customHeight="1">
      <c r="A83" s="94"/>
      <c r="B83" s="34" t="s">
        <v>121</v>
      </c>
      <c r="C83" s="130"/>
      <c r="D83" s="131"/>
      <c r="E83" s="132"/>
      <c r="F83" s="38">
        <f>232/10</f>
        <v>23.2</v>
      </c>
      <c r="G83" s="38">
        <v>12361.2</v>
      </c>
      <c r="H83" s="114">
        <f>G83*F83/1000</f>
        <v>286.77984000000004</v>
      </c>
      <c r="I83" s="95">
        <v>0</v>
      </c>
    </row>
    <row r="84" spans="1:9" ht="15.75" customHeight="1">
      <c r="A84" s="179" t="s">
        <v>140</v>
      </c>
      <c r="B84" s="180"/>
      <c r="C84" s="180"/>
      <c r="D84" s="180"/>
      <c r="E84" s="180"/>
      <c r="F84" s="180"/>
      <c r="G84" s="180"/>
      <c r="H84" s="180"/>
      <c r="I84" s="181"/>
    </row>
    <row r="85" spans="1:9" ht="15.75" customHeight="1">
      <c r="A85" s="96">
        <v>26</v>
      </c>
      <c r="B85" s="34" t="s">
        <v>123</v>
      </c>
      <c r="C85" s="40" t="s">
        <v>56</v>
      </c>
      <c r="D85" s="103" t="s">
        <v>57</v>
      </c>
      <c r="E85" s="36">
        <v>3053.4</v>
      </c>
      <c r="F85" s="36">
        <f>SUM(E85*12)</f>
        <v>36640.800000000003</v>
      </c>
      <c r="G85" s="36">
        <v>3.1</v>
      </c>
      <c r="H85" s="114">
        <f>SUM(F85*G85/1000)</f>
        <v>113.58648000000001</v>
      </c>
      <c r="I85" s="101">
        <f>F85/12*G85</f>
        <v>9465.5400000000009</v>
      </c>
    </row>
    <row r="86" spans="1:9" ht="31.5" customHeight="1">
      <c r="A86" s="29">
        <v>27</v>
      </c>
      <c r="B86" s="39" t="s">
        <v>82</v>
      </c>
      <c r="C86" s="40"/>
      <c r="D86" s="103" t="s">
        <v>57</v>
      </c>
      <c r="E86" s="121">
        <v>3053.4</v>
      </c>
      <c r="F86" s="36">
        <f>E86*12</f>
        <v>36640.800000000003</v>
      </c>
      <c r="G86" s="36">
        <v>3.5</v>
      </c>
      <c r="H86" s="114">
        <f>F86*G86/1000</f>
        <v>128.24280000000002</v>
      </c>
      <c r="I86" s="13">
        <f>F86/12*G86</f>
        <v>10686.9</v>
      </c>
    </row>
    <row r="87" spans="1:9" ht="15.75" customHeight="1">
      <c r="A87" s="29"/>
      <c r="B87" s="43" t="s">
        <v>85</v>
      </c>
      <c r="C87" s="90"/>
      <c r="D87" s="88"/>
      <c r="E87" s="91"/>
      <c r="F87" s="91"/>
      <c r="G87" s="91"/>
      <c r="H87" s="92">
        <f>SUM(H86)</f>
        <v>128.24280000000002</v>
      </c>
      <c r="I87" s="91">
        <f>I86+I85+I79+I78+I76+I72+I71+I64+I62+I55+I51+I50+I49+I48+I47+I46+I34+I33+I31+I30+I27+I26+I21+I20+I18+I17+I16</f>
        <v>79947.265049555572</v>
      </c>
    </row>
    <row r="88" spans="1:9" ht="15.75" customHeight="1">
      <c r="A88" s="188" t="s">
        <v>62</v>
      </c>
      <c r="B88" s="189"/>
      <c r="C88" s="189"/>
      <c r="D88" s="189"/>
      <c r="E88" s="189"/>
      <c r="F88" s="189"/>
      <c r="G88" s="189"/>
      <c r="H88" s="189"/>
      <c r="I88" s="190"/>
    </row>
    <row r="89" spans="1:9" ht="17.25" customHeight="1">
      <c r="A89" s="29" t="s">
        <v>248</v>
      </c>
      <c r="B89" s="57" t="s">
        <v>103</v>
      </c>
      <c r="C89" s="58" t="s">
        <v>95</v>
      </c>
      <c r="D89" s="117"/>
      <c r="E89" s="36"/>
      <c r="F89" s="36">
        <v>4</v>
      </c>
      <c r="G89" s="36">
        <v>55.55</v>
      </c>
      <c r="H89" s="114">
        <f>F89*G89/1000</f>
        <v>0.22219999999999998</v>
      </c>
      <c r="I89" s="13">
        <f>G89*64</f>
        <v>3555.2</v>
      </c>
    </row>
    <row r="90" spans="1:9" ht="15.75" customHeight="1">
      <c r="A90" s="29">
        <v>29</v>
      </c>
      <c r="B90" s="115" t="s">
        <v>247</v>
      </c>
      <c r="C90" s="116" t="s">
        <v>95</v>
      </c>
      <c r="D90" s="52"/>
      <c r="E90" s="36"/>
      <c r="F90" s="36">
        <v>128</v>
      </c>
      <c r="G90" s="36">
        <v>812.48</v>
      </c>
      <c r="H90" s="114">
        <f t="shared" ref="H90" si="12">F90*G90/1000</f>
        <v>103.99744</v>
      </c>
      <c r="I90" s="13">
        <f>G90*1</f>
        <v>812.48</v>
      </c>
    </row>
    <row r="91" spans="1:9" ht="15.75" customHeight="1">
      <c r="A91" s="29"/>
      <c r="B91" s="50" t="s">
        <v>53</v>
      </c>
      <c r="C91" s="46"/>
      <c r="D91" s="54"/>
      <c r="E91" s="46">
        <v>1</v>
      </c>
      <c r="F91" s="46"/>
      <c r="G91" s="46"/>
      <c r="H91" s="46"/>
      <c r="I91" s="32">
        <f>I90</f>
        <v>812.48</v>
      </c>
    </row>
    <row r="92" spans="1:9" ht="15.75" customHeight="1">
      <c r="A92" s="29"/>
      <c r="B92" s="52" t="s">
        <v>83</v>
      </c>
      <c r="C92" s="15"/>
      <c r="D92" s="15"/>
      <c r="E92" s="47"/>
      <c r="F92" s="47"/>
      <c r="G92" s="48"/>
      <c r="H92" s="48"/>
      <c r="I92" s="17">
        <v>0</v>
      </c>
    </row>
    <row r="93" spans="1:9" ht="15.75" customHeight="1">
      <c r="A93" s="55"/>
      <c r="B93" s="51" t="s">
        <v>151</v>
      </c>
      <c r="C93" s="35"/>
      <c r="D93" s="35"/>
      <c r="E93" s="35"/>
      <c r="F93" s="35"/>
      <c r="G93" s="35"/>
      <c r="H93" s="35"/>
      <c r="I93" s="49">
        <f>I87+I91</f>
        <v>80759.745049555568</v>
      </c>
    </row>
    <row r="94" spans="1:9" ht="15.75">
      <c r="A94" s="191" t="s">
        <v>249</v>
      </c>
      <c r="B94" s="191"/>
      <c r="C94" s="191"/>
      <c r="D94" s="191"/>
      <c r="E94" s="191"/>
      <c r="F94" s="191"/>
      <c r="G94" s="191"/>
      <c r="H94" s="191"/>
      <c r="I94" s="191"/>
    </row>
    <row r="95" spans="1:9" ht="15.75">
      <c r="A95" s="62"/>
      <c r="B95" s="192" t="s">
        <v>250</v>
      </c>
      <c r="C95" s="192"/>
      <c r="D95" s="192"/>
      <c r="E95" s="192"/>
      <c r="F95" s="192"/>
      <c r="G95" s="192"/>
      <c r="H95" s="70"/>
      <c r="I95" s="3"/>
    </row>
    <row r="96" spans="1:9">
      <c r="A96" s="60"/>
      <c r="B96" s="193" t="s">
        <v>6</v>
      </c>
      <c r="C96" s="193"/>
      <c r="D96" s="193"/>
      <c r="E96" s="193"/>
      <c r="F96" s="193"/>
      <c r="G96" s="193"/>
      <c r="H96" s="24"/>
      <c r="I96" s="5"/>
    </row>
    <row r="97" spans="1:9" ht="15.75" customHeight="1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 customHeight="1">
      <c r="A98" s="194" t="s">
        <v>7</v>
      </c>
      <c r="B98" s="194"/>
      <c r="C98" s="194"/>
      <c r="D98" s="194"/>
      <c r="E98" s="194"/>
      <c r="F98" s="194"/>
      <c r="G98" s="194"/>
      <c r="H98" s="194"/>
      <c r="I98" s="194"/>
    </row>
    <row r="99" spans="1:9" ht="15.75" customHeight="1">
      <c r="A99" s="194" t="s">
        <v>8</v>
      </c>
      <c r="B99" s="194"/>
      <c r="C99" s="194"/>
      <c r="D99" s="194"/>
      <c r="E99" s="194"/>
      <c r="F99" s="194"/>
      <c r="G99" s="194"/>
      <c r="H99" s="194"/>
      <c r="I99" s="194"/>
    </row>
    <row r="100" spans="1:9" ht="15.75" customHeight="1">
      <c r="A100" s="195" t="s">
        <v>63</v>
      </c>
      <c r="B100" s="195"/>
      <c r="C100" s="195"/>
      <c r="D100" s="195"/>
      <c r="E100" s="195"/>
      <c r="F100" s="195"/>
      <c r="G100" s="195"/>
      <c r="H100" s="195"/>
      <c r="I100" s="195"/>
    </row>
    <row r="101" spans="1:9" ht="15.75" customHeight="1">
      <c r="A101" s="11"/>
    </row>
    <row r="102" spans="1:9" ht="15.75" customHeight="1">
      <c r="A102" s="196" t="s">
        <v>9</v>
      </c>
      <c r="B102" s="196"/>
      <c r="C102" s="196"/>
      <c r="D102" s="196"/>
      <c r="E102" s="196"/>
      <c r="F102" s="196"/>
      <c r="G102" s="196"/>
      <c r="H102" s="196"/>
      <c r="I102" s="196"/>
    </row>
    <row r="103" spans="1:9" ht="15.75" customHeight="1">
      <c r="A103" s="4"/>
    </row>
    <row r="104" spans="1:9" ht="15.75" customHeight="1">
      <c r="B104" s="61" t="s">
        <v>10</v>
      </c>
      <c r="C104" s="197" t="s">
        <v>94</v>
      </c>
      <c r="D104" s="197"/>
      <c r="E104" s="197"/>
      <c r="F104" s="68"/>
      <c r="I104" s="64"/>
    </row>
    <row r="105" spans="1:9" ht="15.75" customHeight="1">
      <c r="A105" s="60"/>
      <c r="C105" s="193" t="s">
        <v>11</v>
      </c>
      <c r="D105" s="193"/>
      <c r="E105" s="193"/>
      <c r="F105" s="24"/>
      <c r="I105" s="63" t="s">
        <v>12</v>
      </c>
    </row>
    <row r="106" spans="1:9" ht="15.75" customHeight="1">
      <c r="A106" s="25"/>
      <c r="C106" s="12"/>
      <c r="D106" s="12"/>
      <c r="G106" s="12"/>
      <c r="H106" s="12"/>
    </row>
    <row r="107" spans="1:9" ht="15.75" customHeight="1">
      <c r="B107" s="61" t="s">
        <v>13</v>
      </c>
      <c r="C107" s="198"/>
      <c r="D107" s="198"/>
      <c r="E107" s="198"/>
      <c r="F107" s="69"/>
      <c r="I107" s="64"/>
    </row>
    <row r="108" spans="1:9" ht="15.75" customHeight="1">
      <c r="A108" s="60"/>
      <c r="C108" s="187" t="s">
        <v>11</v>
      </c>
      <c r="D108" s="187"/>
      <c r="E108" s="187"/>
      <c r="F108" s="60"/>
      <c r="I108" s="63" t="s">
        <v>12</v>
      </c>
    </row>
    <row r="109" spans="1:9" ht="15.75" customHeight="1">
      <c r="A109" s="4" t="s">
        <v>14</v>
      </c>
    </row>
    <row r="110" spans="1:9">
      <c r="A110" s="201" t="s">
        <v>15</v>
      </c>
      <c r="B110" s="201"/>
      <c r="C110" s="201"/>
      <c r="D110" s="201"/>
      <c r="E110" s="201"/>
      <c r="F110" s="201"/>
      <c r="G110" s="201"/>
      <c r="H110" s="201"/>
      <c r="I110" s="201"/>
    </row>
    <row r="111" spans="1:9" ht="45" customHeight="1">
      <c r="A111" s="202" t="s">
        <v>16</v>
      </c>
      <c r="B111" s="202"/>
      <c r="C111" s="202"/>
      <c r="D111" s="202"/>
      <c r="E111" s="202"/>
      <c r="F111" s="202"/>
      <c r="G111" s="202"/>
      <c r="H111" s="202"/>
      <c r="I111" s="202"/>
    </row>
    <row r="112" spans="1:9" ht="30" customHeight="1">
      <c r="A112" s="202" t="s">
        <v>17</v>
      </c>
      <c r="B112" s="202"/>
      <c r="C112" s="202"/>
      <c r="D112" s="202"/>
      <c r="E112" s="202"/>
      <c r="F112" s="202"/>
      <c r="G112" s="202"/>
      <c r="H112" s="202"/>
      <c r="I112" s="202"/>
    </row>
    <row r="113" spans="1:9" ht="30" customHeight="1">
      <c r="A113" s="202" t="s">
        <v>21</v>
      </c>
      <c r="B113" s="202"/>
      <c r="C113" s="202"/>
      <c r="D113" s="202"/>
      <c r="E113" s="202"/>
      <c r="F113" s="202"/>
      <c r="G113" s="202"/>
      <c r="H113" s="202"/>
      <c r="I113" s="202"/>
    </row>
    <row r="114" spans="1:9" ht="15" customHeight="1">
      <c r="A114" s="202" t="s">
        <v>20</v>
      </c>
      <c r="B114" s="202"/>
      <c r="C114" s="202"/>
      <c r="D114" s="202"/>
      <c r="E114" s="202"/>
      <c r="F114" s="202"/>
      <c r="G114" s="202"/>
      <c r="H114" s="202"/>
      <c r="I114" s="202"/>
    </row>
  </sheetData>
  <autoFilter ref="I12:I66"/>
  <mergeCells count="29">
    <mergeCell ref="A14:I14"/>
    <mergeCell ref="A15:I15"/>
    <mergeCell ref="A28:I28"/>
    <mergeCell ref="A45:I45"/>
    <mergeCell ref="A56:I56"/>
    <mergeCell ref="A3:I3"/>
    <mergeCell ref="A4:I4"/>
    <mergeCell ref="A5:I5"/>
    <mergeCell ref="A8:I8"/>
    <mergeCell ref="A10:I10"/>
    <mergeCell ref="R71:U71"/>
    <mergeCell ref="C108:E108"/>
    <mergeCell ref="A88:I88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84:I84"/>
    <mergeCell ref="A110:I110"/>
    <mergeCell ref="A111:I111"/>
    <mergeCell ref="A112:I112"/>
    <mergeCell ref="A113:I113"/>
    <mergeCell ref="A114:I1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9</vt:i4>
      </vt:variant>
    </vt:vector>
  </HeadingPairs>
  <TitlesOfParts>
    <vt:vector size="21" baseType="lpstr">
      <vt:lpstr>01.18</vt:lpstr>
      <vt:lpstr>02.18</vt:lpstr>
      <vt:lpstr>03.18</vt:lpstr>
      <vt:lpstr>04.18</vt:lpstr>
      <vt:lpstr>05.18</vt:lpstr>
      <vt:lpstr>06.18</vt:lpstr>
      <vt:lpstr>07.18</vt:lpstr>
      <vt:lpstr>08.18</vt:lpstr>
      <vt:lpstr>09.18</vt:lpstr>
      <vt:lpstr>10.18</vt:lpstr>
      <vt:lpstr>11.18</vt:lpstr>
      <vt:lpstr>12.18</vt:lpstr>
      <vt:lpstr>'01.18'!Область_печати</vt:lpstr>
      <vt:lpstr>'02.18'!Область_печати</vt:lpstr>
      <vt:lpstr>'03.18'!Область_печати</vt:lpstr>
      <vt:lpstr>'07.18'!Область_печати</vt:lpstr>
      <vt:lpstr>'08.18'!Область_печати</vt:lpstr>
      <vt:lpstr>'09.18'!Область_печати</vt:lpstr>
      <vt:lpstr>'10.18'!Область_печати</vt:lpstr>
      <vt:lpstr>'11.18'!Область_печати</vt:lpstr>
      <vt:lpstr>'12.18'!Область_печати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2018-09-14T05:20:28Z</cp:lastPrinted>
  <dcterms:created xsi:type="dcterms:W3CDTF">2016-03-25T08:33:47Z</dcterms:created>
  <dcterms:modified xsi:type="dcterms:W3CDTF">2019-01-21T09:56:58Z</dcterms:modified>
</cp:coreProperties>
</file>