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'01.17'!$I$12:$I$61</definedName>
    <definedName name="_xlnm._FilterDatabase" localSheetId="1" hidden="1">'02.17'!$I$12:$I$61</definedName>
    <definedName name="_xlnm._FilterDatabase" localSheetId="2" hidden="1">'03.17'!$I$12:$I$61</definedName>
    <definedName name="_xlnm._FilterDatabase" localSheetId="3" hidden="1">'04.17'!$I$12:$I$61</definedName>
    <definedName name="_xlnm._FilterDatabase" localSheetId="4" hidden="1">'05.17'!$I$12:$I$61</definedName>
    <definedName name="_xlnm._FilterDatabase" localSheetId="5" hidden="1">'06.17'!$I$12:$I$61</definedName>
    <definedName name="_xlnm._FilterDatabase" localSheetId="6" hidden="1">'07.17'!$I$12:$I$61</definedName>
    <definedName name="_xlnm._FilterDatabase" localSheetId="7" hidden="1">'08.17'!$I$12:$I$61</definedName>
    <definedName name="_xlnm._FilterDatabase" localSheetId="8" hidden="1">'09.17'!$I$12:$I$61</definedName>
    <definedName name="_xlnm._FilterDatabase" localSheetId="9" hidden="1">'10.17'!$I$12:$I$61</definedName>
    <definedName name="_xlnm._FilterDatabase" localSheetId="10" hidden="1">'11.17'!$I$12:$I$61</definedName>
    <definedName name="_xlnm._FilterDatabase" localSheetId="11" hidden="1">'12.17'!$I$12:$I$61</definedName>
    <definedName name="_xlnm.Print_Area" localSheetId="0">'01.17'!$A$1:$I$114</definedName>
    <definedName name="_xlnm.Print_Area" localSheetId="1">'02.17'!$A$1:$I$106</definedName>
    <definedName name="_xlnm.Print_Area" localSheetId="2">'03.17'!$A$1:$I$108</definedName>
    <definedName name="_xlnm.Print_Area" localSheetId="3">'04.17'!$A$1:$I$107</definedName>
    <definedName name="_xlnm.Print_Area" localSheetId="4">'05.17'!$A$1:$I$107</definedName>
    <definedName name="_xlnm.Print_Area" localSheetId="5">'06.17'!$A$1:$I$108</definedName>
    <definedName name="_xlnm.Print_Area" localSheetId="6">'07.17'!$A$1:$I$110</definedName>
    <definedName name="_xlnm.Print_Area" localSheetId="7">'08.17'!$A$1:$I$108</definedName>
    <definedName name="_xlnm.Print_Area" localSheetId="8">'09.17'!$A$1:$I$114</definedName>
    <definedName name="_xlnm.Print_Area" localSheetId="9">'10.17'!$A$1:$I$109</definedName>
    <definedName name="_xlnm.Print_Area" localSheetId="10">'11.17'!$A$1:$I$107</definedName>
    <definedName name="_xlnm.Print_Area" localSheetId="11">'12.17'!$A$1:$I$111</definedName>
  </definedNames>
  <calcPr calcId="124519"/>
</workbook>
</file>

<file path=xl/calcChain.xml><?xml version="1.0" encoding="utf-8"?>
<calcChain xmlns="http://schemas.openxmlformats.org/spreadsheetml/2006/main">
  <c r="I87" i="28"/>
  <c r="I88"/>
  <c r="F87"/>
  <c r="H87" s="1"/>
  <c r="I81"/>
  <c r="I81" i="27"/>
  <c r="F42" i="20"/>
  <c r="H42" s="1"/>
  <c r="I42" i="19"/>
  <c r="F42"/>
  <c r="H42" s="1"/>
  <c r="I81" i="18"/>
  <c r="I42" i="20" l="1"/>
  <c r="I81" i="17" l="1"/>
  <c r="I86" i="28" l="1"/>
  <c r="I85"/>
  <c r="H86"/>
  <c r="H85"/>
  <c r="I84"/>
  <c r="H84"/>
  <c r="I83"/>
  <c r="H83"/>
  <c r="I70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I39"/>
  <c r="H39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3" i="27"/>
  <c r="H83"/>
  <c r="I53"/>
  <c r="I84"/>
  <c r="E80"/>
  <c r="F80" s="1"/>
  <c r="F79"/>
  <c r="I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H57" s="1"/>
  <c r="H76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I39"/>
  <c r="H39"/>
  <c r="I38"/>
  <c r="H38"/>
  <c r="H36"/>
  <c r="H35"/>
  <c r="H34"/>
  <c r="F34"/>
  <c r="I34" s="1"/>
  <c r="F33"/>
  <c r="H33" s="1"/>
  <c r="F32"/>
  <c r="I32" s="1"/>
  <c r="F31"/>
  <c r="H31" s="1"/>
  <c r="H28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i="26"/>
  <c r="I84"/>
  <c r="I83"/>
  <c r="H85"/>
  <c r="H84"/>
  <c r="F83"/>
  <c r="H83" s="1"/>
  <c r="I81"/>
  <c r="H80" i="28" l="1"/>
  <c r="H81" s="1"/>
  <c r="I80"/>
  <c r="I18"/>
  <c r="H18"/>
  <c r="I16"/>
  <c r="H17"/>
  <c r="I20"/>
  <c r="H21"/>
  <c r="I27"/>
  <c r="H28"/>
  <c r="I31"/>
  <c r="H32"/>
  <c r="I33"/>
  <c r="I40"/>
  <c r="H41"/>
  <c r="I42"/>
  <c r="H50"/>
  <c r="I51"/>
  <c r="H52"/>
  <c r="H57"/>
  <c r="H76" s="1"/>
  <c r="I79"/>
  <c r="H17" i="27"/>
  <c r="I51"/>
  <c r="I52"/>
  <c r="H50"/>
  <c r="H32"/>
  <c r="H21"/>
  <c r="H41"/>
  <c r="I80"/>
  <c r="H80"/>
  <c r="H81" s="1"/>
  <c r="I18"/>
  <c r="H18"/>
  <c r="I16"/>
  <c r="I20"/>
  <c r="I27"/>
  <c r="I31"/>
  <c r="I33"/>
  <c r="I40"/>
  <c r="I42"/>
  <c r="I57"/>
  <c r="H79"/>
  <c r="I90" i="28" l="1"/>
  <c r="I86" i="27"/>
  <c r="I88" i="25" l="1"/>
  <c r="H88"/>
  <c r="I81"/>
  <c r="I84" i="24"/>
  <c r="H84"/>
  <c r="I83"/>
  <c r="H83"/>
  <c r="I61"/>
  <c r="I87" i="23"/>
  <c r="I86"/>
  <c r="I85"/>
  <c r="I83"/>
  <c r="H86"/>
  <c r="F86"/>
  <c r="H85"/>
  <c r="H84"/>
  <c r="H83"/>
  <c r="I81"/>
  <c r="I85" i="22"/>
  <c r="I84"/>
  <c r="H84"/>
  <c r="H83"/>
  <c r="H83" i="21"/>
  <c r="I81"/>
  <c r="I83" i="20"/>
  <c r="H83"/>
  <c r="I81"/>
  <c r="I86" s="1"/>
  <c r="I85" i="19"/>
  <c r="I84"/>
  <c r="I83"/>
  <c r="H84"/>
  <c r="H83"/>
  <c r="I83" i="18" l="1"/>
  <c r="I86" i="26" l="1"/>
  <c r="E80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77" i="25"/>
  <c r="I68"/>
  <c r="I45"/>
  <c r="I46"/>
  <c r="I47"/>
  <c r="I48"/>
  <c r="I49"/>
  <c r="I91"/>
  <c r="H90"/>
  <c r="H89"/>
  <c r="H87"/>
  <c r="H86"/>
  <c r="H85"/>
  <c r="H84"/>
  <c r="H83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5" i="24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4" i="23"/>
  <c r="I53"/>
  <c r="E80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81" i="22"/>
  <c r="I83"/>
  <c r="E80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19" i="21"/>
  <c r="I23"/>
  <c r="I24"/>
  <c r="I25"/>
  <c r="I26"/>
  <c r="I22"/>
  <c r="I83"/>
  <c r="I84" s="1"/>
  <c r="I68"/>
  <c r="I69"/>
  <c r="I70"/>
  <c r="I71"/>
  <c r="I72"/>
  <c r="I73"/>
  <c r="I74"/>
  <c r="I75"/>
  <c r="I76"/>
  <c r="I77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3" i="20"/>
  <c r="I84"/>
  <c r="F80"/>
  <c r="H80" s="1"/>
  <c r="H81" s="1"/>
  <c r="E80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E80" i="19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1" i="20" l="1"/>
  <c r="I52"/>
  <c r="H57" i="26"/>
  <c r="H76" s="1"/>
  <c r="H18"/>
  <c r="I18"/>
  <c r="H16"/>
  <c r="I17"/>
  <c r="H20"/>
  <c r="I21"/>
  <c r="H27"/>
  <c r="I28"/>
  <c r="H31"/>
  <c r="I32"/>
  <c r="H33"/>
  <c r="H40"/>
  <c r="I41"/>
  <c r="H42"/>
  <c r="I50"/>
  <c r="I79"/>
  <c r="I80"/>
  <c r="H18" i="25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18" i="24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20" i="23"/>
  <c r="H16"/>
  <c r="H27"/>
  <c r="H57"/>
  <c r="H76" s="1"/>
  <c r="H40"/>
  <c r="H42"/>
  <c r="H33"/>
  <c r="H31"/>
  <c r="I17"/>
  <c r="I18"/>
  <c r="I21"/>
  <c r="I28"/>
  <c r="I32"/>
  <c r="I41"/>
  <c r="I50"/>
  <c r="I79"/>
  <c r="I80"/>
  <c r="H18" i="22"/>
  <c r="I18"/>
  <c r="H16"/>
  <c r="I17"/>
  <c r="H20"/>
  <c r="I21"/>
  <c r="H27"/>
  <c r="I28"/>
  <c r="H31"/>
  <c r="I32"/>
  <c r="H33"/>
  <c r="H40"/>
  <c r="I41"/>
  <c r="H42"/>
  <c r="I50"/>
  <c r="H57"/>
  <c r="H76" s="1"/>
  <c r="I79"/>
  <c r="I80"/>
  <c r="I48" i="21"/>
  <c r="I46"/>
  <c r="I63"/>
  <c r="I66"/>
  <c r="I64"/>
  <c r="I49"/>
  <c r="I47"/>
  <c r="I45"/>
  <c r="I67"/>
  <c r="I65"/>
  <c r="H18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18" i="20"/>
  <c r="I18"/>
  <c r="H16"/>
  <c r="I17"/>
  <c r="H20"/>
  <c r="I21"/>
  <c r="H27"/>
  <c r="I28"/>
  <c r="H31"/>
  <c r="I32"/>
  <c r="H33"/>
  <c r="H40"/>
  <c r="I41"/>
  <c r="I50"/>
  <c r="H57"/>
  <c r="H76" s="1"/>
  <c r="I79"/>
  <c r="I80"/>
  <c r="H18" i="19"/>
  <c r="I18"/>
  <c r="H80"/>
  <c r="H81" s="1"/>
  <c r="I80"/>
  <c r="H16"/>
  <c r="I17"/>
  <c r="H20"/>
  <c r="I21"/>
  <c r="H27"/>
  <c r="I28"/>
  <c r="H31"/>
  <c r="I32"/>
  <c r="H33"/>
  <c r="H40"/>
  <c r="I41"/>
  <c r="I50"/>
  <c r="H57"/>
  <c r="H76" s="1"/>
  <c r="I79"/>
  <c r="I93" i="25" l="1"/>
  <c r="I81" i="24"/>
  <c r="I87" s="1"/>
  <c r="I88" i="26"/>
  <c r="I89" i="23"/>
  <c r="I87" i="22"/>
  <c r="I86" i="21"/>
  <c r="I81" i="19"/>
  <c r="I87" s="1"/>
  <c r="E80" i="18" l="1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91" i="17"/>
  <c r="H90"/>
  <c r="H89"/>
  <c r="H88"/>
  <c r="H87"/>
  <c r="H86"/>
  <c r="H85"/>
  <c r="H84"/>
  <c r="H83"/>
  <c r="E80"/>
  <c r="F79"/>
  <c r="I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I39"/>
  <c r="H39"/>
  <c r="I38"/>
  <c r="H38"/>
  <c r="F28"/>
  <c r="H28" s="1"/>
  <c r="H36"/>
  <c r="H35"/>
  <c r="F27"/>
  <c r="I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8" i="18" l="1"/>
  <c r="I18"/>
  <c r="H80"/>
  <c r="H81" s="1"/>
  <c r="I80"/>
  <c r="H16"/>
  <c r="I17"/>
  <c r="I85" s="1"/>
  <c r="H20"/>
  <c r="I21"/>
  <c r="H27"/>
  <c r="I28"/>
  <c r="H31"/>
  <c r="I32"/>
  <c r="H33"/>
  <c r="H40"/>
  <c r="I41"/>
  <c r="H42"/>
  <c r="I50"/>
  <c r="H57"/>
  <c r="H76" s="1"/>
  <c r="I79"/>
  <c r="I33" i="17"/>
  <c r="I31"/>
  <c r="I32"/>
  <c r="H17"/>
  <c r="H76"/>
  <c r="H21"/>
  <c r="H79"/>
  <c r="I18"/>
  <c r="H18"/>
  <c r="I16"/>
  <c r="I20"/>
  <c r="H27"/>
  <c r="I28"/>
  <c r="I40"/>
  <c r="H41"/>
  <c r="I42"/>
  <c r="I93" s="1"/>
  <c r="I50"/>
  <c r="I57"/>
  <c r="F80"/>
  <c r="H80" l="1"/>
  <c r="H81" s="1"/>
  <c r="I80"/>
</calcChain>
</file>

<file path=xl/sharedStrings.xml><?xml version="1.0" encoding="utf-8"?>
<sst xmlns="http://schemas.openxmlformats.org/spreadsheetml/2006/main" count="2510" uniqueCount="229">
  <si>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</si>
  <si>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</si>
  <si>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</si>
  <si>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</si>
  <si>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</si>
  <si>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</si>
  <si>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</si>
  <si>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</si>
  <si>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</si>
  <si>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</si>
  <si>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</si>
  <si>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</si>
  <si>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</si>
  <si>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</si>
  <si>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</si>
  <si>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</si>
  <si>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</si>
  <si>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</si>
  <si>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</si>
  <si>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</si>
  <si>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</si>
  <si>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</si>
  <si>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</si>
  <si>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</si>
  <si>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</si>
  <si>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</si>
  <si>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</si>
  <si>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</si>
  <si>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</si>
  <si>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</si>
  <si>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</si>
  <si>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</si>
  <si>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</si>
  <si>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</si>
  <si>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</si>
  <si>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</si>
  <si>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</si>
  <si>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</si>
  <si>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</si>
  <si>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</si>
  <si>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</si>
  <si>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</si>
  <si>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</si>
  <si>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</si>
  <si>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</si>
  <si>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</si>
  <si>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</si>
  <si>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</si>
  <si>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</si>
  <si>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</si>
  <si>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</si>
  <si>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</si>
  <si>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</si>
  <si>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</si>
  <si>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</si>
  <si>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</si>
  <si>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</si>
  <si>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</si>
  <si>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</si>
  <si>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</si>
  <si>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</si>
  <si>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</si>
  <si>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</si>
  <si>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</si>
  <si>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</si>
  <si>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</si>
  <si>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</si>
  <si>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</si>
  <si>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</si>
  <si>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</si>
  <si>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</si>
  <si>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</si>
  <si>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</si>
  <si>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</si>
  <si>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</si>
  <si>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</si>
  <si>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</si>
  <si>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</si>
  <si>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</si>
  <si>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</si>
  <si>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</si>
  <si>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</si>
  <si>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</si>
  <si>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</si>
  <si>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</si>
  <si>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</si>
  <si>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</si>
  <si>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</si>
  <si>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</si>
  <si>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</si>
  <si>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</si>
  <si>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</si>
  <si>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</si>
  <si>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</si>
  <si>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</si>
  <si>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</si>
  <si>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</si>
  <si>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</si>
  <si>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1 шт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</si>
  <si>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</si>
  <si>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</si>
  <si>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</si>
  <si>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</si>
  <si>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</si>
  <si>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два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</si>
  <si>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</si>
  <si>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</si>
  <si>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</si>
  <si>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</si>
  <si>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</si>
  <si>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</si>
  <si>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</si>
  <si>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</si>
  <si>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</si>
  <si>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</si>
  <si>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</si>
  <si>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Сдвигание снега в дни снегопада (крыльца, тротуары)</t>
  </si>
  <si>
    <t>35 раз за сезон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</si>
  <si>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</si>
  <si>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</si>
  <si>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</si>
  <si>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</si>
  <si>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</si>
  <si>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</si>
  <si>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</si>
  <si>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</si>
  <si>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</si>
  <si>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</si>
  <si>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</si>
  <si>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</si>
  <si>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Устройство хомута диаметром до 50 мм</t>
  </si>
  <si>
    <t>Смена арматуры - вентилей и клапанов обратных муфтовых диаметром до 20 мм</t>
  </si>
  <si>
    <t xml:space="preserve">приемки оказанных услуг и выполненных работ по содержанию и текущему ремонту
общего имущества в многоквартирном доме №47 по ул.Октябрьская пгт.Ярега
</t>
  </si>
  <si>
    <t>генеральный директор Куканов Ю.Л.</t>
  </si>
  <si>
    <t>III. Проведение технических осмотров</t>
  </si>
  <si>
    <t>5 раз в год</t>
  </si>
  <si>
    <t>IV. Содержание oбщего имущества МКД</t>
  </si>
  <si>
    <t>V. Прочие услуги</t>
  </si>
  <si>
    <t>АКТ №1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</si>
  <si>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</si>
  <si>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</si>
  <si>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</si>
  <si>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Мелкий ремонт электропроводки</t>
  </si>
  <si>
    <t>1п.м.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</si>
  <si>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</si>
  <si>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</si>
  <si>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автовышки</t>
  </si>
  <si>
    <t>маш/час</t>
  </si>
  <si>
    <t>Ремонт ограждений контейнерной площадки</t>
  </si>
  <si>
    <t>тыс.руб.</t>
  </si>
  <si>
    <t>Смена тройника 25*20*25</t>
  </si>
  <si>
    <t>Смена светодиодных светильников</t>
  </si>
  <si>
    <t>1 шт.</t>
  </si>
  <si>
    <t>Прочистка каналов</t>
  </si>
  <si>
    <t>АКТ №2</t>
  </si>
  <si>
    <t>АКТ №3</t>
  </si>
  <si>
    <t>III. Содержание oбщего имущества МКД</t>
  </si>
  <si>
    <t>IV. Прочие услуги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</si>
  <si>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</si>
  <si>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</si>
  <si>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</si>
  <si>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</si>
  <si>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</si>
  <si>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</si>
  <si>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</si>
  <si>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</si>
  <si>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</si>
  <si>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</si>
  <si>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д.47</t>
    </r>
  </si>
  <si>
    <t>156 раз в год</t>
  </si>
  <si>
    <t>104 раза в год</t>
  </si>
  <si>
    <t xml:space="preserve">24 раза в год </t>
  </si>
  <si>
    <t xml:space="preserve">ежедневно </t>
  </si>
  <si>
    <t>Итого затраты за месяц</t>
  </si>
  <si>
    <t>за период с 01.02.2017 г. по 28.02.2017 г.</t>
  </si>
  <si>
    <t>за период с 01.03.2017 г. по 31.03.2017 г.</t>
  </si>
  <si>
    <t>Ремонт групповых щитков на лестничной клетке со сменой автоматов</t>
  </si>
  <si>
    <t>2. Всего за период с 01.03.2017 по 31.03.2017 выполнено работ (оказано услуг) на общую сумму: 22129,66 руб.</t>
  </si>
  <si>
    <t>(двадцать две тысячи сто двадцать девять рублей 66 копеек)</t>
  </si>
  <si>
    <t>за период с 01.04.2017 г. по 30.04.2017 г.</t>
  </si>
  <si>
    <t>2. Всего за период с 01.04.2017 по 30.04.2017 выполнено работ (оказано услуг) на общую сумму: 25186,67 руб.</t>
  </si>
  <si>
    <t>(двадцать пять тысяч сто восемьдесят шесть рублей 67 копеек)</t>
  </si>
  <si>
    <t>за период с 01.05.2017 г. по 31.05.2017 г.</t>
  </si>
  <si>
    <t>52 раза в сезон</t>
  </si>
  <si>
    <t>78 раз за сезон</t>
  </si>
  <si>
    <t>за период с 01.06.2017 г. по 30.06.2017 г.</t>
  </si>
  <si>
    <t>Смена вентилей диаметром до 20 мм (без учёта материала)</t>
  </si>
  <si>
    <t>2. Всего за период с 01.06.2017 по 30.06.2017 выполнено работ (оказано услуг) на общую сумму: 16402,25 руб.</t>
  </si>
  <si>
    <t>(шестнадцать тысяч четыреста два рубля 25 копеек)</t>
  </si>
  <si>
    <t>за период с 01.07.2017 г. по 31.07.2017 г.</t>
  </si>
  <si>
    <t>Смена трубопроводов на полипропленовые трубы PN25 диаметром 25 мм</t>
  </si>
  <si>
    <t>1 м</t>
  </si>
  <si>
    <t>Подключение и отключение сварочного аппарата</t>
  </si>
  <si>
    <t>Простая масляная окраска ранее окрашенных входных металлических дверей (I, II под.)</t>
  </si>
  <si>
    <t>10 м2</t>
  </si>
  <si>
    <t>2. Всего за период с 01.07.2017 по 31.07.2017 выполнено работ (оказано услуг) на общую сумму: 21709,35 руб.</t>
  </si>
  <si>
    <t>(двадцать одна тысяча семьсот девять рублей 35 копеек)</t>
  </si>
  <si>
    <t>за период с 01.08.2017 г. по 31.08.2017 г.</t>
  </si>
  <si>
    <t>2. Всего за период с 01.08.2017 по 31.08.2017 выполнено работ (оказано услуг) на общую сумму: 15634,16 руб.</t>
  </si>
  <si>
    <t>(пятнадцать тысяч шестьсот тридцать четыре рубля 16 копеек)</t>
  </si>
  <si>
    <t>за период с 01.09.2017 г. по 30.09.2017 г.</t>
  </si>
  <si>
    <t>2. Всего за период с 01.09.2017 по 30.09.2017 выполнено работ (оказано услуг) на общую сумму: 20429,30 руб.</t>
  </si>
  <si>
    <t>(двадцать тысяч четыреста двадцать девять рублей 30 копеек)</t>
  </si>
  <si>
    <t>за период с 01.10.2017 г. по 31.10.2017 г.</t>
  </si>
  <si>
    <t>Прочистка засоров канализации</t>
  </si>
  <si>
    <t>3м</t>
  </si>
  <si>
    <t>Дезинфекция подвала</t>
  </si>
  <si>
    <t>Смена дверных приборов (замки навесные)</t>
  </si>
  <si>
    <t>2. Всего за период с 01.10.2017 по 31.10.2017 выполнено работ (оказано услуг) на общую сумму: 25969,49 руб.</t>
  </si>
  <si>
    <t>(двадцать пять тысяч девятьсот шестьдесят девять рублей 49 копеек)</t>
  </si>
  <si>
    <t>АКТ №11</t>
  </si>
  <si>
    <t>за период с 01.11.2017 г. по 30.11.2017 г.</t>
  </si>
  <si>
    <t>1 раз в 2 месяца</t>
  </si>
  <si>
    <t>АКТ №12</t>
  </si>
  <si>
    <t>за период с 01.12.2017 г. по 31.12.2017 г.</t>
  </si>
  <si>
    <t xml:space="preserve">Смена внутренних трубопроводов из стальных труб диаметром до 40 мм </t>
  </si>
  <si>
    <t xml:space="preserve">Смена тройников у трубопроводов диаметром до 32 мм </t>
  </si>
  <si>
    <t>2. Всего за период с 01.05.2017 по 31.05.2017 выполнено работ (оказано услуг) на общую сумму: 44657,86 руб.</t>
  </si>
  <si>
    <t>(сорок четыре тысячи шестьсот пятьдесят семь рублей 86 копеек)</t>
  </si>
  <si>
    <t>2. Всего за период с 01.01.2017 по 31.01.2017 выполнено работ (оказано услуг) на общую сумму: 22239,08 руб.</t>
  </si>
  <si>
    <t>(двадцать две тысячи двести тридцать девять рублей 08 копеек)</t>
  </si>
  <si>
    <t>2. Всего за период с 01.02.2017 по 28.02.2017 выполнено работ (оказано услуг) на общую сумму: 20010,64 руб.</t>
  </si>
  <si>
    <t>(двадцать тысяч десять рублей 64 копейки)</t>
  </si>
  <si>
    <t>15 раз за сезон</t>
  </si>
  <si>
    <t>2. Всего за период с 01.11.2017 по 30.11.2017 выполнено работ (оказано услуг) на общую сумму: 22670,46 руб.</t>
  </si>
  <si>
    <t>(двадцать две тысячи шестьсот семьдесят рублей 46 копеек)</t>
  </si>
  <si>
    <t>Сверхнормативы по ОДП за 2 полугодие</t>
  </si>
  <si>
    <t>2. Всего за период с 01.12.2017 по 31.12.2017 выполнено работ (оказано услуг) на общую сумму: 38393,18 руб.</t>
  </si>
  <si>
    <t>(тридцать восемь тысяч триста девяносто три рубля 18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</si>
</sst>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166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42766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6" t="s">
        <v>115</v>
      </c>
      <c r="C31" s="67" t="s">
        <v>93</v>
      </c>
      <c r="D31" s="66" t="s">
        <v>111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6" t="s">
        <v>114</v>
      </c>
      <c r="C32" s="67" t="s">
        <v>93</v>
      </c>
      <c r="D32" s="66" t="s">
        <v>112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customHeight="1">
      <c r="A43" s="33">
        <v>12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13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14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15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16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17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I16+I17+I18+I20+I21+I27+I28+I38+I39+I40+I41+I43+I50+I54+I57+I79+I80</f>
        <v>22239.081230916669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hidden="1" customHeight="1">
      <c r="A83" s="33"/>
      <c r="B83" s="48" t="s">
        <v>144</v>
      </c>
      <c r="C83" s="49" t="s">
        <v>145</v>
      </c>
      <c r="D83" s="45"/>
      <c r="E83" s="13"/>
      <c r="F83" s="13">
        <v>1</v>
      </c>
      <c r="G83" s="13">
        <v>51.39</v>
      </c>
      <c r="H83" s="81">
        <f t="shared" ref="H83:H90" si="7">G83*F83/1000</f>
        <v>5.1389999999999998E-2</v>
      </c>
      <c r="I83" s="13">
        <v>0</v>
      </c>
    </row>
    <row r="84" spans="1:9" ht="15.75" hidden="1" customHeight="1">
      <c r="A84" s="33"/>
      <c r="B84" s="48" t="s">
        <v>146</v>
      </c>
      <c r="C84" s="49" t="s">
        <v>147</v>
      </c>
      <c r="D84" s="45"/>
      <c r="E84" s="13"/>
      <c r="F84" s="13">
        <v>5</v>
      </c>
      <c r="G84" s="13">
        <v>1501</v>
      </c>
      <c r="H84" s="81">
        <f t="shared" si="7"/>
        <v>7.5049999999999999</v>
      </c>
      <c r="I84" s="13">
        <v>0</v>
      </c>
    </row>
    <row r="85" spans="1:9" ht="15.75" hidden="1" customHeight="1">
      <c r="A85" s="33"/>
      <c r="B85" s="48" t="s">
        <v>148</v>
      </c>
      <c r="C85" s="49" t="s">
        <v>149</v>
      </c>
      <c r="D85" s="45"/>
      <c r="E85" s="13"/>
      <c r="F85" s="13">
        <v>1</v>
      </c>
      <c r="G85" s="13">
        <v>1646</v>
      </c>
      <c r="H85" s="81">
        <f t="shared" si="7"/>
        <v>1.6459999999999999</v>
      </c>
      <c r="I85" s="13">
        <v>0</v>
      </c>
    </row>
    <row r="86" spans="1:9" ht="15.75" hidden="1" customHeight="1">
      <c r="A86" s="33"/>
      <c r="B86" s="48" t="s">
        <v>150</v>
      </c>
      <c r="C86" s="49" t="s">
        <v>98</v>
      </c>
      <c r="D86" s="45"/>
      <c r="E86" s="13"/>
      <c r="F86" s="13">
        <v>1</v>
      </c>
      <c r="G86" s="13">
        <v>182.63</v>
      </c>
      <c r="H86" s="81">
        <f t="shared" si="7"/>
        <v>0.18262999999999999</v>
      </c>
      <c r="I86" s="13">
        <v>0</v>
      </c>
    </row>
    <row r="87" spans="1:9" ht="15.75" hidden="1" customHeight="1">
      <c r="A87" s="33"/>
      <c r="B87" s="48" t="s">
        <v>130</v>
      </c>
      <c r="C87" s="49" t="s">
        <v>86</v>
      </c>
      <c r="D87" s="45"/>
      <c r="E87" s="13"/>
      <c r="F87" s="13">
        <v>2</v>
      </c>
      <c r="G87" s="13">
        <v>185.81</v>
      </c>
      <c r="H87" s="81">
        <f t="shared" si="7"/>
        <v>0.37162000000000001</v>
      </c>
      <c r="I87" s="13">
        <v>0</v>
      </c>
    </row>
    <row r="88" spans="1:9" ht="31.5" hidden="1" customHeight="1">
      <c r="A88" s="33"/>
      <c r="B88" s="48" t="s">
        <v>84</v>
      </c>
      <c r="C88" s="49" t="s">
        <v>39</v>
      </c>
      <c r="D88" s="45"/>
      <c r="E88" s="13"/>
      <c r="F88" s="13">
        <v>0.01</v>
      </c>
      <c r="G88" s="13">
        <v>3397.65</v>
      </c>
      <c r="H88" s="81">
        <f t="shared" si="7"/>
        <v>3.39765E-2</v>
      </c>
      <c r="I88" s="13">
        <v>0</v>
      </c>
    </row>
    <row r="89" spans="1:9" ht="31.5" hidden="1" customHeight="1">
      <c r="A89" s="33"/>
      <c r="B89" s="48" t="s">
        <v>82</v>
      </c>
      <c r="C89" s="49" t="s">
        <v>119</v>
      </c>
      <c r="D89" s="45"/>
      <c r="E89" s="13"/>
      <c r="F89" s="13">
        <v>1</v>
      </c>
      <c r="G89" s="13">
        <v>79.09</v>
      </c>
      <c r="H89" s="81">
        <f t="shared" si="7"/>
        <v>7.9090000000000008E-2</v>
      </c>
      <c r="I89" s="13">
        <v>0</v>
      </c>
    </row>
    <row r="90" spans="1:9" ht="15.75" hidden="1" customHeight="1">
      <c r="A90" s="33"/>
      <c r="B90" s="48" t="s">
        <v>151</v>
      </c>
      <c r="C90" s="49" t="s">
        <v>152</v>
      </c>
      <c r="D90" s="45"/>
      <c r="E90" s="13"/>
      <c r="F90" s="13">
        <v>1</v>
      </c>
      <c r="G90" s="13">
        <v>1072.21</v>
      </c>
      <c r="H90" s="81">
        <f t="shared" si="7"/>
        <v>1.0722100000000001</v>
      </c>
      <c r="I90" s="13">
        <v>0</v>
      </c>
    </row>
    <row r="91" spans="1:9">
      <c r="A91" s="33"/>
      <c r="B91" s="43" t="s">
        <v>52</v>
      </c>
      <c r="C91" s="39"/>
      <c r="D91" s="46"/>
      <c r="E91" s="39">
        <v>1</v>
      </c>
      <c r="F91" s="39"/>
      <c r="G91" s="39"/>
      <c r="H91" s="39"/>
      <c r="I91" s="35">
        <f>SUM(I83:I90)</f>
        <v>0</v>
      </c>
    </row>
    <row r="92" spans="1:9" ht="16.5" customHeight="1">
      <c r="A92" s="33"/>
      <c r="B92" s="45" t="s">
        <v>81</v>
      </c>
      <c r="C92" s="15"/>
      <c r="D92" s="15"/>
      <c r="E92" s="40"/>
      <c r="F92" s="40"/>
      <c r="G92" s="41"/>
      <c r="H92" s="41"/>
      <c r="I92" s="17">
        <v>0</v>
      </c>
    </row>
    <row r="93" spans="1:9" ht="16.5" customHeight="1">
      <c r="A93" s="47"/>
      <c r="B93" s="44" t="s">
        <v>173</v>
      </c>
      <c r="C93" s="36"/>
      <c r="D93" s="36"/>
      <c r="E93" s="36"/>
      <c r="F93" s="36"/>
      <c r="G93" s="36"/>
      <c r="H93" s="36"/>
      <c r="I93" s="42">
        <f>I81+I91</f>
        <v>22239.081230916669</v>
      </c>
    </row>
    <row r="94" spans="1:9" ht="15.75" customHeight="1">
      <c r="A94" s="122" t="s">
        <v>219</v>
      </c>
      <c r="B94" s="122"/>
      <c r="C94" s="122"/>
      <c r="D94" s="122"/>
      <c r="E94" s="122"/>
      <c r="F94" s="122"/>
      <c r="G94" s="122"/>
      <c r="H94" s="122"/>
      <c r="I94" s="122"/>
    </row>
    <row r="95" spans="1:9" ht="15.75" customHeight="1">
      <c r="A95" s="59"/>
      <c r="B95" s="123" t="s">
        <v>220</v>
      </c>
      <c r="C95" s="123"/>
      <c r="D95" s="123"/>
      <c r="E95" s="123"/>
      <c r="F95" s="123"/>
      <c r="G95" s="123"/>
      <c r="H95" s="65"/>
      <c r="I95" s="3"/>
    </row>
    <row r="96" spans="1:9">
      <c r="A96" s="58"/>
      <c r="B96" s="120" t="s">
        <v>6</v>
      </c>
      <c r="C96" s="120"/>
      <c r="D96" s="120"/>
      <c r="E96" s="120"/>
      <c r="F96" s="120"/>
      <c r="G96" s="120"/>
      <c r="H96" s="28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16" t="s">
        <v>7</v>
      </c>
      <c r="B98" s="116"/>
      <c r="C98" s="116"/>
      <c r="D98" s="116"/>
      <c r="E98" s="116"/>
      <c r="F98" s="116"/>
      <c r="G98" s="116"/>
      <c r="H98" s="116"/>
      <c r="I98" s="116"/>
    </row>
    <row r="99" spans="1:9" ht="15.75">
      <c r="A99" s="116" t="s">
        <v>8</v>
      </c>
      <c r="B99" s="116"/>
      <c r="C99" s="116"/>
      <c r="D99" s="116"/>
      <c r="E99" s="116"/>
      <c r="F99" s="116"/>
      <c r="G99" s="116"/>
      <c r="H99" s="116"/>
      <c r="I99" s="116"/>
    </row>
    <row r="100" spans="1:9" ht="15.75">
      <c r="A100" s="117" t="s">
        <v>63</v>
      </c>
      <c r="B100" s="117"/>
      <c r="C100" s="117"/>
      <c r="D100" s="117"/>
      <c r="E100" s="117"/>
      <c r="F100" s="117"/>
      <c r="G100" s="117"/>
      <c r="H100" s="117"/>
      <c r="I100" s="117"/>
    </row>
    <row r="101" spans="1:9" ht="15.75">
      <c r="A101" s="11"/>
    </row>
    <row r="102" spans="1:9" ht="15.75">
      <c r="A102" s="118" t="s">
        <v>9</v>
      </c>
      <c r="B102" s="118"/>
      <c r="C102" s="118"/>
      <c r="D102" s="118"/>
      <c r="E102" s="118"/>
      <c r="F102" s="118"/>
      <c r="G102" s="118"/>
      <c r="H102" s="118"/>
      <c r="I102" s="118"/>
    </row>
    <row r="103" spans="1:9" ht="15.75">
      <c r="A103" s="4"/>
    </row>
    <row r="104" spans="1:9" ht="15.75">
      <c r="B104" s="55" t="s">
        <v>10</v>
      </c>
      <c r="C104" s="119" t="s">
        <v>133</v>
      </c>
      <c r="D104" s="119"/>
      <c r="E104" s="119"/>
      <c r="F104" s="63"/>
      <c r="I104" s="57"/>
    </row>
    <row r="105" spans="1:9">
      <c r="A105" s="58"/>
      <c r="C105" s="120" t="s">
        <v>11</v>
      </c>
      <c r="D105" s="120"/>
      <c r="E105" s="120"/>
      <c r="F105" s="28"/>
      <c r="I105" s="56" t="s">
        <v>12</v>
      </c>
    </row>
    <row r="106" spans="1:9" ht="15.75">
      <c r="A106" s="29"/>
      <c r="C106" s="12"/>
      <c r="D106" s="12"/>
      <c r="G106" s="12"/>
      <c r="H106" s="12"/>
    </row>
    <row r="107" spans="1:9" ht="15.75">
      <c r="B107" s="55" t="s">
        <v>13</v>
      </c>
      <c r="C107" s="121"/>
      <c r="D107" s="121"/>
      <c r="E107" s="121"/>
      <c r="F107" s="64"/>
      <c r="I107" s="57"/>
    </row>
    <row r="108" spans="1:9">
      <c r="A108" s="58"/>
      <c r="C108" s="110" t="s">
        <v>11</v>
      </c>
      <c r="D108" s="110"/>
      <c r="E108" s="110"/>
      <c r="F108" s="58"/>
      <c r="I108" s="56" t="s">
        <v>12</v>
      </c>
    </row>
    <row r="109" spans="1:9" ht="15.75">
      <c r="A109" s="4" t="s">
        <v>14</v>
      </c>
    </row>
    <row r="110" spans="1:9">
      <c r="A110" s="111" t="s">
        <v>15</v>
      </c>
      <c r="B110" s="111"/>
      <c r="C110" s="111"/>
      <c r="D110" s="111"/>
      <c r="E110" s="111"/>
      <c r="F110" s="111"/>
      <c r="G110" s="111"/>
      <c r="H110" s="111"/>
      <c r="I110" s="111"/>
    </row>
    <row r="111" spans="1:9" ht="45" customHeight="1">
      <c r="A111" s="115" t="s">
        <v>16</v>
      </c>
      <c r="B111" s="115"/>
      <c r="C111" s="115"/>
      <c r="D111" s="115"/>
      <c r="E111" s="115"/>
      <c r="F111" s="115"/>
      <c r="G111" s="115"/>
      <c r="H111" s="115"/>
      <c r="I111" s="115"/>
    </row>
    <row r="112" spans="1:9" ht="30" customHeight="1">
      <c r="A112" s="115" t="s">
        <v>17</v>
      </c>
      <c r="B112" s="115"/>
      <c r="C112" s="115"/>
      <c r="D112" s="115"/>
      <c r="E112" s="115"/>
      <c r="F112" s="115"/>
      <c r="G112" s="115"/>
      <c r="H112" s="115"/>
      <c r="I112" s="115"/>
    </row>
    <row r="113" spans="1:9" ht="30" customHeight="1">
      <c r="A113" s="115" t="s">
        <v>21</v>
      </c>
      <c r="B113" s="115"/>
      <c r="C113" s="115"/>
      <c r="D113" s="115"/>
      <c r="E113" s="115"/>
      <c r="F113" s="115"/>
      <c r="G113" s="115"/>
      <c r="H113" s="115"/>
      <c r="I113" s="115"/>
    </row>
    <row r="114" spans="1:9" ht="14.25" customHeight="1">
      <c r="A114" s="115" t="s">
        <v>20</v>
      </c>
      <c r="B114" s="115"/>
      <c r="C114" s="115"/>
      <c r="D114" s="115"/>
      <c r="E114" s="115"/>
      <c r="F114" s="115"/>
      <c r="G114" s="115"/>
      <c r="H114" s="115"/>
      <c r="I114" s="115"/>
    </row>
  </sheetData>
  <autoFilter ref="I12:I61"/>
  <mergeCells count="29">
    <mergeCell ref="A15:I15"/>
    <mergeCell ref="A3:I3"/>
    <mergeCell ref="A4:I4"/>
    <mergeCell ref="A5:I5"/>
    <mergeCell ref="A8:I8"/>
    <mergeCell ref="A10:I10"/>
    <mergeCell ref="A14:I14"/>
    <mergeCell ref="R66:U66"/>
    <mergeCell ref="A94:I94"/>
    <mergeCell ref="B95:G95"/>
    <mergeCell ref="B96:G96"/>
    <mergeCell ref="A98:I98"/>
    <mergeCell ref="A78:I78"/>
    <mergeCell ref="A111:I111"/>
    <mergeCell ref="A112:I112"/>
    <mergeCell ref="A113:I113"/>
    <mergeCell ref="A114:I114"/>
    <mergeCell ref="A99:I99"/>
    <mergeCell ref="A100:I100"/>
    <mergeCell ref="A102:I102"/>
    <mergeCell ref="C104:E104"/>
    <mergeCell ref="C105:E105"/>
    <mergeCell ref="C107:E107"/>
    <mergeCell ref="A29:I29"/>
    <mergeCell ref="A44:I44"/>
    <mergeCell ref="A55:I55"/>
    <mergeCell ref="C108:E108"/>
    <mergeCell ref="A110:I110"/>
    <mergeCell ref="A82:I8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203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43039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7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10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11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156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10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customHeight="1">
      <c r="A77" s="33">
        <v>10</v>
      </c>
      <c r="B77" s="89" t="s">
        <v>127</v>
      </c>
      <c r="C77" s="24"/>
      <c r="D77" s="23"/>
      <c r="E77" s="86"/>
      <c r="F77" s="90">
        <v>1</v>
      </c>
      <c r="G77" s="13">
        <v>3395.9</v>
      </c>
      <c r="H77" s="81">
        <f>G77*F77/1000</f>
        <v>3.3959000000000001</v>
      </c>
      <c r="I77" s="13">
        <v>939.9</v>
      </c>
    </row>
    <row r="78" spans="1:21" ht="15.75" customHeight="1">
      <c r="A78" s="107" t="s">
        <v>157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11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I16+I17+I18+I20+I27+I28+I31+I32+I34+I77+I79+I80</f>
        <v>16246.33409364444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15.75" customHeight="1">
      <c r="A83" s="33">
        <v>13</v>
      </c>
      <c r="B83" s="102" t="s">
        <v>204</v>
      </c>
      <c r="C83" s="103" t="s">
        <v>205</v>
      </c>
      <c r="D83" s="45"/>
      <c r="E83" s="37"/>
      <c r="F83" s="37">
        <f>(3+15+5)/3</f>
        <v>7.666666666666667</v>
      </c>
      <c r="G83" s="37">
        <v>1120.8900000000001</v>
      </c>
      <c r="H83" s="100">
        <f t="shared" ref="H83:H85" si="7">G83*F83/1000</f>
        <v>8.593490000000001</v>
      </c>
      <c r="I83" s="13">
        <f>G83*((3+15+5)/3)</f>
        <v>8593.4900000000016</v>
      </c>
    </row>
    <row r="84" spans="1:9" ht="15.75" customHeight="1">
      <c r="A84" s="33">
        <v>14</v>
      </c>
      <c r="B84" s="104" t="s">
        <v>206</v>
      </c>
      <c r="C84" s="105" t="s">
        <v>119</v>
      </c>
      <c r="D84" s="45"/>
      <c r="E84" s="13"/>
      <c r="F84" s="13">
        <v>2</v>
      </c>
      <c r="G84" s="13">
        <v>470</v>
      </c>
      <c r="H84" s="100">
        <f t="shared" si="7"/>
        <v>0.94</v>
      </c>
      <c r="I84" s="13">
        <f>G84*2</f>
        <v>940</v>
      </c>
    </row>
    <row r="85" spans="1:9" ht="15.75" customHeight="1">
      <c r="A85" s="33">
        <v>15</v>
      </c>
      <c r="B85" s="106" t="s">
        <v>207</v>
      </c>
      <c r="C85" s="49" t="s">
        <v>119</v>
      </c>
      <c r="D85" s="99"/>
      <c r="E85" s="37"/>
      <c r="F85" s="37">
        <v>1</v>
      </c>
      <c r="G85" s="37">
        <v>189.67</v>
      </c>
      <c r="H85" s="100">
        <f t="shared" si="7"/>
        <v>0.18966999999999998</v>
      </c>
      <c r="I85" s="13">
        <f>G85</f>
        <v>189.67</v>
      </c>
    </row>
    <row r="86" spans="1:9">
      <c r="A86" s="33"/>
      <c r="B86" s="43" t="s">
        <v>52</v>
      </c>
      <c r="C86" s="39"/>
      <c r="D86" s="46"/>
      <c r="E86" s="39">
        <v>1</v>
      </c>
      <c r="F86" s="39"/>
      <c r="G86" s="39"/>
      <c r="H86" s="39"/>
      <c r="I86" s="35">
        <f>SUM(I83:I85)</f>
        <v>9723.1600000000017</v>
      </c>
    </row>
    <row r="87" spans="1:9" ht="16.5" customHeight="1">
      <c r="A87" s="33"/>
      <c r="B87" s="45" t="s">
        <v>81</v>
      </c>
      <c r="C87" s="15"/>
      <c r="D87" s="15"/>
      <c r="E87" s="40"/>
      <c r="F87" s="40"/>
      <c r="G87" s="41"/>
      <c r="H87" s="41"/>
      <c r="I87" s="17">
        <v>0</v>
      </c>
    </row>
    <row r="88" spans="1:9" ht="16.5" customHeight="1">
      <c r="A88" s="47"/>
      <c r="B88" s="44" t="s">
        <v>53</v>
      </c>
      <c r="C88" s="36"/>
      <c r="D88" s="36"/>
      <c r="E88" s="36"/>
      <c r="F88" s="36"/>
      <c r="G88" s="36"/>
      <c r="H88" s="36"/>
      <c r="I88" s="42">
        <f>I81+I86</f>
        <v>25969.49409364444</v>
      </c>
    </row>
    <row r="89" spans="1:9" ht="15.75" customHeight="1">
      <c r="A89" s="122" t="s">
        <v>208</v>
      </c>
      <c r="B89" s="122"/>
      <c r="C89" s="122"/>
      <c r="D89" s="122"/>
      <c r="E89" s="122"/>
      <c r="F89" s="122"/>
      <c r="G89" s="122"/>
      <c r="H89" s="122"/>
      <c r="I89" s="122"/>
    </row>
    <row r="90" spans="1:9" ht="15.75" customHeight="1">
      <c r="A90" s="59"/>
      <c r="B90" s="123" t="s">
        <v>209</v>
      </c>
      <c r="C90" s="123"/>
      <c r="D90" s="123"/>
      <c r="E90" s="123"/>
      <c r="F90" s="123"/>
      <c r="G90" s="123"/>
      <c r="H90" s="65"/>
      <c r="I90" s="3"/>
    </row>
    <row r="91" spans="1:9">
      <c r="A91" s="58"/>
      <c r="B91" s="120" t="s">
        <v>6</v>
      </c>
      <c r="C91" s="120"/>
      <c r="D91" s="120"/>
      <c r="E91" s="120"/>
      <c r="F91" s="120"/>
      <c r="G91" s="120"/>
      <c r="H91" s="28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16" t="s">
        <v>7</v>
      </c>
      <c r="B93" s="116"/>
      <c r="C93" s="116"/>
      <c r="D93" s="116"/>
      <c r="E93" s="116"/>
      <c r="F93" s="116"/>
      <c r="G93" s="116"/>
      <c r="H93" s="116"/>
      <c r="I93" s="116"/>
    </row>
    <row r="94" spans="1:9" ht="15.75">
      <c r="A94" s="116" t="s">
        <v>8</v>
      </c>
      <c r="B94" s="116"/>
      <c r="C94" s="116"/>
      <c r="D94" s="116"/>
      <c r="E94" s="116"/>
      <c r="F94" s="116"/>
      <c r="G94" s="116"/>
      <c r="H94" s="116"/>
      <c r="I94" s="116"/>
    </row>
    <row r="95" spans="1:9" ht="15.75">
      <c r="A95" s="117" t="s">
        <v>63</v>
      </c>
      <c r="B95" s="117"/>
      <c r="C95" s="117"/>
      <c r="D95" s="117"/>
      <c r="E95" s="117"/>
      <c r="F95" s="117"/>
      <c r="G95" s="117"/>
      <c r="H95" s="117"/>
      <c r="I95" s="117"/>
    </row>
    <row r="96" spans="1:9" ht="15.75">
      <c r="A96" s="11"/>
    </row>
    <row r="97" spans="1:9" ht="15.75">
      <c r="A97" s="118" t="s">
        <v>9</v>
      </c>
      <c r="B97" s="118"/>
      <c r="C97" s="118"/>
      <c r="D97" s="118"/>
      <c r="E97" s="118"/>
      <c r="F97" s="118"/>
      <c r="G97" s="118"/>
      <c r="H97" s="118"/>
      <c r="I97" s="118"/>
    </row>
    <row r="98" spans="1:9" ht="15.75">
      <c r="A98" s="4"/>
    </row>
    <row r="99" spans="1:9" ht="15.75">
      <c r="B99" s="55" t="s">
        <v>10</v>
      </c>
      <c r="C99" s="119" t="s">
        <v>133</v>
      </c>
      <c r="D99" s="119"/>
      <c r="E99" s="119"/>
      <c r="F99" s="63"/>
      <c r="I99" s="57"/>
    </row>
    <row r="100" spans="1:9">
      <c r="A100" s="58"/>
      <c r="C100" s="120" t="s">
        <v>11</v>
      </c>
      <c r="D100" s="120"/>
      <c r="E100" s="120"/>
      <c r="F100" s="28"/>
      <c r="I100" s="56" t="s">
        <v>12</v>
      </c>
    </row>
    <row r="101" spans="1:9" ht="15.75">
      <c r="A101" s="29"/>
      <c r="C101" s="12"/>
      <c r="D101" s="12"/>
      <c r="G101" s="12"/>
      <c r="H101" s="12"/>
    </row>
    <row r="102" spans="1:9" ht="15.75">
      <c r="B102" s="55" t="s">
        <v>13</v>
      </c>
      <c r="C102" s="121"/>
      <c r="D102" s="121"/>
      <c r="E102" s="121"/>
      <c r="F102" s="64"/>
      <c r="I102" s="57"/>
    </row>
    <row r="103" spans="1:9">
      <c r="A103" s="58"/>
      <c r="C103" s="110" t="s">
        <v>11</v>
      </c>
      <c r="D103" s="110"/>
      <c r="E103" s="110"/>
      <c r="F103" s="58"/>
      <c r="I103" s="56" t="s">
        <v>12</v>
      </c>
    </row>
    <row r="104" spans="1:9" ht="15.75">
      <c r="A104" s="4" t="s">
        <v>14</v>
      </c>
    </row>
    <row r="105" spans="1:9">
      <c r="A105" s="111" t="s">
        <v>15</v>
      </c>
      <c r="B105" s="111"/>
      <c r="C105" s="111"/>
      <c r="D105" s="111"/>
      <c r="E105" s="111"/>
      <c r="F105" s="111"/>
      <c r="G105" s="111"/>
      <c r="H105" s="111"/>
      <c r="I105" s="111"/>
    </row>
    <row r="106" spans="1:9" ht="45" customHeight="1">
      <c r="A106" s="115" t="s">
        <v>16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30" customHeight="1">
      <c r="A107" s="115" t="s">
        <v>17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30" customHeight="1">
      <c r="A108" s="115" t="s">
        <v>21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ht="14.25" customHeight="1">
      <c r="A109" s="115" t="s">
        <v>20</v>
      </c>
      <c r="B109" s="115"/>
      <c r="C109" s="115"/>
      <c r="D109" s="115"/>
      <c r="E109" s="115"/>
      <c r="F109" s="115"/>
      <c r="G109" s="115"/>
      <c r="H109" s="115"/>
      <c r="I109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5:I95"/>
    <mergeCell ref="A15:I15"/>
    <mergeCell ref="A29:I29"/>
    <mergeCell ref="A44:I44"/>
    <mergeCell ref="A55:I55"/>
    <mergeCell ref="A89:I89"/>
    <mergeCell ref="B90:G90"/>
    <mergeCell ref="B91:G91"/>
    <mergeCell ref="A93:I93"/>
    <mergeCell ref="A94:I94"/>
    <mergeCell ref="A82:I82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211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4">
        <v>43069</v>
      </c>
      <c r="J6" s="2"/>
      <c r="K6" s="2"/>
      <c r="L6" s="2"/>
      <c r="M6" s="2"/>
    </row>
    <row r="7" spans="1:13" ht="15.75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6" t="s">
        <v>103</v>
      </c>
      <c r="C21" s="67" t="s">
        <v>90</v>
      </c>
      <c r="D21" s="66" t="s">
        <v>212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8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9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customHeight="1">
      <c r="A43" s="33">
        <v>12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10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customHeight="1">
      <c r="A51" s="33">
        <v>13</v>
      </c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customHeight="1">
      <c r="A52" s="33">
        <v>14</v>
      </c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f t="shared" ref="I52:I53" si="6">F52/2*G52</f>
        <v>231.3972</v>
      </c>
      <c r="J52" s="27"/>
      <c r="L52" s="20"/>
      <c r="M52" s="21"/>
      <c r="N52" s="22"/>
    </row>
    <row r="53" spans="1:22" ht="15.75" customHeight="1">
      <c r="A53" s="33">
        <v>15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f t="shared" si="6"/>
        <v>53.221499999999999</v>
      </c>
      <c r="J53" s="27"/>
      <c r="L53" s="20"/>
      <c r="M53" s="21"/>
      <c r="N53" s="22"/>
    </row>
    <row r="54" spans="1:22" ht="15.75" hidden="1" customHeight="1">
      <c r="A54" s="33">
        <v>11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10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7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7"/>
        <v>0.15996000000000002</v>
      </c>
      <c r="I68" s="13">
        <v>0</v>
      </c>
    </row>
    <row r="69" spans="1:21" ht="15.75" hidden="1" customHeight="1">
      <c r="A69" s="33"/>
      <c r="B69" s="9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7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7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>
        <v>10</v>
      </c>
      <c r="B77" s="89" t="s">
        <v>127</v>
      </c>
      <c r="C77" s="24"/>
      <c r="D77" s="23"/>
      <c r="E77" s="86"/>
      <c r="F77" s="90">
        <v>1</v>
      </c>
      <c r="G77" s="13">
        <v>3395.9</v>
      </c>
      <c r="H77" s="81">
        <f>G77*F77/1000</f>
        <v>3.3959000000000001</v>
      </c>
      <c r="I77" s="13">
        <v>939.9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17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18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I16+I17+I18+I20+I21+I27+I28+I38+I39+I40+I41+I43+I51+I52+I53+I57+I79+I80</f>
        <v>20297.459930916666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15.75" customHeight="1">
      <c r="A83" s="33">
        <v>19</v>
      </c>
      <c r="B83" s="48" t="s">
        <v>146</v>
      </c>
      <c r="C83" s="49" t="s">
        <v>147</v>
      </c>
      <c r="D83" s="45"/>
      <c r="E83" s="13"/>
      <c r="F83" s="13">
        <v>4.5</v>
      </c>
      <c r="G83" s="13">
        <v>1582</v>
      </c>
      <c r="H83" s="81">
        <f t="shared" ref="H83" si="8">G83*F83/1000</f>
        <v>7.1189999999999998</v>
      </c>
      <c r="I83" s="13">
        <f>G83*1.5</f>
        <v>2373</v>
      </c>
    </row>
    <row r="84" spans="1:9">
      <c r="A84" s="33"/>
      <c r="B84" s="43" t="s">
        <v>52</v>
      </c>
      <c r="C84" s="39"/>
      <c r="D84" s="46"/>
      <c r="E84" s="39">
        <v>1</v>
      </c>
      <c r="F84" s="39"/>
      <c r="G84" s="39"/>
      <c r="H84" s="39"/>
      <c r="I84" s="35">
        <f>SUM(I83:I83)</f>
        <v>2373</v>
      </c>
    </row>
    <row r="85" spans="1:9" ht="16.5" customHeight="1">
      <c r="A85" s="33"/>
      <c r="B85" s="45" t="s">
        <v>81</v>
      </c>
      <c r="C85" s="15"/>
      <c r="D85" s="15"/>
      <c r="E85" s="40"/>
      <c r="F85" s="40"/>
      <c r="G85" s="41"/>
      <c r="H85" s="41"/>
      <c r="I85" s="17">
        <v>0</v>
      </c>
    </row>
    <row r="86" spans="1:9" ht="16.5" customHeight="1">
      <c r="A86" s="47"/>
      <c r="B86" s="44" t="s">
        <v>53</v>
      </c>
      <c r="C86" s="36"/>
      <c r="D86" s="36"/>
      <c r="E86" s="36"/>
      <c r="F86" s="36"/>
      <c r="G86" s="36"/>
      <c r="H86" s="36"/>
      <c r="I86" s="42">
        <f>I81+I84</f>
        <v>22670.459930916666</v>
      </c>
    </row>
    <row r="87" spans="1:9" ht="15.75" customHeight="1">
      <c r="A87" s="122" t="s">
        <v>224</v>
      </c>
      <c r="B87" s="122"/>
      <c r="C87" s="122"/>
      <c r="D87" s="122"/>
      <c r="E87" s="122"/>
      <c r="F87" s="122"/>
      <c r="G87" s="122"/>
      <c r="H87" s="122"/>
      <c r="I87" s="122"/>
    </row>
    <row r="88" spans="1:9" ht="15.75" customHeight="1">
      <c r="A88" s="59"/>
      <c r="B88" s="123" t="s">
        <v>225</v>
      </c>
      <c r="C88" s="123"/>
      <c r="D88" s="123"/>
      <c r="E88" s="123"/>
      <c r="F88" s="123"/>
      <c r="G88" s="123"/>
      <c r="H88" s="65"/>
      <c r="I88" s="3"/>
    </row>
    <row r="89" spans="1:9">
      <c r="A89" s="94"/>
      <c r="B89" s="120" t="s">
        <v>6</v>
      </c>
      <c r="C89" s="120"/>
      <c r="D89" s="120"/>
      <c r="E89" s="120"/>
      <c r="F89" s="120"/>
      <c r="G89" s="120"/>
      <c r="H89" s="28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16" t="s">
        <v>7</v>
      </c>
      <c r="B91" s="116"/>
      <c r="C91" s="116"/>
      <c r="D91" s="116"/>
      <c r="E91" s="116"/>
      <c r="F91" s="116"/>
      <c r="G91" s="116"/>
      <c r="H91" s="116"/>
      <c r="I91" s="116"/>
    </row>
    <row r="92" spans="1:9" ht="15.75">
      <c r="A92" s="116" t="s">
        <v>8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7" t="s">
        <v>63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"/>
    </row>
    <row r="95" spans="1:9" ht="15.75">
      <c r="A95" s="118" t="s">
        <v>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4"/>
    </row>
    <row r="97" spans="1:9" ht="15.75">
      <c r="B97" s="96" t="s">
        <v>10</v>
      </c>
      <c r="C97" s="119" t="s">
        <v>133</v>
      </c>
      <c r="D97" s="119"/>
      <c r="E97" s="119"/>
      <c r="F97" s="63"/>
      <c r="I97" s="97"/>
    </row>
    <row r="98" spans="1:9">
      <c r="A98" s="94"/>
      <c r="C98" s="120" t="s">
        <v>11</v>
      </c>
      <c r="D98" s="120"/>
      <c r="E98" s="120"/>
      <c r="F98" s="28"/>
      <c r="I98" s="95" t="s">
        <v>12</v>
      </c>
    </row>
    <row r="99" spans="1:9" ht="15.75">
      <c r="A99" s="29"/>
      <c r="C99" s="12"/>
      <c r="D99" s="12"/>
      <c r="G99" s="12"/>
      <c r="H99" s="12"/>
    </row>
    <row r="100" spans="1:9" ht="15.75">
      <c r="B100" s="96" t="s">
        <v>13</v>
      </c>
      <c r="C100" s="121"/>
      <c r="D100" s="121"/>
      <c r="E100" s="121"/>
      <c r="F100" s="64"/>
      <c r="I100" s="97"/>
    </row>
    <row r="101" spans="1:9">
      <c r="A101" s="94"/>
      <c r="C101" s="110" t="s">
        <v>11</v>
      </c>
      <c r="D101" s="110"/>
      <c r="E101" s="110"/>
      <c r="F101" s="94"/>
      <c r="I101" s="95" t="s">
        <v>12</v>
      </c>
    </row>
    <row r="102" spans="1:9" ht="15.75">
      <c r="A102" s="4" t="s">
        <v>14</v>
      </c>
    </row>
    <row r="103" spans="1:9">
      <c r="A103" s="111" t="s">
        <v>15</v>
      </c>
      <c r="B103" s="111"/>
      <c r="C103" s="111"/>
      <c r="D103" s="111"/>
      <c r="E103" s="111"/>
      <c r="F103" s="111"/>
      <c r="G103" s="111"/>
      <c r="H103" s="111"/>
      <c r="I103" s="111"/>
    </row>
    <row r="104" spans="1:9" ht="45" customHeight="1">
      <c r="A104" s="115" t="s">
        <v>16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30" customHeight="1">
      <c r="A105" s="115" t="s">
        <v>17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0" customHeight="1">
      <c r="A106" s="115" t="s">
        <v>21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14.25" customHeight="1">
      <c r="A107" s="115" t="s">
        <v>20</v>
      </c>
      <c r="B107" s="115"/>
      <c r="C107" s="115"/>
      <c r="D107" s="115"/>
      <c r="E107" s="115"/>
      <c r="F107" s="115"/>
      <c r="G107" s="115"/>
      <c r="H107" s="115"/>
      <c r="I107" s="115"/>
    </row>
  </sheetData>
  <autoFilter ref="I12:I61"/>
  <mergeCells count="29">
    <mergeCell ref="A103:I103"/>
    <mergeCell ref="A104:I104"/>
    <mergeCell ref="A105:I105"/>
    <mergeCell ref="A106:I106"/>
    <mergeCell ref="A107:I107"/>
    <mergeCell ref="R66:U66"/>
    <mergeCell ref="C101:E101"/>
    <mergeCell ref="A82:I82"/>
    <mergeCell ref="A87:I87"/>
    <mergeCell ref="B88:G88"/>
    <mergeCell ref="B89:G89"/>
    <mergeCell ref="A91:I91"/>
    <mergeCell ref="A92:I92"/>
    <mergeCell ref="A93:I93"/>
    <mergeCell ref="A95:I95"/>
    <mergeCell ref="C97:E97"/>
    <mergeCell ref="C98:E98"/>
    <mergeCell ref="C100:E100"/>
    <mergeCell ref="A78:I78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213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214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4">
        <v>43100</v>
      </c>
      <c r="J6" s="2"/>
      <c r="K6" s="2"/>
      <c r="L6" s="2"/>
      <c r="M6" s="2"/>
    </row>
    <row r="7" spans="1:13" ht="15.75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212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8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9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7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8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11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customHeight="1">
      <c r="A43" s="33">
        <v>11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12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>
        <v>14</v>
      </c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hidden="1" customHeight="1">
      <c r="A52" s="33">
        <v>15</v>
      </c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f t="shared" ref="I52:I53" si="6">F52/2*G52</f>
        <v>231.3972</v>
      </c>
      <c r="J52" s="27"/>
      <c r="L52" s="20"/>
      <c r="M52" s="21"/>
      <c r="N52" s="22"/>
    </row>
    <row r="53" spans="1:22" ht="15.75" hidden="1" customHeight="1">
      <c r="A53" s="33">
        <v>16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f t="shared" si="6"/>
        <v>53.221499999999999</v>
      </c>
      <c r="J53" s="27"/>
      <c r="L53" s="20"/>
      <c r="M53" s="21"/>
      <c r="N53" s="22"/>
    </row>
    <row r="54" spans="1:22" ht="15.75" hidden="1" customHeight="1">
      <c r="A54" s="33">
        <v>11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13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10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7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7"/>
        <v>0.15996000000000002</v>
      </c>
      <c r="I68" s="13">
        <v>0</v>
      </c>
    </row>
    <row r="69" spans="1:21" ht="15.75" customHeight="1">
      <c r="A69" s="33"/>
      <c r="B69" s="9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customHeight="1">
      <c r="A70" s="33">
        <v>14</v>
      </c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7"/>
        <v>0.10724600000000001</v>
      </c>
      <c r="I70" s="13">
        <f>G70*0.1</f>
        <v>53.623000000000005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7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7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>
        <v>10</v>
      </c>
      <c r="B77" s="89" t="s">
        <v>127</v>
      </c>
      <c r="C77" s="24"/>
      <c r="D77" s="23"/>
      <c r="E77" s="86"/>
      <c r="F77" s="90">
        <v>1</v>
      </c>
      <c r="G77" s="13">
        <v>3395.9</v>
      </c>
      <c r="H77" s="81">
        <f>G77*F77/1000</f>
        <v>3.3959000000000001</v>
      </c>
      <c r="I77" s="13">
        <v>939.9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15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16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I16+I17+I18+I20+I27+I28+I38+I39+I40+I41+I43+I50+I57+I70+I79+I80</f>
        <v>20064.266430916665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customHeight="1">
      <c r="A83" s="33">
        <v>17</v>
      </c>
      <c r="B83" s="48" t="s">
        <v>131</v>
      </c>
      <c r="C83" s="49" t="s">
        <v>98</v>
      </c>
      <c r="D83" s="45"/>
      <c r="E83" s="13"/>
      <c r="F83" s="13">
        <v>3</v>
      </c>
      <c r="G83" s="13">
        <v>589.84</v>
      </c>
      <c r="H83" s="81">
        <f t="shared" ref="H83:H87" si="8">G83*F83/1000</f>
        <v>1.76952</v>
      </c>
      <c r="I83" s="13">
        <f>G83*(1+1)</f>
        <v>1179.68</v>
      </c>
    </row>
    <row r="84" spans="1:9" ht="15.75" customHeight="1">
      <c r="A84" s="33">
        <v>18</v>
      </c>
      <c r="B84" s="48" t="s">
        <v>192</v>
      </c>
      <c r="C84" s="49" t="s">
        <v>119</v>
      </c>
      <c r="D84" s="45"/>
      <c r="E84" s="13"/>
      <c r="F84" s="13">
        <v>2</v>
      </c>
      <c r="G84" s="13">
        <v>189.88</v>
      </c>
      <c r="H84" s="81">
        <f t="shared" si="8"/>
        <v>0.37975999999999999</v>
      </c>
      <c r="I84" s="13">
        <f>G84</f>
        <v>189.88</v>
      </c>
    </row>
    <row r="85" spans="1:9" ht="31.5" customHeight="1">
      <c r="A85" s="33">
        <v>19</v>
      </c>
      <c r="B85" s="48" t="s">
        <v>215</v>
      </c>
      <c r="C85" s="49" t="s">
        <v>191</v>
      </c>
      <c r="D85" s="99"/>
      <c r="E85" s="37"/>
      <c r="F85" s="37">
        <v>4</v>
      </c>
      <c r="G85" s="37">
        <v>1183.51</v>
      </c>
      <c r="H85" s="100">
        <f t="shared" si="8"/>
        <v>4.7340400000000002</v>
      </c>
      <c r="I85" s="13">
        <f>G85*4</f>
        <v>4734.04</v>
      </c>
    </row>
    <row r="86" spans="1:9" ht="15.75" customHeight="1">
      <c r="A86" s="33">
        <v>20</v>
      </c>
      <c r="B86" s="48" t="s">
        <v>216</v>
      </c>
      <c r="C86" s="49" t="s">
        <v>98</v>
      </c>
      <c r="D86" s="99"/>
      <c r="E86" s="37"/>
      <c r="F86" s="37">
        <v>1</v>
      </c>
      <c r="G86" s="37">
        <v>306.37</v>
      </c>
      <c r="H86" s="100">
        <f t="shared" si="8"/>
        <v>0.30637000000000003</v>
      </c>
      <c r="I86" s="13">
        <f>G86</f>
        <v>306.37</v>
      </c>
    </row>
    <row r="87" spans="1:9" ht="15.75" customHeight="1">
      <c r="A87" s="33">
        <v>21</v>
      </c>
      <c r="B87" s="48" t="s">
        <v>226</v>
      </c>
      <c r="C87" s="49" t="s">
        <v>33</v>
      </c>
      <c r="D87" s="135"/>
      <c r="E87" s="17"/>
      <c r="F87" s="37">
        <f>(9.16+273.39)-(2.26*6)</f>
        <v>268.99</v>
      </c>
      <c r="G87" s="37">
        <v>44.31</v>
      </c>
      <c r="H87" s="37">
        <f t="shared" si="8"/>
        <v>11.918946900000002</v>
      </c>
      <c r="I87" s="13">
        <f>G87*F87</f>
        <v>11918.946900000001</v>
      </c>
    </row>
    <row r="88" spans="1:9">
      <c r="A88" s="33"/>
      <c r="B88" s="43" t="s">
        <v>52</v>
      </c>
      <c r="C88" s="39"/>
      <c r="D88" s="46"/>
      <c r="E88" s="39">
        <v>1</v>
      </c>
      <c r="F88" s="39"/>
      <c r="G88" s="39"/>
      <c r="H88" s="39"/>
      <c r="I88" s="35">
        <f>SUM(I83:I87)</f>
        <v>18328.9169</v>
      </c>
    </row>
    <row r="89" spans="1:9" ht="16.5" customHeight="1">
      <c r="A89" s="33"/>
      <c r="B89" s="45" t="s">
        <v>81</v>
      </c>
      <c r="C89" s="15"/>
      <c r="D89" s="15"/>
      <c r="E89" s="40"/>
      <c r="F89" s="40"/>
      <c r="G89" s="41"/>
      <c r="H89" s="41"/>
      <c r="I89" s="17">
        <v>0</v>
      </c>
    </row>
    <row r="90" spans="1:9" ht="16.5" customHeight="1">
      <c r="A90" s="47"/>
      <c r="B90" s="44" t="s">
        <v>53</v>
      </c>
      <c r="C90" s="36"/>
      <c r="D90" s="36"/>
      <c r="E90" s="36"/>
      <c r="F90" s="36"/>
      <c r="G90" s="36"/>
      <c r="H90" s="36"/>
      <c r="I90" s="42">
        <f>I81+I88</f>
        <v>38393.183330916669</v>
      </c>
    </row>
    <row r="91" spans="1:9" ht="15.75" customHeight="1">
      <c r="A91" s="122" t="s">
        <v>227</v>
      </c>
      <c r="B91" s="122"/>
      <c r="C91" s="122"/>
      <c r="D91" s="122"/>
      <c r="E91" s="122"/>
      <c r="F91" s="122"/>
      <c r="G91" s="122"/>
      <c r="H91" s="122"/>
      <c r="I91" s="122"/>
    </row>
    <row r="92" spans="1:9" ht="15.75" customHeight="1">
      <c r="A92" s="59"/>
      <c r="B92" s="123" t="s">
        <v>228</v>
      </c>
      <c r="C92" s="123"/>
      <c r="D92" s="123"/>
      <c r="E92" s="123"/>
      <c r="F92" s="123"/>
      <c r="G92" s="123"/>
      <c r="H92" s="65"/>
      <c r="I92" s="3"/>
    </row>
    <row r="93" spans="1:9">
      <c r="A93" s="94"/>
      <c r="B93" s="120" t="s">
        <v>6</v>
      </c>
      <c r="C93" s="120"/>
      <c r="D93" s="120"/>
      <c r="E93" s="120"/>
      <c r="F93" s="120"/>
      <c r="G93" s="120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16" t="s">
        <v>7</v>
      </c>
      <c r="B95" s="116"/>
      <c r="C95" s="116"/>
      <c r="D95" s="116"/>
      <c r="E95" s="116"/>
      <c r="F95" s="116"/>
      <c r="G95" s="116"/>
      <c r="H95" s="116"/>
      <c r="I95" s="116"/>
    </row>
    <row r="96" spans="1:9" ht="15.75">
      <c r="A96" s="116" t="s">
        <v>8</v>
      </c>
      <c r="B96" s="116"/>
      <c r="C96" s="116"/>
      <c r="D96" s="116"/>
      <c r="E96" s="116"/>
      <c r="F96" s="116"/>
      <c r="G96" s="116"/>
      <c r="H96" s="116"/>
      <c r="I96" s="116"/>
    </row>
    <row r="97" spans="1:9" ht="15.75">
      <c r="A97" s="117" t="s">
        <v>63</v>
      </c>
      <c r="B97" s="117"/>
      <c r="C97" s="117"/>
      <c r="D97" s="117"/>
      <c r="E97" s="117"/>
      <c r="F97" s="117"/>
      <c r="G97" s="117"/>
      <c r="H97" s="117"/>
      <c r="I97" s="117"/>
    </row>
    <row r="98" spans="1:9" ht="15.75">
      <c r="A98" s="11"/>
    </row>
    <row r="99" spans="1:9" ht="15.75">
      <c r="A99" s="118" t="s">
        <v>9</v>
      </c>
      <c r="B99" s="118"/>
      <c r="C99" s="118"/>
      <c r="D99" s="118"/>
      <c r="E99" s="118"/>
      <c r="F99" s="118"/>
      <c r="G99" s="118"/>
      <c r="H99" s="118"/>
      <c r="I99" s="118"/>
    </row>
    <row r="100" spans="1:9" ht="15.75">
      <c r="A100" s="4"/>
    </row>
    <row r="101" spans="1:9" ht="15.75">
      <c r="B101" s="96" t="s">
        <v>10</v>
      </c>
      <c r="C101" s="119" t="s">
        <v>133</v>
      </c>
      <c r="D101" s="119"/>
      <c r="E101" s="119"/>
      <c r="F101" s="63"/>
      <c r="I101" s="97"/>
    </row>
    <row r="102" spans="1:9">
      <c r="A102" s="94"/>
      <c r="C102" s="120" t="s">
        <v>11</v>
      </c>
      <c r="D102" s="120"/>
      <c r="E102" s="120"/>
      <c r="F102" s="28"/>
      <c r="I102" s="95" t="s">
        <v>12</v>
      </c>
    </row>
    <row r="103" spans="1:9" ht="15.75">
      <c r="A103" s="29"/>
      <c r="C103" s="12"/>
      <c r="D103" s="12"/>
      <c r="G103" s="12"/>
      <c r="H103" s="12"/>
    </row>
    <row r="104" spans="1:9" ht="15.75">
      <c r="B104" s="96" t="s">
        <v>13</v>
      </c>
      <c r="C104" s="121"/>
      <c r="D104" s="121"/>
      <c r="E104" s="121"/>
      <c r="F104" s="64"/>
      <c r="I104" s="97"/>
    </row>
    <row r="105" spans="1:9">
      <c r="A105" s="94"/>
      <c r="C105" s="110" t="s">
        <v>11</v>
      </c>
      <c r="D105" s="110"/>
      <c r="E105" s="110"/>
      <c r="F105" s="94"/>
      <c r="I105" s="95" t="s">
        <v>12</v>
      </c>
    </row>
    <row r="106" spans="1:9" ht="15.75">
      <c r="A106" s="4" t="s">
        <v>14</v>
      </c>
    </row>
    <row r="107" spans="1:9">
      <c r="A107" s="111" t="s">
        <v>15</v>
      </c>
      <c r="B107" s="111"/>
      <c r="C107" s="111"/>
      <c r="D107" s="111"/>
      <c r="E107" s="111"/>
      <c r="F107" s="111"/>
      <c r="G107" s="111"/>
      <c r="H107" s="111"/>
      <c r="I107" s="111"/>
    </row>
    <row r="108" spans="1:9" ht="45" customHeight="1">
      <c r="A108" s="115" t="s">
        <v>16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ht="30" customHeight="1">
      <c r="A109" s="115" t="s">
        <v>17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ht="30" customHeight="1">
      <c r="A110" s="115" t="s">
        <v>21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ht="14.25" customHeight="1">
      <c r="A111" s="115" t="s">
        <v>20</v>
      </c>
      <c r="B111" s="115"/>
      <c r="C111" s="115"/>
      <c r="D111" s="115"/>
      <c r="E111" s="115"/>
      <c r="F111" s="115"/>
      <c r="G111" s="115"/>
      <c r="H111" s="115"/>
      <c r="I111" s="115"/>
    </row>
  </sheetData>
  <autoFilter ref="I12:I61"/>
  <mergeCells count="29">
    <mergeCell ref="A107:I107"/>
    <mergeCell ref="A108:I108"/>
    <mergeCell ref="A109:I109"/>
    <mergeCell ref="A110:I110"/>
    <mergeCell ref="A111:I111"/>
    <mergeCell ref="R66:U66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174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42794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25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25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6" t="s">
        <v>115</v>
      </c>
      <c r="C31" s="67" t="s">
        <v>93</v>
      </c>
      <c r="D31" s="66" t="s">
        <v>111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6" t="s">
        <v>114</v>
      </c>
      <c r="C32" s="67" t="s">
        <v>93</v>
      </c>
      <c r="D32" s="66" t="s">
        <v>112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7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8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11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customHeight="1">
      <c r="A43" s="33">
        <v>11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12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13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14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15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I16+I17+I18+I20+I27+I28+I38+I39+I40+I41+I43+I50+I57+I79+I80</f>
        <v>20010.643430916665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>
      <c r="A83" s="33"/>
      <c r="B83" s="43" t="s">
        <v>52</v>
      </c>
      <c r="C83" s="39"/>
      <c r="D83" s="46"/>
      <c r="E83" s="39">
        <v>1</v>
      </c>
      <c r="F83" s="39"/>
      <c r="G83" s="39"/>
      <c r="H83" s="39"/>
      <c r="I83" s="35">
        <f>SUM(A82)</f>
        <v>0</v>
      </c>
    </row>
    <row r="84" spans="1:9" ht="16.5" customHeight="1">
      <c r="A84" s="33"/>
      <c r="B84" s="45" t="s">
        <v>81</v>
      </c>
      <c r="C84" s="15"/>
      <c r="D84" s="15"/>
      <c r="E84" s="40"/>
      <c r="F84" s="40"/>
      <c r="G84" s="41"/>
      <c r="H84" s="41"/>
      <c r="I84" s="17">
        <v>0</v>
      </c>
    </row>
    <row r="85" spans="1:9" ht="16.5" customHeight="1">
      <c r="A85" s="47"/>
      <c r="B85" s="44" t="s">
        <v>173</v>
      </c>
      <c r="C85" s="36"/>
      <c r="D85" s="36"/>
      <c r="E85" s="36"/>
      <c r="F85" s="36"/>
      <c r="G85" s="36"/>
      <c r="H85" s="36"/>
      <c r="I85" s="42">
        <f>I81+I83</f>
        <v>20010.643430916665</v>
      </c>
    </row>
    <row r="86" spans="1:9" ht="15.75" customHeight="1">
      <c r="A86" s="122" t="s">
        <v>221</v>
      </c>
      <c r="B86" s="122"/>
      <c r="C86" s="122"/>
      <c r="D86" s="122"/>
      <c r="E86" s="122"/>
      <c r="F86" s="122"/>
      <c r="G86" s="122"/>
      <c r="H86" s="122"/>
      <c r="I86" s="122"/>
    </row>
    <row r="87" spans="1:9" ht="15.75" customHeight="1">
      <c r="A87" s="59"/>
      <c r="B87" s="123" t="s">
        <v>222</v>
      </c>
      <c r="C87" s="123"/>
      <c r="D87" s="123"/>
      <c r="E87" s="123"/>
      <c r="F87" s="123"/>
      <c r="G87" s="123"/>
      <c r="H87" s="65"/>
      <c r="I87" s="3"/>
    </row>
    <row r="88" spans="1:9">
      <c r="A88" s="58"/>
      <c r="B88" s="120" t="s">
        <v>6</v>
      </c>
      <c r="C88" s="120"/>
      <c r="D88" s="120"/>
      <c r="E88" s="120"/>
      <c r="F88" s="120"/>
      <c r="G88" s="120"/>
      <c r="H88" s="28"/>
      <c r="I88" s="5"/>
    </row>
    <row r="89" spans="1:9" ht="15.75" customHeight="1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.75">
      <c r="A90" s="116" t="s">
        <v>7</v>
      </c>
      <c r="B90" s="116"/>
      <c r="C90" s="116"/>
      <c r="D90" s="116"/>
      <c r="E90" s="116"/>
      <c r="F90" s="116"/>
      <c r="G90" s="116"/>
      <c r="H90" s="116"/>
      <c r="I90" s="116"/>
    </row>
    <row r="91" spans="1:9" ht="15.75">
      <c r="A91" s="116" t="s">
        <v>8</v>
      </c>
      <c r="B91" s="116"/>
      <c r="C91" s="116"/>
      <c r="D91" s="116"/>
      <c r="E91" s="116"/>
      <c r="F91" s="116"/>
      <c r="G91" s="116"/>
      <c r="H91" s="116"/>
      <c r="I91" s="116"/>
    </row>
    <row r="92" spans="1:9" ht="15.75">
      <c r="A92" s="117" t="s">
        <v>63</v>
      </c>
      <c r="B92" s="117"/>
      <c r="C92" s="117"/>
      <c r="D92" s="117"/>
      <c r="E92" s="117"/>
      <c r="F92" s="117"/>
      <c r="G92" s="117"/>
      <c r="H92" s="117"/>
      <c r="I92" s="117"/>
    </row>
    <row r="93" spans="1:9" ht="15.75">
      <c r="A93" s="11"/>
    </row>
    <row r="94" spans="1:9" ht="15.75">
      <c r="A94" s="118" t="s">
        <v>9</v>
      </c>
      <c r="B94" s="118"/>
      <c r="C94" s="118"/>
      <c r="D94" s="118"/>
      <c r="E94" s="118"/>
      <c r="F94" s="118"/>
      <c r="G94" s="118"/>
      <c r="H94" s="118"/>
      <c r="I94" s="118"/>
    </row>
    <row r="95" spans="1:9" ht="15.75">
      <c r="A95" s="4"/>
    </row>
    <row r="96" spans="1:9" ht="15.75">
      <c r="B96" s="55" t="s">
        <v>10</v>
      </c>
      <c r="C96" s="119" t="s">
        <v>133</v>
      </c>
      <c r="D96" s="119"/>
      <c r="E96" s="119"/>
      <c r="F96" s="63"/>
      <c r="I96" s="57"/>
    </row>
    <row r="97" spans="1:9">
      <c r="A97" s="58"/>
      <c r="C97" s="120" t="s">
        <v>11</v>
      </c>
      <c r="D97" s="120"/>
      <c r="E97" s="120"/>
      <c r="F97" s="28"/>
      <c r="I97" s="56" t="s">
        <v>12</v>
      </c>
    </row>
    <row r="98" spans="1:9" ht="15.75">
      <c r="A98" s="29"/>
      <c r="C98" s="12"/>
      <c r="D98" s="12"/>
      <c r="G98" s="12"/>
      <c r="H98" s="12"/>
    </row>
    <row r="99" spans="1:9" ht="15.75">
      <c r="B99" s="55" t="s">
        <v>13</v>
      </c>
      <c r="C99" s="121"/>
      <c r="D99" s="121"/>
      <c r="E99" s="121"/>
      <c r="F99" s="64"/>
      <c r="I99" s="57"/>
    </row>
    <row r="100" spans="1:9">
      <c r="A100" s="58"/>
      <c r="C100" s="110" t="s">
        <v>11</v>
      </c>
      <c r="D100" s="110"/>
      <c r="E100" s="110"/>
      <c r="F100" s="58"/>
      <c r="I100" s="56" t="s">
        <v>12</v>
      </c>
    </row>
    <row r="101" spans="1:9" ht="15.75">
      <c r="A101" s="4" t="s">
        <v>14</v>
      </c>
    </row>
    <row r="102" spans="1:9">
      <c r="A102" s="111" t="s">
        <v>15</v>
      </c>
      <c r="B102" s="111"/>
      <c r="C102" s="111"/>
      <c r="D102" s="111"/>
      <c r="E102" s="111"/>
      <c r="F102" s="111"/>
      <c r="G102" s="111"/>
      <c r="H102" s="111"/>
      <c r="I102" s="111"/>
    </row>
    <row r="103" spans="1:9" ht="47.25" customHeight="1">
      <c r="A103" s="115" t="s">
        <v>16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ht="31.5" customHeight="1">
      <c r="A104" s="115" t="s">
        <v>17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31.5" customHeight="1">
      <c r="A105" s="115" t="s">
        <v>21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15.75">
      <c r="A106" s="115" t="s">
        <v>20</v>
      </c>
      <c r="B106" s="115"/>
      <c r="C106" s="115"/>
      <c r="D106" s="115"/>
      <c r="E106" s="115"/>
      <c r="F106" s="115"/>
      <c r="G106" s="115"/>
      <c r="H106" s="115"/>
      <c r="I106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2:I92"/>
    <mergeCell ref="A15:I15"/>
    <mergeCell ref="A29:I29"/>
    <mergeCell ref="A44:I44"/>
    <mergeCell ref="A55:I55"/>
    <mergeCell ref="A86:I86"/>
    <mergeCell ref="B87:G87"/>
    <mergeCell ref="B88:G88"/>
    <mergeCell ref="A90:I90"/>
    <mergeCell ref="A91:I91"/>
    <mergeCell ref="A82:I82"/>
    <mergeCell ref="A103:I103"/>
    <mergeCell ref="A104:I104"/>
    <mergeCell ref="A105:I105"/>
    <mergeCell ref="A106:I106"/>
    <mergeCell ref="A94:I94"/>
    <mergeCell ref="C96:E96"/>
    <mergeCell ref="C97:E97"/>
    <mergeCell ref="C99:E99"/>
    <mergeCell ref="C100:E100"/>
    <mergeCell ref="A102:I10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155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175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42825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6" t="s">
        <v>115</v>
      </c>
      <c r="C31" s="67" t="s">
        <v>93</v>
      </c>
      <c r="D31" s="66" t="s">
        <v>111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6" t="s">
        <v>114</v>
      </c>
      <c r="C32" s="67" t="s">
        <v>93</v>
      </c>
      <c r="D32" s="66" t="s">
        <v>112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12</v>
      </c>
      <c r="B42" s="66" t="s">
        <v>94</v>
      </c>
      <c r="C42" s="67" t="s">
        <v>93</v>
      </c>
      <c r="D42" s="131" t="s">
        <v>223</v>
      </c>
      <c r="E42" s="132">
        <v>48.03</v>
      </c>
      <c r="F42" s="133">
        <f>SUM(E42*15/1000)</f>
        <v>0.72045000000000003</v>
      </c>
      <c r="G42" s="132">
        <v>403.67</v>
      </c>
      <c r="H42" s="134">
        <f t="shared" ref="H42" si="5">SUM(F42*G42/1000)</f>
        <v>0.29082405150000007</v>
      </c>
      <c r="I42" s="13">
        <f>F42/2*G42</f>
        <v>145.41202575000003</v>
      </c>
      <c r="J42" s="27"/>
      <c r="L42" s="20"/>
      <c r="M42" s="21"/>
      <c r="N42" s="22"/>
    </row>
    <row r="43" spans="1:14" ht="15.75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6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6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6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6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6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6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6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6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6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6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156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14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7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7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7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7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157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15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16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I16+I17+I18+I20+I21+I27+I28+I38+I39+I40+I41+I42+I43+I57+I79+I80</f>
        <v>18855.575256666667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customHeight="1">
      <c r="A83" s="33">
        <v>17</v>
      </c>
      <c r="B83" s="48" t="s">
        <v>82</v>
      </c>
      <c r="C83" s="49" t="s">
        <v>119</v>
      </c>
      <c r="D83" s="45"/>
      <c r="E83" s="13"/>
      <c r="F83" s="13">
        <v>2</v>
      </c>
      <c r="G83" s="13">
        <v>83.36</v>
      </c>
      <c r="H83" s="81">
        <f t="shared" ref="H83:H84" si="8">G83*F83/1000</f>
        <v>0.16672000000000001</v>
      </c>
      <c r="I83" s="13">
        <f>G83*2</f>
        <v>166.72</v>
      </c>
    </row>
    <row r="84" spans="1:9" ht="31.5" customHeight="1">
      <c r="A84" s="33">
        <v>18</v>
      </c>
      <c r="B84" s="51" t="s">
        <v>176</v>
      </c>
      <c r="C84" s="52" t="s">
        <v>119</v>
      </c>
      <c r="D84" s="45"/>
      <c r="E84" s="13"/>
      <c r="F84" s="13">
        <v>1</v>
      </c>
      <c r="G84" s="13">
        <v>3107.36</v>
      </c>
      <c r="H84" s="81">
        <f t="shared" si="8"/>
        <v>3.1073600000000003</v>
      </c>
      <c r="I84" s="13">
        <f>G84</f>
        <v>3107.36</v>
      </c>
    </row>
    <row r="85" spans="1:9">
      <c r="A85" s="33"/>
      <c r="B85" s="43" t="s">
        <v>52</v>
      </c>
      <c r="C85" s="39"/>
      <c r="D85" s="46"/>
      <c r="E85" s="39">
        <v>1</v>
      </c>
      <c r="F85" s="39"/>
      <c r="G85" s="39"/>
      <c r="H85" s="39"/>
      <c r="I85" s="35">
        <f>SUM(I83:I84)</f>
        <v>3274.08</v>
      </c>
    </row>
    <row r="86" spans="1:9" ht="16.5" customHeight="1">
      <c r="A86" s="33"/>
      <c r="B86" s="45" t="s">
        <v>81</v>
      </c>
      <c r="C86" s="15"/>
      <c r="D86" s="15"/>
      <c r="E86" s="40"/>
      <c r="F86" s="40"/>
      <c r="G86" s="41"/>
      <c r="H86" s="41"/>
      <c r="I86" s="17">
        <v>0</v>
      </c>
    </row>
    <row r="87" spans="1:9" ht="16.5" customHeight="1">
      <c r="A87" s="47"/>
      <c r="B87" s="44" t="s">
        <v>173</v>
      </c>
      <c r="C87" s="36"/>
      <c r="D87" s="36"/>
      <c r="E87" s="36"/>
      <c r="F87" s="36"/>
      <c r="G87" s="36"/>
      <c r="H87" s="36"/>
      <c r="I87" s="42">
        <f>I81+I85</f>
        <v>22129.655256666665</v>
      </c>
    </row>
    <row r="88" spans="1:9" ht="15.75" customHeight="1">
      <c r="A88" s="122" t="s">
        <v>177</v>
      </c>
      <c r="B88" s="122"/>
      <c r="C88" s="122"/>
      <c r="D88" s="122"/>
      <c r="E88" s="122"/>
      <c r="F88" s="122"/>
      <c r="G88" s="122"/>
      <c r="H88" s="122"/>
      <c r="I88" s="122"/>
    </row>
    <row r="89" spans="1:9" ht="15.75" customHeight="1">
      <c r="A89" s="59"/>
      <c r="B89" s="123" t="s">
        <v>178</v>
      </c>
      <c r="C89" s="123"/>
      <c r="D89" s="123"/>
      <c r="E89" s="123"/>
      <c r="F89" s="123"/>
      <c r="G89" s="123"/>
      <c r="H89" s="65"/>
      <c r="I89" s="3"/>
    </row>
    <row r="90" spans="1:9">
      <c r="A90" s="58"/>
      <c r="B90" s="120" t="s">
        <v>6</v>
      </c>
      <c r="C90" s="120"/>
      <c r="D90" s="120"/>
      <c r="E90" s="120"/>
      <c r="F90" s="120"/>
      <c r="G90" s="120"/>
      <c r="H90" s="28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6" t="s">
        <v>7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6" t="s">
        <v>8</v>
      </c>
      <c r="B93" s="116"/>
      <c r="C93" s="116"/>
      <c r="D93" s="116"/>
      <c r="E93" s="116"/>
      <c r="F93" s="116"/>
      <c r="G93" s="116"/>
      <c r="H93" s="116"/>
      <c r="I93" s="116"/>
    </row>
    <row r="94" spans="1:9" ht="15.75">
      <c r="A94" s="117" t="s">
        <v>63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"/>
    </row>
    <row r="96" spans="1:9" ht="15.75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>
      <c r="A97" s="4"/>
    </row>
    <row r="98" spans="1:9" ht="15.75">
      <c r="B98" s="55" t="s">
        <v>10</v>
      </c>
      <c r="C98" s="119" t="s">
        <v>133</v>
      </c>
      <c r="D98" s="119"/>
      <c r="E98" s="119"/>
      <c r="F98" s="63"/>
      <c r="I98" s="57"/>
    </row>
    <row r="99" spans="1:9">
      <c r="A99" s="58"/>
      <c r="C99" s="120" t="s">
        <v>11</v>
      </c>
      <c r="D99" s="120"/>
      <c r="E99" s="120"/>
      <c r="F99" s="28"/>
      <c r="I99" s="56" t="s">
        <v>12</v>
      </c>
    </row>
    <row r="100" spans="1:9" ht="15.75">
      <c r="A100" s="29"/>
      <c r="C100" s="12"/>
      <c r="D100" s="12"/>
      <c r="G100" s="12"/>
      <c r="H100" s="12"/>
    </row>
    <row r="101" spans="1:9" ht="15.75">
      <c r="B101" s="55" t="s">
        <v>13</v>
      </c>
      <c r="C101" s="121"/>
      <c r="D101" s="121"/>
      <c r="E101" s="121"/>
      <c r="F101" s="64"/>
      <c r="I101" s="57"/>
    </row>
    <row r="102" spans="1:9">
      <c r="A102" s="58"/>
      <c r="C102" s="110" t="s">
        <v>11</v>
      </c>
      <c r="D102" s="110"/>
      <c r="E102" s="110"/>
      <c r="F102" s="58"/>
      <c r="I102" s="56" t="s">
        <v>12</v>
      </c>
    </row>
    <row r="103" spans="1:9" ht="15.75">
      <c r="A103" s="4" t="s">
        <v>14</v>
      </c>
    </row>
    <row r="104" spans="1:9">
      <c r="A104" s="111" t="s">
        <v>15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47.25" customHeight="1">
      <c r="A105" s="115" t="s">
        <v>16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1.5" customHeight="1">
      <c r="A106" s="115" t="s">
        <v>17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31.5" customHeight="1">
      <c r="A107" s="115" t="s">
        <v>21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15.75">
      <c r="A108" s="115" t="s">
        <v>20</v>
      </c>
      <c r="B108" s="115"/>
      <c r="C108" s="115"/>
      <c r="D108" s="115"/>
      <c r="E108" s="115"/>
      <c r="F108" s="115"/>
      <c r="G108" s="115"/>
      <c r="H108" s="115"/>
      <c r="I108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9:I29"/>
    <mergeCell ref="A44:I44"/>
    <mergeCell ref="A55:I55"/>
    <mergeCell ref="A88:I88"/>
    <mergeCell ref="B89:G89"/>
    <mergeCell ref="B90:G90"/>
    <mergeCell ref="A92:I92"/>
    <mergeCell ref="A93:I93"/>
    <mergeCell ref="A82:I82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179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42855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hidden="1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6" t="s">
        <v>115</v>
      </c>
      <c r="C31" s="67" t="s">
        <v>93</v>
      </c>
      <c r="D31" s="66" t="s">
        <v>111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6" t="s">
        <v>114</v>
      </c>
      <c r="C32" s="67" t="s">
        <v>93</v>
      </c>
      <c r="D32" s="66" t="s">
        <v>112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customHeight="1">
      <c r="A38" s="33">
        <v>7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customHeight="1">
      <c r="A39" s="33">
        <v>8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11</v>
      </c>
      <c r="B42" s="66" t="s">
        <v>94</v>
      </c>
      <c r="C42" s="67" t="s">
        <v>93</v>
      </c>
      <c r="D42" s="131" t="s">
        <v>223</v>
      </c>
      <c r="E42" s="132">
        <v>48.03</v>
      </c>
      <c r="F42" s="133">
        <f>SUM(E42*15/1000)</f>
        <v>0.72045000000000003</v>
      </c>
      <c r="G42" s="132">
        <v>403.67</v>
      </c>
      <c r="H42" s="134">
        <f t="shared" ref="H42" si="5">SUM(F42*G42/1000)</f>
        <v>0.29082405150000007</v>
      </c>
      <c r="I42" s="13">
        <f>F42/2*G42</f>
        <v>145.41202575000003</v>
      </c>
      <c r="J42" s="27"/>
      <c r="L42" s="20"/>
      <c r="M42" s="21"/>
      <c r="N42" s="22"/>
    </row>
    <row r="43" spans="1:14" ht="15.75" customHeight="1">
      <c r="A43" s="33">
        <v>12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6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6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6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6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6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6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customHeight="1">
      <c r="A51" s="33">
        <v>13</v>
      </c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6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customHeight="1">
      <c r="A52" s="33">
        <v>14</v>
      </c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6"/>
        <v>0.46279439999999999</v>
      </c>
      <c r="I52" s="13">
        <f t="shared" ref="I52:I53" si="7">F52/2*G52</f>
        <v>231.3972</v>
      </c>
      <c r="J52" s="27"/>
      <c r="L52" s="20"/>
      <c r="M52" s="21"/>
      <c r="N52" s="22"/>
    </row>
    <row r="53" spans="1:22" ht="15.75" customHeight="1">
      <c r="A53" s="33">
        <v>15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6"/>
        <v>0.106443</v>
      </c>
      <c r="I53" s="13">
        <f t="shared" si="7"/>
        <v>53.221499999999999</v>
      </c>
      <c r="J53" s="27"/>
      <c r="L53" s="20"/>
      <c r="M53" s="21"/>
      <c r="N53" s="22"/>
    </row>
    <row r="54" spans="1:22" ht="15.75" hidden="1" customHeight="1">
      <c r="A54" s="33">
        <v>16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6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8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8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8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8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8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8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8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8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8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8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8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8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17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18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I16+I17+I18+I20+I27+I28+I38+I39+I40+I41+I42+I43+I51+I52+I53+I57+I79+I80</f>
        <v>20440.674156666664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15.75" customHeight="1">
      <c r="A83" s="33">
        <v>19</v>
      </c>
      <c r="B83" s="48" t="s">
        <v>146</v>
      </c>
      <c r="C83" s="49" t="s">
        <v>147</v>
      </c>
      <c r="D83" s="45"/>
      <c r="E83" s="13"/>
      <c r="F83" s="13">
        <v>3</v>
      </c>
      <c r="G83" s="13">
        <v>1582</v>
      </c>
      <c r="H83" s="81">
        <f t="shared" ref="H83" si="9">G83*F83/1000</f>
        <v>4.7460000000000004</v>
      </c>
      <c r="I83" s="13">
        <f>G83*3</f>
        <v>4746</v>
      </c>
    </row>
    <row r="84" spans="1:9">
      <c r="A84" s="33"/>
      <c r="B84" s="43" t="s">
        <v>52</v>
      </c>
      <c r="C84" s="39"/>
      <c r="D84" s="46"/>
      <c r="E84" s="39">
        <v>1</v>
      </c>
      <c r="F84" s="39"/>
      <c r="G84" s="39"/>
      <c r="H84" s="39"/>
      <c r="I84" s="35">
        <f>SUM(I83:I83)</f>
        <v>4746</v>
      </c>
    </row>
    <row r="85" spans="1:9" ht="16.5" customHeight="1">
      <c r="A85" s="33"/>
      <c r="B85" s="45" t="s">
        <v>81</v>
      </c>
      <c r="C85" s="15"/>
      <c r="D85" s="15"/>
      <c r="E85" s="40"/>
      <c r="F85" s="40"/>
      <c r="G85" s="41"/>
      <c r="H85" s="41"/>
      <c r="I85" s="17">
        <v>0</v>
      </c>
    </row>
    <row r="86" spans="1:9" ht="16.5" customHeight="1">
      <c r="A86" s="47"/>
      <c r="B86" s="44" t="s">
        <v>173</v>
      </c>
      <c r="C86" s="36"/>
      <c r="D86" s="36"/>
      <c r="E86" s="36"/>
      <c r="F86" s="36"/>
      <c r="G86" s="36"/>
      <c r="H86" s="36"/>
      <c r="I86" s="42">
        <f>I81+I84</f>
        <v>25186.674156666664</v>
      </c>
    </row>
    <row r="87" spans="1:9" ht="15.75" customHeight="1">
      <c r="A87" s="122" t="s">
        <v>180</v>
      </c>
      <c r="B87" s="122"/>
      <c r="C87" s="122"/>
      <c r="D87" s="122"/>
      <c r="E87" s="122"/>
      <c r="F87" s="122"/>
      <c r="G87" s="122"/>
      <c r="H87" s="122"/>
      <c r="I87" s="122"/>
    </row>
    <row r="88" spans="1:9" ht="15.75" customHeight="1">
      <c r="A88" s="59"/>
      <c r="B88" s="123" t="s">
        <v>181</v>
      </c>
      <c r="C88" s="123"/>
      <c r="D88" s="123"/>
      <c r="E88" s="123"/>
      <c r="F88" s="123"/>
      <c r="G88" s="123"/>
      <c r="H88" s="65"/>
      <c r="I88" s="3"/>
    </row>
    <row r="89" spans="1:9">
      <c r="A89" s="58"/>
      <c r="B89" s="120" t="s">
        <v>6</v>
      </c>
      <c r="C89" s="120"/>
      <c r="D89" s="120"/>
      <c r="E89" s="120"/>
      <c r="F89" s="120"/>
      <c r="G89" s="120"/>
      <c r="H89" s="28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16" t="s">
        <v>7</v>
      </c>
      <c r="B91" s="116"/>
      <c r="C91" s="116"/>
      <c r="D91" s="116"/>
      <c r="E91" s="116"/>
      <c r="F91" s="116"/>
      <c r="G91" s="116"/>
      <c r="H91" s="116"/>
      <c r="I91" s="116"/>
    </row>
    <row r="92" spans="1:9" ht="15.75">
      <c r="A92" s="116" t="s">
        <v>8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7" t="s">
        <v>63</v>
      </c>
      <c r="B93" s="117"/>
      <c r="C93" s="117"/>
      <c r="D93" s="117"/>
      <c r="E93" s="117"/>
      <c r="F93" s="117"/>
      <c r="G93" s="117"/>
      <c r="H93" s="117"/>
      <c r="I93" s="117"/>
    </row>
    <row r="94" spans="1:9" ht="7.5" customHeight="1">
      <c r="A94" s="11"/>
    </row>
    <row r="95" spans="1:9" ht="15.75">
      <c r="A95" s="118" t="s">
        <v>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4"/>
    </row>
    <row r="97" spans="1:9" ht="15.75">
      <c r="B97" s="55" t="s">
        <v>10</v>
      </c>
      <c r="C97" s="119" t="s">
        <v>133</v>
      </c>
      <c r="D97" s="119"/>
      <c r="E97" s="119"/>
      <c r="F97" s="63"/>
      <c r="I97" s="57"/>
    </row>
    <row r="98" spans="1:9">
      <c r="A98" s="58"/>
      <c r="C98" s="120" t="s">
        <v>11</v>
      </c>
      <c r="D98" s="120"/>
      <c r="E98" s="120"/>
      <c r="F98" s="28"/>
      <c r="I98" s="56" t="s">
        <v>12</v>
      </c>
    </row>
    <row r="99" spans="1:9" ht="15.75">
      <c r="A99" s="29"/>
      <c r="C99" s="12"/>
      <c r="D99" s="12"/>
      <c r="G99" s="12"/>
      <c r="H99" s="12"/>
    </row>
    <row r="100" spans="1:9" ht="15.75">
      <c r="B100" s="55" t="s">
        <v>13</v>
      </c>
      <c r="C100" s="121"/>
      <c r="D100" s="121"/>
      <c r="E100" s="121"/>
      <c r="F100" s="64"/>
      <c r="I100" s="57"/>
    </row>
    <row r="101" spans="1:9">
      <c r="A101" s="58"/>
      <c r="C101" s="110" t="s">
        <v>11</v>
      </c>
      <c r="D101" s="110"/>
      <c r="E101" s="110"/>
      <c r="F101" s="58"/>
      <c r="I101" s="56" t="s">
        <v>12</v>
      </c>
    </row>
    <row r="102" spans="1:9" ht="15.75">
      <c r="A102" s="4" t="s">
        <v>14</v>
      </c>
    </row>
    <row r="103" spans="1:9">
      <c r="A103" s="111" t="s">
        <v>15</v>
      </c>
      <c r="B103" s="111"/>
      <c r="C103" s="111"/>
      <c r="D103" s="111"/>
      <c r="E103" s="111"/>
      <c r="F103" s="111"/>
      <c r="G103" s="111"/>
      <c r="H103" s="111"/>
      <c r="I103" s="111"/>
    </row>
    <row r="104" spans="1:9" ht="45" customHeight="1">
      <c r="A104" s="115" t="s">
        <v>16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30" customHeight="1">
      <c r="A105" s="115" t="s">
        <v>17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0" customHeight="1">
      <c r="A106" s="115" t="s">
        <v>21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15" customHeight="1">
      <c r="A107" s="115" t="s">
        <v>20</v>
      </c>
      <c r="B107" s="115"/>
      <c r="C107" s="115"/>
      <c r="D107" s="115"/>
      <c r="E107" s="115"/>
      <c r="F107" s="115"/>
      <c r="G107" s="115"/>
      <c r="H107" s="115"/>
      <c r="I107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3:I93"/>
    <mergeCell ref="A15:I15"/>
    <mergeCell ref="A29:I29"/>
    <mergeCell ref="A44:I44"/>
    <mergeCell ref="A55:I55"/>
    <mergeCell ref="A87:I87"/>
    <mergeCell ref="B88:G88"/>
    <mergeCell ref="B89:G89"/>
    <mergeCell ref="A91:I91"/>
    <mergeCell ref="A92:I92"/>
    <mergeCell ref="A82:I82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159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182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42886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f>F19/2*G19</f>
        <v>120.17249999999999</v>
      </c>
      <c r="J19" s="26"/>
      <c r="K19" s="8"/>
      <c r="L19" s="8"/>
      <c r="M19" s="8"/>
    </row>
    <row r="20" spans="1:13" ht="15.75" customHeight="1">
      <c r="A20" s="33">
        <v>5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6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f>F22*G22</f>
        <v>271.54133999999999</v>
      </c>
      <c r="J22" s="26"/>
      <c r="K22" s="8"/>
      <c r="L22" s="8"/>
      <c r="M22" s="8"/>
    </row>
    <row r="23" spans="1:13" ht="15.75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f t="shared" ref="I23:I26" si="1">F23*G23</f>
        <v>6.0465</v>
      </c>
      <c r="J23" s="26"/>
      <c r="K23" s="8"/>
      <c r="L23" s="8"/>
      <c r="M23" s="8"/>
    </row>
    <row r="24" spans="1:13" ht="15.75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f t="shared" si="1"/>
        <v>22.0182</v>
      </c>
      <c r="J24" s="26"/>
      <c r="K24" s="8"/>
      <c r="L24" s="8"/>
      <c r="M24" s="8"/>
    </row>
    <row r="25" spans="1:13" ht="31.5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f t="shared" si="1"/>
        <v>11.599500000000001</v>
      </c>
      <c r="J25" s="26"/>
      <c r="K25" s="8"/>
      <c r="L25" s="8"/>
      <c r="M25" s="8"/>
    </row>
    <row r="26" spans="1:13" ht="15.75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f t="shared" si="1"/>
        <v>10.414199999999999</v>
      </c>
      <c r="J26" s="26"/>
      <c r="K26" s="8"/>
      <c r="L26" s="8"/>
      <c r="M26" s="8"/>
    </row>
    <row r="27" spans="1:13" ht="15.75" customHeight="1">
      <c r="A27" s="33">
        <v>12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13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14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2">SUM(F31*G31/1000)</f>
        <v>2.0347501356</v>
      </c>
      <c r="I31" s="13">
        <f t="shared" ref="I31:I34" si="3">F31/6*G31</f>
        <v>339.12502259999997</v>
      </c>
      <c r="J31" s="26"/>
      <c r="K31" s="8"/>
      <c r="L31" s="8"/>
      <c r="M31" s="8"/>
    </row>
    <row r="32" spans="1:13" ht="31.5" customHeight="1">
      <c r="A32" s="33">
        <v>15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2"/>
        <v>0.91238364360000002</v>
      </c>
      <c r="I32" s="13">
        <f t="shared" si="3"/>
        <v>152.0639406</v>
      </c>
      <c r="J32" s="26"/>
      <c r="K32" s="8"/>
      <c r="L32" s="8"/>
      <c r="M32" s="8"/>
    </row>
    <row r="33" spans="1:14" ht="15.75" customHeight="1">
      <c r="A33" s="33">
        <v>16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2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17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3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2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2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4">SUM(F38*G38/1000)</f>
        <v>4.8977999999999993</v>
      </c>
      <c r="I38" s="13">
        <f t="shared" ref="I38:I43" si="5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5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4"/>
        <v>2.4587445555</v>
      </c>
      <c r="I40" s="13">
        <f t="shared" si="5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4"/>
        <v>9.1860641039999997</v>
      </c>
      <c r="I41" s="13">
        <f t="shared" si="5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4"/>
        <v>0.87247215450000015</v>
      </c>
      <c r="I42" s="13">
        <f t="shared" si="5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4"/>
        <v>0.39768020000000004</v>
      </c>
      <c r="I43" s="13">
        <f t="shared" si="5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customHeight="1">
      <c r="A45" s="33">
        <v>18</v>
      </c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6">SUM(F45*G45/1000)</f>
        <v>0.9703194249999999</v>
      </c>
      <c r="I45" s="13">
        <f t="shared" ref="I45:I48" si="7">F45/2*G45</f>
        <v>485.15971249999996</v>
      </c>
      <c r="J45" s="27"/>
      <c r="L45" s="20"/>
      <c r="M45" s="21"/>
      <c r="N45" s="22"/>
    </row>
    <row r="46" spans="1:14" ht="15.75" customHeight="1">
      <c r="A46" s="33">
        <v>19</v>
      </c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6"/>
        <v>2.8373799999999998E-2</v>
      </c>
      <c r="I46" s="13">
        <f t="shared" si="7"/>
        <v>14.1869</v>
      </c>
      <c r="J46" s="27"/>
      <c r="L46" s="20"/>
      <c r="M46" s="21"/>
      <c r="N46" s="22"/>
    </row>
    <row r="47" spans="1:14" ht="15.75" customHeight="1">
      <c r="A47" s="33">
        <v>20</v>
      </c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6"/>
        <v>0.63186269999999989</v>
      </c>
      <c r="I47" s="13">
        <f t="shared" si="7"/>
        <v>315.93134999999995</v>
      </c>
      <c r="J47" s="27"/>
      <c r="L47" s="20"/>
      <c r="M47" s="21"/>
      <c r="N47" s="22"/>
    </row>
    <row r="48" spans="1:14" ht="15.75" customHeight="1">
      <c r="A48" s="33">
        <v>21</v>
      </c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6"/>
        <v>0.78084119099999993</v>
      </c>
      <c r="I48" s="13">
        <f t="shared" si="7"/>
        <v>390.42059549999999</v>
      </c>
      <c r="J48" s="27"/>
      <c r="L48" s="20"/>
      <c r="M48" s="21"/>
      <c r="N48" s="22"/>
    </row>
    <row r="49" spans="1:22" ht="15.75" customHeight="1">
      <c r="A49" s="33">
        <v>22</v>
      </c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6"/>
        <v>6.0483632000000002E-2</v>
      </c>
      <c r="I49" s="13">
        <f>F49/2*G49</f>
        <v>30.241816</v>
      </c>
      <c r="J49" s="27"/>
      <c r="L49" s="20"/>
      <c r="M49" s="21"/>
      <c r="N49" s="22"/>
    </row>
    <row r="50" spans="1:22" ht="15.75" customHeight="1">
      <c r="A50" s="33">
        <v>23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6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6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6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6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24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6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8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8"/>
        <v>0.16302</v>
      </c>
      <c r="I62" s="13">
        <v>0</v>
      </c>
    </row>
    <row r="63" spans="1:22" ht="15.75" customHeight="1">
      <c r="A63" s="33">
        <v>25</v>
      </c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8"/>
        <v>9.733826800000001</v>
      </c>
      <c r="I63" s="13">
        <f>F63*G63</f>
        <v>9733.8268000000007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>
        <v>26</v>
      </c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8"/>
        <v>0.75801012000000001</v>
      </c>
      <c r="I64" s="13">
        <f t="shared" ref="I64:I77" si="9">F64*G64</f>
        <v>758.01012000000003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27</v>
      </c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8"/>
        <v>11.310677999999999</v>
      </c>
      <c r="I65" s="13">
        <f t="shared" si="9"/>
        <v>11310.678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3">
        <v>28</v>
      </c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8"/>
        <v>0.19628199999999998</v>
      </c>
      <c r="I66" s="13">
        <f t="shared" si="9"/>
        <v>196.28199999999998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customHeight="1">
      <c r="A67" s="33">
        <v>29</v>
      </c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8"/>
        <v>0.18312600000000001</v>
      </c>
      <c r="I67" s="13">
        <f t="shared" si="9"/>
        <v>183.126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8"/>
        <v>0.15996000000000002</v>
      </c>
      <c r="I68" s="13">
        <f t="shared" si="9"/>
        <v>159.96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>
        <f t="shared" si="9"/>
        <v>0</v>
      </c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8"/>
        <v>0.10724600000000001</v>
      </c>
      <c r="I70" s="13">
        <f t="shared" si="9"/>
        <v>107.24600000000001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8"/>
        <v>0.91185000000000005</v>
      </c>
      <c r="I71" s="13">
        <f t="shared" si="9"/>
        <v>911.85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8"/>
        <v>0</v>
      </c>
      <c r="I72" s="13">
        <f t="shared" si="9"/>
        <v>0</v>
      </c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f t="shared" si="9"/>
        <v>383.25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 t="e">
        <f t="shared" si="9"/>
        <v>#VALUE!</v>
      </c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8"/>
        <v>0.294985</v>
      </c>
      <c r="I75" s="13">
        <f t="shared" si="9"/>
        <v>294.98500000000001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13">
        <f t="shared" si="9"/>
        <v>0</v>
      </c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f t="shared" si="9"/>
        <v>3124.9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30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31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I16+I17+I18+I19+I20+I21+I22+I23+I24+I25+I26+I27+I28+I31+I32+I33+I34+I45+I46+I47+I48+I49+I50+I54+I63+I64+I65+I66+I67+I79+I80</f>
        <v>43455.330507644438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15.75" customHeight="1">
      <c r="A83" s="33">
        <v>32</v>
      </c>
      <c r="B83" s="48" t="s">
        <v>151</v>
      </c>
      <c r="C83" s="49" t="s">
        <v>152</v>
      </c>
      <c r="D83" s="45"/>
      <c r="E83" s="13"/>
      <c r="F83" s="13">
        <v>1</v>
      </c>
      <c r="G83" s="13">
        <v>1202.53</v>
      </c>
      <c r="H83" s="81">
        <f t="shared" ref="H83" si="10">G83*F83/1000</f>
        <v>1.2025299999999999</v>
      </c>
      <c r="I83" s="13">
        <f>G83</f>
        <v>1202.53</v>
      </c>
    </row>
    <row r="84" spans="1:9">
      <c r="A84" s="33"/>
      <c r="B84" s="43" t="s">
        <v>52</v>
      </c>
      <c r="C84" s="39"/>
      <c r="D84" s="46"/>
      <c r="E84" s="39">
        <v>1</v>
      </c>
      <c r="F84" s="39"/>
      <c r="G84" s="39"/>
      <c r="H84" s="39"/>
      <c r="I84" s="35">
        <f>SUM(I83:I83)</f>
        <v>1202.53</v>
      </c>
    </row>
    <row r="85" spans="1:9" ht="16.5" customHeight="1">
      <c r="A85" s="33"/>
      <c r="B85" s="45" t="s">
        <v>81</v>
      </c>
      <c r="C85" s="15"/>
      <c r="D85" s="15"/>
      <c r="E85" s="40"/>
      <c r="F85" s="40"/>
      <c r="G85" s="41"/>
      <c r="H85" s="41"/>
      <c r="I85" s="17">
        <v>0</v>
      </c>
    </row>
    <row r="86" spans="1:9" ht="16.5" customHeight="1">
      <c r="A86" s="47"/>
      <c r="B86" s="44" t="s">
        <v>173</v>
      </c>
      <c r="C86" s="36"/>
      <c r="D86" s="36"/>
      <c r="E86" s="36"/>
      <c r="F86" s="36"/>
      <c r="G86" s="36"/>
      <c r="H86" s="36"/>
      <c r="I86" s="42">
        <f>I81+I84</f>
        <v>44657.860507644436</v>
      </c>
    </row>
    <row r="87" spans="1:9" ht="15.75" customHeight="1">
      <c r="A87" s="122" t="s">
        <v>217</v>
      </c>
      <c r="B87" s="122"/>
      <c r="C87" s="122"/>
      <c r="D87" s="122"/>
      <c r="E87" s="122"/>
      <c r="F87" s="122"/>
      <c r="G87" s="122"/>
      <c r="H87" s="122"/>
      <c r="I87" s="122"/>
    </row>
    <row r="88" spans="1:9" ht="15.75" customHeight="1">
      <c r="A88" s="59"/>
      <c r="B88" s="123" t="s">
        <v>218</v>
      </c>
      <c r="C88" s="123"/>
      <c r="D88" s="123"/>
      <c r="E88" s="123"/>
      <c r="F88" s="123"/>
      <c r="G88" s="123"/>
      <c r="H88" s="65"/>
      <c r="I88" s="3"/>
    </row>
    <row r="89" spans="1:9">
      <c r="A89" s="58"/>
      <c r="B89" s="120" t="s">
        <v>6</v>
      </c>
      <c r="C89" s="120"/>
      <c r="D89" s="120"/>
      <c r="E89" s="120"/>
      <c r="F89" s="120"/>
      <c r="G89" s="120"/>
      <c r="H89" s="28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16" t="s">
        <v>7</v>
      </c>
      <c r="B91" s="116"/>
      <c r="C91" s="116"/>
      <c r="D91" s="116"/>
      <c r="E91" s="116"/>
      <c r="F91" s="116"/>
      <c r="G91" s="116"/>
      <c r="H91" s="116"/>
      <c r="I91" s="116"/>
    </row>
    <row r="92" spans="1:9" ht="15.75">
      <c r="A92" s="116" t="s">
        <v>8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7" t="s">
        <v>63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"/>
    </row>
    <row r="95" spans="1:9" ht="15.75">
      <c r="A95" s="118" t="s">
        <v>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4"/>
    </row>
    <row r="97" spans="1:9" ht="15.75">
      <c r="B97" s="55" t="s">
        <v>10</v>
      </c>
      <c r="C97" s="119" t="s">
        <v>133</v>
      </c>
      <c r="D97" s="119"/>
      <c r="E97" s="119"/>
      <c r="F97" s="63"/>
      <c r="I97" s="57"/>
    </row>
    <row r="98" spans="1:9">
      <c r="A98" s="58"/>
      <c r="C98" s="120" t="s">
        <v>11</v>
      </c>
      <c r="D98" s="120"/>
      <c r="E98" s="120"/>
      <c r="F98" s="28"/>
      <c r="I98" s="56" t="s">
        <v>12</v>
      </c>
    </row>
    <row r="99" spans="1:9" ht="15.75">
      <c r="A99" s="29"/>
      <c r="C99" s="12"/>
      <c r="D99" s="12"/>
      <c r="G99" s="12"/>
      <c r="H99" s="12"/>
    </row>
    <row r="100" spans="1:9" ht="15.75">
      <c r="B100" s="55" t="s">
        <v>13</v>
      </c>
      <c r="C100" s="121"/>
      <c r="D100" s="121"/>
      <c r="E100" s="121"/>
      <c r="F100" s="64"/>
      <c r="I100" s="57"/>
    </row>
    <row r="101" spans="1:9">
      <c r="A101" s="58"/>
      <c r="C101" s="110" t="s">
        <v>11</v>
      </c>
      <c r="D101" s="110"/>
      <c r="E101" s="110"/>
      <c r="F101" s="58"/>
      <c r="I101" s="56" t="s">
        <v>12</v>
      </c>
    </row>
    <row r="102" spans="1:9" ht="15.75">
      <c r="A102" s="4" t="s">
        <v>14</v>
      </c>
    </row>
    <row r="103" spans="1:9">
      <c r="A103" s="111" t="s">
        <v>15</v>
      </c>
      <c r="B103" s="111"/>
      <c r="C103" s="111"/>
      <c r="D103" s="111"/>
      <c r="E103" s="111"/>
      <c r="F103" s="111"/>
      <c r="G103" s="111"/>
      <c r="H103" s="111"/>
      <c r="I103" s="111"/>
    </row>
    <row r="104" spans="1:9" ht="45" customHeight="1">
      <c r="A104" s="115" t="s">
        <v>16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30" customHeight="1">
      <c r="A105" s="115" t="s">
        <v>17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0" customHeight="1">
      <c r="A106" s="115" t="s">
        <v>21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14.25" customHeight="1">
      <c r="A107" s="115" t="s">
        <v>20</v>
      </c>
      <c r="B107" s="115"/>
      <c r="C107" s="115"/>
      <c r="D107" s="115"/>
      <c r="E107" s="115"/>
      <c r="F107" s="115"/>
      <c r="G107" s="115"/>
      <c r="H107" s="115"/>
      <c r="I107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3:I93"/>
    <mergeCell ref="A15:I15"/>
    <mergeCell ref="A29:I29"/>
    <mergeCell ref="A44:I44"/>
    <mergeCell ref="A55:I55"/>
    <mergeCell ref="A87:I87"/>
    <mergeCell ref="B88:G88"/>
    <mergeCell ref="B89:G89"/>
    <mergeCell ref="A91:I91"/>
    <mergeCell ref="A92:I92"/>
    <mergeCell ref="A82:I82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185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42916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7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161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10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11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I16+I17+I18+I20+I27+I28+I31+I32+I34+I79+I80</f>
        <v>15306.434093644442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customHeight="1">
      <c r="A83" s="33">
        <v>12</v>
      </c>
      <c r="B83" s="48" t="s">
        <v>131</v>
      </c>
      <c r="C83" s="49" t="s">
        <v>98</v>
      </c>
      <c r="D83" s="45"/>
      <c r="E83" s="13"/>
      <c r="F83" s="13">
        <v>1</v>
      </c>
      <c r="G83" s="13">
        <v>589.84</v>
      </c>
      <c r="H83" s="81">
        <f t="shared" ref="H83:H84" si="7">G83*F83/1000</f>
        <v>0.58984000000000003</v>
      </c>
      <c r="I83" s="13">
        <f>G83</f>
        <v>589.84</v>
      </c>
    </row>
    <row r="84" spans="1:9" ht="31.5" customHeight="1">
      <c r="A84" s="33">
        <v>13</v>
      </c>
      <c r="B84" s="48" t="s">
        <v>186</v>
      </c>
      <c r="C84" s="49" t="s">
        <v>98</v>
      </c>
      <c r="D84" s="45"/>
      <c r="E84" s="13"/>
      <c r="F84" s="13">
        <v>1</v>
      </c>
      <c r="G84" s="13">
        <v>505.98</v>
      </c>
      <c r="H84" s="81">
        <f t="shared" si="7"/>
        <v>0.50597999999999999</v>
      </c>
      <c r="I84" s="13">
        <f>G84</f>
        <v>505.98</v>
      </c>
    </row>
    <row r="85" spans="1:9">
      <c r="A85" s="33"/>
      <c r="B85" s="43" t="s">
        <v>52</v>
      </c>
      <c r="C85" s="39"/>
      <c r="D85" s="46"/>
      <c r="E85" s="39">
        <v>1</v>
      </c>
      <c r="F85" s="39"/>
      <c r="G85" s="39"/>
      <c r="H85" s="39"/>
      <c r="I85" s="35">
        <f>SUM(I83:I84)</f>
        <v>1095.8200000000002</v>
      </c>
    </row>
    <row r="86" spans="1:9" ht="16.5" customHeight="1">
      <c r="A86" s="33"/>
      <c r="B86" s="45" t="s">
        <v>81</v>
      </c>
      <c r="C86" s="15"/>
      <c r="D86" s="15"/>
      <c r="E86" s="40"/>
      <c r="F86" s="40"/>
      <c r="G86" s="41"/>
      <c r="H86" s="41"/>
      <c r="I86" s="17">
        <v>0</v>
      </c>
    </row>
    <row r="87" spans="1:9" ht="16.5" customHeight="1">
      <c r="A87" s="47"/>
      <c r="B87" s="44" t="s">
        <v>173</v>
      </c>
      <c r="C87" s="36"/>
      <c r="D87" s="36"/>
      <c r="E87" s="36"/>
      <c r="F87" s="36"/>
      <c r="G87" s="36"/>
      <c r="H87" s="36"/>
      <c r="I87" s="42">
        <f>I81+I85</f>
        <v>16402.254093644442</v>
      </c>
    </row>
    <row r="88" spans="1:9" ht="15.75" customHeight="1">
      <c r="A88" s="122" t="s">
        <v>187</v>
      </c>
      <c r="B88" s="122"/>
      <c r="C88" s="122"/>
      <c r="D88" s="122"/>
      <c r="E88" s="122"/>
      <c r="F88" s="122"/>
      <c r="G88" s="122"/>
      <c r="H88" s="122"/>
      <c r="I88" s="122"/>
    </row>
    <row r="89" spans="1:9" ht="15.75" customHeight="1">
      <c r="A89" s="59"/>
      <c r="B89" s="123" t="s">
        <v>188</v>
      </c>
      <c r="C89" s="123"/>
      <c r="D89" s="123"/>
      <c r="E89" s="123"/>
      <c r="F89" s="123"/>
      <c r="G89" s="123"/>
      <c r="H89" s="65"/>
      <c r="I89" s="3"/>
    </row>
    <row r="90" spans="1:9">
      <c r="A90" s="58"/>
      <c r="B90" s="120" t="s">
        <v>6</v>
      </c>
      <c r="C90" s="120"/>
      <c r="D90" s="120"/>
      <c r="E90" s="120"/>
      <c r="F90" s="120"/>
      <c r="G90" s="120"/>
      <c r="H90" s="28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6" t="s">
        <v>7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6" t="s">
        <v>8</v>
      </c>
      <c r="B93" s="116"/>
      <c r="C93" s="116"/>
      <c r="D93" s="116"/>
      <c r="E93" s="116"/>
      <c r="F93" s="116"/>
      <c r="G93" s="116"/>
      <c r="H93" s="116"/>
      <c r="I93" s="116"/>
    </row>
    <row r="94" spans="1:9" ht="15.75">
      <c r="A94" s="117" t="s">
        <v>63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"/>
    </row>
    <row r="96" spans="1:9" ht="15.75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>
      <c r="A97" s="4"/>
    </row>
    <row r="98" spans="1:9" ht="15.75">
      <c r="B98" s="55" t="s">
        <v>10</v>
      </c>
      <c r="C98" s="119" t="s">
        <v>133</v>
      </c>
      <c r="D98" s="119"/>
      <c r="E98" s="119"/>
      <c r="F98" s="63"/>
      <c r="I98" s="57"/>
    </row>
    <row r="99" spans="1:9">
      <c r="A99" s="58"/>
      <c r="C99" s="120" t="s">
        <v>11</v>
      </c>
      <c r="D99" s="120"/>
      <c r="E99" s="120"/>
      <c r="F99" s="28"/>
      <c r="I99" s="56" t="s">
        <v>12</v>
      </c>
    </row>
    <row r="100" spans="1:9" ht="15.75">
      <c r="A100" s="29"/>
      <c r="C100" s="12"/>
      <c r="D100" s="12"/>
      <c r="G100" s="12"/>
      <c r="H100" s="12"/>
    </row>
    <row r="101" spans="1:9" ht="15.75">
      <c r="B101" s="55" t="s">
        <v>13</v>
      </c>
      <c r="C101" s="121"/>
      <c r="D101" s="121"/>
      <c r="E101" s="121"/>
      <c r="F101" s="64"/>
      <c r="I101" s="57"/>
    </row>
    <row r="102" spans="1:9">
      <c r="A102" s="58"/>
      <c r="C102" s="110" t="s">
        <v>11</v>
      </c>
      <c r="D102" s="110"/>
      <c r="E102" s="110"/>
      <c r="F102" s="58"/>
      <c r="I102" s="56" t="s">
        <v>12</v>
      </c>
    </row>
    <row r="103" spans="1:9" ht="15.75">
      <c r="A103" s="4" t="s">
        <v>14</v>
      </c>
    </row>
    <row r="104" spans="1:9">
      <c r="A104" s="111" t="s">
        <v>15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45" customHeight="1">
      <c r="A105" s="115" t="s">
        <v>16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0" customHeight="1">
      <c r="A106" s="115" t="s">
        <v>17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30" customHeight="1">
      <c r="A107" s="115" t="s">
        <v>21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14.25" customHeight="1">
      <c r="A108" s="115" t="s">
        <v>20</v>
      </c>
      <c r="B108" s="115"/>
      <c r="C108" s="115"/>
      <c r="D108" s="115"/>
      <c r="E108" s="115"/>
      <c r="F108" s="115"/>
      <c r="G108" s="115"/>
      <c r="H108" s="115"/>
      <c r="I108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9:I29"/>
    <mergeCell ref="A44:I44"/>
    <mergeCell ref="A55:I55"/>
    <mergeCell ref="A88:I88"/>
    <mergeCell ref="B89:G89"/>
    <mergeCell ref="B90:G90"/>
    <mergeCell ref="A92:I92"/>
    <mergeCell ref="A93:I93"/>
    <mergeCell ref="A82:I82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189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42947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 ht="15.75" customHeight="1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8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9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11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f>F53/2*G53</f>
        <v>53.221499999999999</v>
      </c>
      <c r="J53" s="27"/>
      <c r="L53" s="20"/>
      <c r="M53" s="21"/>
      <c r="N53" s="22"/>
    </row>
    <row r="54" spans="1:22" ht="15.75" hidden="1" customHeight="1">
      <c r="A54" s="33">
        <v>15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161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11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I16+I17+I18+I20+I21+I27+I28+I31+I32+I34+I79+I80</f>
        <v>15308.631893644444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customHeight="1">
      <c r="A83" s="98">
        <v>13</v>
      </c>
      <c r="B83" s="48" t="s">
        <v>190</v>
      </c>
      <c r="C83" s="49" t="s">
        <v>191</v>
      </c>
      <c r="D83" s="45"/>
      <c r="E83" s="13"/>
      <c r="F83" s="13">
        <v>3.5</v>
      </c>
      <c r="G83" s="13">
        <v>1272</v>
      </c>
      <c r="H83" s="81">
        <f t="shared" ref="H83:H86" si="7">G83*F83/1000</f>
        <v>4.452</v>
      </c>
      <c r="I83" s="101">
        <f>G83*(0.5+3)</f>
        <v>4452</v>
      </c>
    </row>
    <row r="84" spans="1:9" ht="15.75" customHeight="1">
      <c r="A84" s="33">
        <v>14</v>
      </c>
      <c r="B84" s="48" t="s">
        <v>192</v>
      </c>
      <c r="C84" s="49" t="s">
        <v>119</v>
      </c>
      <c r="D84" s="45"/>
      <c r="E84" s="13"/>
      <c r="F84" s="13">
        <v>1</v>
      </c>
      <c r="G84" s="13">
        <v>189.88</v>
      </c>
      <c r="H84" s="81">
        <f t="shared" si="7"/>
        <v>0.18987999999999999</v>
      </c>
      <c r="I84" s="19">
        <f>G84</f>
        <v>189.88</v>
      </c>
    </row>
    <row r="85" spans="1:9" ht="31.5" customHeight="1">
      <c r="A85" s="33">
        <v>15</v>
      </c>
      <c r="B85" s="48" t="s">
        <v>84</v>
      </c>
      <c r="C85" s="49" t="s">
        <v>39</v>
      </c>
      <c r="D85" s="45"/>
      <c r="E85" s="13"/>
      <c r="F85" s="13">
        <v>0.04</v>
      </c>
      <c r="G85" s="13">
        <v>3581.13</v>
      </c>
      <c r="H85" s="81">
        <f>G85*F85/1000</f>
        <v>0.14324520000000002</v>
      </c>
      <c r="I85" s="19">
        <f>G85*0.03</f>
        <v>107.43389999999999</v>
      </c>
    </row>
    <row r="86" spans="1:9" ht="31.5" customHeight="1">
      <c r="A86" s="33">
        <v>16</v>
      </c>
      <c r="B86" s="48" t="s">
        <v>193</v>
      </c>
      <c r="C86" s="49" t="s">
        <v>194</v>
      </c>
      <c r="D86" s="45"/>
      <c r="E86" s="13"/>
      <c r="F86" s="13">
        <f>8/10</f>
        <v>0.8</v>
      </c>
      <c r="G86" s="13">
        <v>2064.25</v>
      </c>
      <c r="H86" s="81">
        <f t="shared" si="7"/>
        <v>1.6514000000000002</v>
      </c>
      <c r="I86" s="19">
        <f>G86*0.8</f>
        <v>1651.4</v>
      </c>
    </row>
    <row r="87" spans="1:9" ht="15.75" customHeight="1">
      <c r="A87" s="33"/>
      <c r="B87" s="43" t="s">
        <v>52</v>
      </c>
      <c r="C87" s="39"/>
      <c r="D87" s="46"/>
      <c r="E87" s="39">
        <v>1</v>
      </c>
      <c r="F87" s="39"/>
      <c r="G87" s="39"/>
      <c r="H87" s="39"/>
      <c r="I87" s="35">
        <f>SUM(I83:I86)</f>
        <v>6400.7139000000006</v>
      </c>
    </row>
    <row r="88" spans="1:9" ht="15.75" customHeight="1">
      <c r="A88" s="33"/>
      <c r="B88" s="45" t="s">
        <v>81</v>
      </c>
      <c r="C88" s="15"/>
      <c r="D88" s="15"/>
      <c r="E88" s="40"/>
      <c r="F88" s="40"/>
      <c r="G88" s="41"/>
      <c r="H88" s="41"/>
      <c r="I88" s="17">
        <v>0</v>
      </c>
    </row>
    <row r="89" spans="1:9" ht="16.5" customHeight="1">
      <c r="A89" s="47"/>
      <c r="B89" s="44" t="s">
        <v>173</v>
      </c>
      <c r="C89" s="36"/>
      <c r="D89" s="36"/>
      <c r="E89" s="36"/>
      <c r="F89" s="36"/>
      <c r="G89" s="36"/>
      <c r="H89" s="36"/>
      <c r="I89" s="42">
        <f>I81+I87</f>
        <v>21709.345793644447</v>
      </c>
    </row>
    <row r="90" spans="1:9" ht="15.75" customHeight="1">
      <c r="A90" s="122" t="s">
        <v>195</v>
      </c>
      <c r="B90" s="122"/>
      <c r="C90" s="122"/>
      <c r="D90" s="122"/>
      <c r="E90" s="122"/>
      <c r="F90" s="122"/>
      <c r="G90" s="122"/>
      <c r="H90" s="122"/>
      <c r="I90" s="122"/>
    </row>
    <row r="91" spans="1:9" ht="15.75" customHeight="1">
      <c r="A91" s="59"/>
      <c r="B91" s="123" t="s">
        <v>196</v>
      </c>
      <c r="C91" s="123"/>
      <c r="D91" s="123"/>
      <c r="E91" s="123"/>
      <c r="F91" s="123"/>
      <c r="G91" s="123"/>
      <c r="H91" s="65"/>
      <c r="I91" s="3"/>
    </row>
    <row r="92" spans="1:9">
      <c r="A92" s="58"/>
      <c r="B92" s="120" t="s">
        <v>6</v>
      </c>
      <c r="C92" s="120"/>
      <c r="D92" s="120"/>
      <c r="E92" s="120"/>
      <c r="F92" s="120"/>
      <c r="G92" s="120"/>
      <c r="H92" s="28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16" t="s">
        <v>7</v>
      </c>
      <c r="B94" s="116"/>
      <c r="C94" s="116"/>
      <c r="D94" s="116"/>
      <c r="E94" s="116"/>
      <c r="F94" s="116"/>
      <c r="G94" s="116"/>
      <c r="H94" s="116"/>
      <c r="I94" s="116"/>
    </row>
    <row r="95" spans="1:9" ht="15.75">
      <c r="A95" s="116" t="s">
        <v>8</v>
      </c>
      <c r="B95" s="116"/>
      <c r="C95" s="116"/>
      <c r="D95" s="116"/>
      <c r="E95" s="116"/>
      <c r="F95" s="116"/>
      <c r="G95" s="116"/>
      <c r="H95" s="116"/>
      <c r="I95" s="116"/>
    </row>
    <row r="96" spans="1:9" ht="15.75">
      <c r="A96" s="117" t="s">
        <v>63</v>
      </c>
      <c r="B96" s="117"/>
      <c r="C96" s="117"/>
      <c r="D96" s="117"/>
      <c r="E96" s="117"/>
      <c r="F96" s="117"/>
      <c r="G96" s="117"/>
      <c r="H96" s="117"/>
      <c r="I96" s="117"/>
    </row>
    <row r="97" spans="1:9" ht="15.75">
      <c r="A97" s="11"/>
    </row>
    <row r="98" spans="1:9" ht="15.75">
      <c r="A98" s="118" t="s">
        <v>9</v>
      </c>
      <c r="B98" s="118"/>
      <c r="C98" s="118"/>
      <c r="D98" s="118"/>
      <c r="E98" s="118"/>
      <c r="F98" s="118"/>
      <c r="G98" s="118"/>
      <c r="H98" s="118"/>
      <c r="I98" s="118"/>
    </row>
    <row r="99" spans="1:9" ht="15.75">
      <c r="A99" s="4"/>
    </row>
    <row r="100" spans="1:9" ht="15.75">
      <c r="B100" s="55" t="s">
        <v>10</v>
      </c>
      <c r="C100" s="119" t="s">
        <v>133</v>
      </c>
      <c r="D100" s="119"/>
      <c r="E100" s="119"/>
      <c r="F100" s="63"/>
      <c r="I100" s="57"/>
    </row>
    <row r="101" spans="1:9">
      <c r="A101" s="58"/>
      <c r="C101" s="120" t="s">
        <v>11</v>
      </c>
      <c r="D101" s="120"/>
      <c r="E101" s="120"/>
      <c r="F101" s="28"/>
      <c r="I101" s="56" t="s">
        <v>12</v>
      </c>
    </row>
    <row r="102" spans="1:9" ht="15.75">
      <c r="A102" s="29"/>
      <c r="C102" s="12"/>
      <c r="D102" s="12"/>
      <c r="G102" s="12"/>
      <c r="H102" s="12"/>
    </row>
    <row r="103" spans="1:9" ht="15.75">
      <c r="B103" s="55" t="s">
        <v>13</v>
      </c>
      <c r="C103" s="121"/>
      <c r="D103" s="121"/>
      <c r="E103" s="121"/>
      <c r="F103" s="64"/>
      <c r="I103" s="57"/>
    </row>
    <row r="104" spans="1:9">
      <c r="A104" s="58"/>
      <c r="C104" s="110" t="s">
        <v>11</v>
      </c>
      <c r="D104" s="110"/>
      <c r="E104" s="110"/>
      <c r="F104" s="58"/>
      <c r="I104" s="56" t="s">
        <v>12</v>
      </c>
    </row>
    <row r="105" spans="1:9" ht="15.75">
      <c r="A105" s="4" t="s">
        <v>14</v>
      </c>
    </row>
    <row r="106" spans="1:9">
      <c r="A106" s="111" t="s">
        <v>15</v>
      </c>
      <c r="B106" s="111"/>
      <c r="C106" s="111"/>
      <c r="D106" s="111"/>
      <c r="E106" s="111"/>
      <c r="F106" s="111"/>
      <c r="G106" s="111"/>
      <c r="H106" s="111"/>
      <c r="I106" s="111"/>
    </row>
    <row r="107" spans="1:9" ht="45" customHeight="1">
      <c r="A107" s="115" t="s">
        <v>16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30" customHeight="1">
      <c r="A108" s="115" t="s">
        <v>17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ht="30" customHeight="1">
      <c r="A109" s="115" t="s">
        <v>21</v>
      </c>
      <c r="B109" s="115"/>
      <c r="C109" s="115"/>
      <c r="D109" s="115"/>
      <c r="E109" s="115"/>
      <c r="F109" s="115"/>
      <c r="G109" s="115"/>
      <c r="H109" s="115"/>
      <c r="I109" s="115"/>
    </row>
    <row r="110" spans="1:9" ht="14.25" customHeight="1">
      <c r="A110" s="115" t="s">
        <v>20</v>
      </c>
      <c r="B110" s="115"/>
      <c r="C110" s="115"/>
      <c r="D110" s="115"/>
      <c r="E110" s="115"/>
      <c r="F110" s="115"/>
      <c r="G110" s="115"/>
      <c r="H110" s="115"/>
      <c r="I110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6:I96"/>
    <mergeCell ref="A15:I15"/>
    <mergeCell ref="A29:I29"/>
    <mergeCell ref="A44:I44"/>
    <mergeCell ref="A55:I55"/>
    <mergeCell ref="A90:I90"/>
    <mergeCell ref="B91:G91"/>
    <mergeCell ref="B92:G92"/>
    <mergeCell ref="A94:I94"/>
    <mergeCell ref="A95:I95"/>
    <mergeCell ref="A82:I82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163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197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42978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7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hidden="1" customHeight="1">
      <c r="A45" s="33"/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10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156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customHeight="1">
      <c r="A61" s="33">
        <v>10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6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6"/>
        <v>0.15996000000000002</v>
      </c>
      <c r="I68" s="13">
        <v>0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6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6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/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v>0</v>
      </c>
    </row>
    <row r="78" spans="1:21" ht="15.75" customHeight="1">
      <c r="A78" s="107" t="s">
        <v>157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11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I16+I17+I18+I20+I27+I28+I31+I32+I34+I61+I79+I80</f>
        <v>15544.17409364444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customHeight="1">
      <c r="A83" s="33">
        <v>13</v>
      </c>
      <c r="B83" s="48" t="s">
        <v>84</v>
      </c>
      <c r="C83" s="49" t="s">
        <v>39</v>
      </c>
      <c r="D83" s="99"/>
      <c r="E83" s="37"/>
      <c r="F83" s="37">
        <v>0.04</v>
      </c>
      <c r="G83" s="37">
        <v>3581.13</v>
      </c>
      <c r="H83" s="100">
        <f>G83*F83/1000</f>
        <v>0.14324520000000002</v>
      </c>
      <c r="I83" s="13">
        <f>G83*0.01</f>
        <v>35.811300000000003</v>
      </c>
    </row>
    <row r="84" spans="1:9" ht="31.5" customHeight="1">
      <c r="A84" s="33">
        <v>14</v>
      </c>
      <c r="B84" s="48" t="s">
        <v>144</v>
      </c>
      <c r="C84" s="49" t="s">
        <v>145</v>
      </c>
      <c r="D84" s="45"/>
      <c r="E84" s="13"/>
      <c r="F84" s="13">
        <v>1</v>
      </c>
      <c r="G84" s="13">
        <v>54.17</v>
      </c>
      <c r="H84" s="81">
        <f t="shared" ref="H84" si="7">G84*F84/1000</f>
        <v>5.4170000000000003E-2</v>
      </c>
      <c r="I84" s="13">
        <f>G84</f>
        <v>54.17</v>
      </c>
    </row>
    <row r="85" spans="1:9">
      <c r="A85" s="33"/>
      <c r="B85" s="43" t="s">
        <v>52</v>
      </c>
      <c r="C85" s="39"/>
      <c r="D85" s="46"/>
      <c r="E85" s="39">
        <v>1</v>
      </c>
      <c r="F85" s="39"/>
      <c r="G85" s="39"/>
      <c r="H85" s="39"/>
      <c r="I85" s="35">
        <f>SUM(I83:I84)</f>
        <v>89.981300000000005</v>
      </c>
    </row>
    <row r="86" spans="1:9" ht="16.5" customHeight="1">
      <c r="A86" s="33"/>
      <c r="B86" s="45" t="s">
        <v>81</v>
      </c>
      <c r="C86" s="15"/>
      <c r="D86" s="15"/>
      <c r="E86" s="40"/>
      <c r="F86" s="40"/>
      <c r="G86" s="41"/>
      <c r="H86" s="41"/>
      <c r="I86" s="17">
        <v>0</v>
      </c>
    </row>
    <row r="87" spans="1:9" ht="16.5" customHeight="1">
      <c r="A87" s="47"/>
      <c r="B87" s="44" t="s">
        <v>173</v>
      </c>
      <c r="C87" s="36"/>
      <c r="D87" s="36"/>
      <c r="E87" s="36"/>
      <c r="F87" s="36"/>
      <c r="G87" s="36"/>
      <c r="H87" s="36"/>
      <c r="I87" s="42">
        <f>I81+I85</f>
        <v>15634.15539364444</v>
      </c>
    </row>
    <row r="88" spans="1:9" ht="15.75" customHeight="1">
      <c r="A88" s="122" t="s">
        <v>198</v>
      </c>
      <c r="B88" s="122"/>
      <c r="C88" s="122"/>
      <c r="D88" s="122"/>
      <c r="E88" s="122"/>
      <c r="F88" s="122"/>
      <c r="G88" s="122"/>
      <c r="H88" s="122"/>
      <c r="I88" s="122"/>
    </row>
    <row r="89" spans="1:9" ht="15.75" customHeight="1">
      <c r="A89" s="59"/>
      <c r="B89" s="123" t="s">
        <v>199</v>
      </c>
      <c r="C89" s="123"/>
      <c r="D89" s="123"/>
      <c r="E89" s="123"/>
      <c r="F89" s="123"/>
      <c r="G89" s="123"/>
      <c r="H89" s="65"/>
      <c r="I89" s="3"/>
    </row>
    <row r="90" spans="1:9">
      <c r="A90" s="58"/>
      <c r="B90" s="120" t="s">
        <v>6</v>
      </c>
      <c r="C90" s="120"/>
      <c r="D90" s="120"/>
      <c r="E90" s="120"/>
      <c r="F90" s="120"/>
      <c r="G90" s="120"/>
      <c r="H90" s="28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16" t="s">
        <v>7</v>
      </c>
      <c r="B92" s="116"/>
      <c r="C92" s="116"/>
      <c r="D92" s="116"/>
      <c r="E92" s="116"/>
      <c r="F92" s="116"/>
      <c r="G92" s="116"/>
      <c r="H92" s="116"/>
      <c r="I92" s="116"/>
    </row>
    <row r="93" spans="1:9" ht="15.75">
      <c r="A93" s="116" t="s">
        <v>8</v>
      </c>
      <c r="B93" s="116"/>
      <c r="C93" s="116"/>
      <c r="D93" s="116"/>
      <c r="E93" s="116"/>
      <c r="F93" s="116"/>
      <c r="G93" s="116"/>
      <c r="H93" s="116"/>
      <c r="I93" s="116"/>
    </row>
    <row r="94" spans="1:9" ht="15.75">
      <c r="A94" s="117" t="s">
        <v>63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"/>
    </row>
    <row r="96" spans="1:9" ht="15.75">
      <c r="A96" s="118" t="s">
        <v>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>
      <c r="A97" s="4"/>
    </row>
    <row r="98" spans="1:9" ht="15.75">
      <c r="B98" s="55" t="s">
        <v>10</v>
      </c>
      <c r="C98" s="119" t="s">
        <v>133</v>
      </c>
      <c r="D98" s="119"/>
      <c r="E98" s="119"/>
      <c r="F98" s="63"/>
      <c r="I98" s="57"/>
    </row>
    <row r="99" spans="1:9">
      <c r="A99" s="58"/>
      <c r="C99" s="120" t="s">
        <v>11</v>
      </c>
      <c r="D99" s="120"/>
      <c r="E99" s="120"/>
      <c r="F99" s="28"/>
      <c r="I99" s="56" t="s">
        <v>12</v>
      </c>
    </row>
    <row r="100" spans="1:9" ht="15.75">
      <c r="A100" s="29"/>
      <c r="C100" s="12"/>
      <c r="D100" s="12"/>
      <c r="G100" s="12"/>
      <c r="H100" s="12"/>
    </row>
    <row r="101" spans="1:9" ht="15.75">
      <c r="B101" s="55" t="s">
        <v>13</v>
      </c>
      <c r="C101" s="121"/>
      <c r="D101" s="121"/>
      <c r="E101" s="121"/>
      <c r="F101" s="64"/>
      <c r="I101" s="57"/>
    </row>
    <row r="102" spans="1:9">
      <c r="A102" s="58"/>
      <c r="C102" s="110" t="s">
        <v>11</v>
      </c>
      <c r="D102" s="110"/>
      <c r="E102" s="110"/>
      <c r="F102" s="58"/>
      <c r="I102" s="56" t="s">
        <v>12</v>
      </c>
    </row>
    <row r="103" spans="1:9" ht="15.75">
      <c r="A103" s="4" t="s">
        <v>14</v>
      </c>
    </row>
    <row r="104" spans="1:9">
      <c r="A104" s="111" t="s">
        <v>15</v>
      </c>
      <c r="B104" s="111"/>
      <c r="C104" s="111"/>
      <c r="D104" s="111"/>
      <c r="E104" s="111"/>
      <c r="F104" s="111"/>
      <c r="G104" s="111"/>
      <c r="H104" s="111"/>
      <c r="I104" s="111"/>
    </row>
    <row r="105" spans="1:9" ht="45" customHeight="1">
      <c r="A105" s="115" t="s">
        <v>16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30" customHeight="1">
      <c r="A106" s="115" t="s">
        <v>17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30" customHeight="1">
      <c r="A107" s="115" t="s">
        <v>21</v>
      </c>
      <c r="B107" s="115"/>
      <c r="C107" s="115"/>
      <c r="D107" s="115"/>
      <c r="E107" s="115"/>
      <c r="F107" s="115"/>
      <c r="G107" s="115"/>
      <c r="H107" s="115"/>
      <c r="I107" s="115"/>
    </row>
    <row r="108" spans="1:9" ht="14.25" customHeight="1">
      <c r="A108" s="115" t="s">
        <v>20</v>
      </c>
      <c r="B108" s="115"/>
      <c r="C108" s="115"/>
      <c r="D108" s="115"/>
      <c r="E108" s="115"/>
      <c r="F108" s="115"/>
      <c r="G108" s="115"/>
      <c r="H108" s="115"/>
      <c r="I108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9:I29"/>
    <mergeCell ref="A44:I44"/>
    <mergeCell ref="A55:I55"/>
    <mergeCell ref="A88:I88"/>
    <mergeCell ref="B89:G89"/>
    <mergeCell ref="B90:G90"/>
    <mergeCell ref="A92:I92"/>
    <mergeCell ref="A93:I93"/>
    <mergeCell ref="A82:I82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88</v>
      </c>
      <c r="I1" s="30"/>
      <c r="J1" s="1"/>
      <c r="K1" s="1"/>
      <c r="L1" s="1"/>
      <c r="M1" s="1"/>
    </row>
    <row r="2" spans="1:13" ht="15.75">
      <c r="A2" s="32" t="s">
        <v>64</v>
      </c>
      <c r="J2" s="2"/>
      <c r="K2" s="2"/>
      <c r="L2" s="2"/>
      <c r="M2" s="2"/>
    </row>
    <row r="3" spans="1:13" ht="15.75" customHeight="1">
      <c r="A3" s="125" t="s">
        <v>164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</row>
    <row r="4" spans="1:13" ht="31.5" customHeight="1">
      <c r="A4" s="126" t="s">
        <v>132</v>
      </c>
      <c r="B4" s="126"/>
      <c r="C4" s="126"/>
      <c r="D4" s="126"/>
      <c r="E4" s="126"/>
      <c r="F4" s="126"/>
      <c r="G4" s="126"/>
      <c r="H4" s="126"/>
      <c r="I4" s="126"/>
    </row>
    <row r="5" spans="1:13" ht="15.75">
      <c r="A5" s="125" t="s">
        <v>200</v>
      </c>
      <c r="B5" s="127"/>
      <c r="C5" s="127"/>
      <c r="D5" s="127"/>
      <c r="E5" s="127"/>
      <c r="F5" s="127"/>
      <c r="G5" s="127"/>
      <c r="H5" s="127"/>
      <c r="I5" s="127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4">
        <v>43008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28" t="s">
        <v>167</v>
      </c>
      <c r="B8" s="128"/>
      <c r="C8" s="128"/>
      <c r="D8" s="128"/>
      <c r="E8" s="128"/>
      <c r="F8" s="128"/>
      <c r="G8" s="128"/>
      <c r="H8" s="128"/>
      <c r="I8" s="128"/>
      <c r="J8" s="60"/>
      <c r="K8" s="60"/>
      <c r="L8" s="5"/>
      <c r="M8" s="5"/>
    </row>
    <row r="9" spans="1:13" ht="15.75">
      <c r="A9" s="4"/>
      <c r="L9" s="2"/>
      <c r="M9" s="2"/>
    </row>
    <row r="10" spans="1:13" ht="55.5" customHeight="1">
      <c r="A10" s="129" t="s">
        <v>168</v>
      </c>
      <c r="B10" s="129"/>
      <c r="C10" s="129"/>
      <c r="D10" s="129"/>
      <c r="E10" s="129"/>
      <c r="F10" s="129"/>
      <c r="G10" s="129"/>
      <c r="H10" s="129"/>
      <c r="I10" s="129"/>
      <c r="J10" s="61"/>
      <c r="K10" s="61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0" t="s">
        <v>61</v>
      </c>
      <c r="B14" s="130"/>
      <c r="C14" s="130"/>
      <c r="D14" s="130"/>
      <c r="E14" s="130"/>
      <c r="F14" s="130"/>
      <c r="G14" s="130"/>
      <c r="H14" s="130"/>
      <c r="I14" s="130"/>
      <c r="J14" s="8"/>
      <c r="K14" s="8"/>
      <c r="L14" s="8"/>
      <c r="M14" s="8"/>
    </row>
    <row r="15" spans="1:13">
      <c r="A15" s="124" t="s">
        <v>4</v>
      </c>
      <c r="B15" s="124"/>
      <c r="C15" s="124"/>
      <c r="D15" s="124"/>
      <c r="E15" s="124"/>
      <c r="F15" s="124"/>
      <c r="G15" s="124"/>
      <c r="H15" s="124"/>
      <c r="I15" s="124"/>
      <c r="J15" s="8"/>
      <c r="K15" s="8"/>
      <c r="L15" s="8"/>
      <c r="M15" s="8"/>
    </row>
    <row r="16" spans="1:13" ht="15.75" customHeight="1">
      <c r="A16" s="33">
        <v>1</v>
      </c>
      <c r="B16" s="66" t="s">
        <v>89</v>
      </c>
      <c r="C16" s="67" t="s">
        <v>90</v>
      </c>
      <c r="D16" s="66" t="s">
        <v>169</v>
      </c>
      <c r="E16" s="68">
        <v>37.6</v>
      </c>
      <c r="F16" s="69">
        <f>SUM(E16*156/100)</f>
        <v>58.656000000000006</v>
      </c>
      <c r="G16" s="69">
        <v>187.48</v>
      </c>
      <c r="H16" s="70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6" t="s">
        <v>139</v>
      </c>
      <c r="C17" s="67" t="s">
        <v>90</v>
      </c>
      <c r="D17" s="66" t="s">
        <v>170</v>
      </c>
      <c r="E17" s="68">
        <v>75.2</v>
      </c>
      <c r="F17" s="69">
        <f>SUM(E17*104/100)</f>
        <v>78.207999999999998</v>
      </c>
      <c r="G17" s="69">
        <v>187.48</v>
      </c>
      <c r="H17" s="70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6" t="s">
        <v>140</v>
      </c>
      <c r="C18" s="67" t="s">
        <v>90</v>
      </c>
      <c r="D18" s="66" t="s">
        <v>171</v>
      </c>
      <c r="E18" s="68">
        <f>SUM(E16+E17)</f>
        <v>112.80000000000001</v>
      </c>
      <c r="F18" s="69">
        <f>SUM(E18*24/100)</f>
        <v>27.072000000000003</v>
      </c>
      <c r="G18" s="69">
        <v>539.30999999999995</v>
      </c>
      <c r="H18" s="70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6" t="s">
        <v>99</v>
      </c>
      <c r="C19" s="67" t="s">
        <v>100</v>
      </c>
      <c r="D19" s="66" t="s">
        <v>101</v>
      </c>
      <c r="E19" s="68">
        <v>15</v>
      </c>
      <c r="F19" s="69">
        <f>SUM(E19/10)</f>
        <v>1.5</v>
      </c>
      <c r="G19" s="69">
        <v>160.22999999999999</v>
      </c>
      <c r="H19" s="70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6" t="s">
        <v>102</v>
      </c>
      <c r="C20" s="67" t="s">
        <v>90</v>
      </c>
      <c r="D20" s="66" t="s">
        <v>30</v>
      </c>
      <c r="E20" s="68">
        <v>8.76</v>
      </c>
      <c r="F20" s="69">
        <f>SUM(E20*12/100)</f>
        <v>1.0512000000000001</v>
      </c>
      <c r="G20" s="69">
        <v>205.16</v>
      </c>
      <c r="H20" s="70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6" t="s">
        <v>103</v>
      </c>
      <c r="C21" s="67" t="s">
        <v>90</v>
      </c>
      <c r="D21" s="66" t="s">
        <v>104</v>
      </c>
      <c r="E21" s="68">
        <v>1.08</v>
      </c>
      <c r="F21" s="69">
        <f>SUM(E21*6/100)</f>
        <v>6.480000000000001E-2</v>
      </c>
      <c r="G21" s="69">
        <v>203.5</v>
      </c>
      <c r="H21" s="70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6" t="s">
        <v>105</v>
      </c>
      <c r="C22" s="67" t="s">
        <v>54</v>
      </c>
      <c r="D22" s="66" t="s">
        <v>101</v>
      </c>
      <c r="E22" s="68">
        <v>107.1</v>
      </c>
      <c r="F22" s="69">
        <f>SUM(E22/100)</f>
        <v>1.071</v>
      </c>
      <c r="G22" s="69">
        <v>253.54</v>
      </c>
      <c r="H22" s="70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6" t="s">
        <v>106</v>
      </c>
      <c r="C23" s="67" t="s">
        <v>54</v>
      </c>
      <c r="D23" s="66" t="s">
        <v>101</v>
      </c>
      <c r="E23" s="71">
        <v>14.5</v>
      </c>
      <c r="F23" s="69">
        <f>SUM(E23/100)</f>
        <v>0.14499999999999999</v>
      </c>
      <c r="G23" s="69">
        <v>41.7</v>
      </c>
      <c r="H23" s="70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6" t="s">
        <v>107</v>
      </c>
      <c r="C24" s="67" t="s">
        <v>54</v>
      </c>
      <c r="D24" s="66" t="s">
        <v>108</v>
      </c>
      <c r="E24" s="68">
        <v>6</v>
      </c>
      <c r="F24" s="69">
        <f>E24/100</f>
        <v>0.06</v>
      </c>
      <c r="G24" s="69">
        <v>366.97</v>
      </c>
      <c r="H24" s="70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6" t="s">
        <v>109</v>
      </c>
      <c r="C25" s="67" t="s">
        <v>54</v>
      </c>
      <c r="D25" s="66" t="s">
        <v>55</v>
      </c>
      <c r="E25" s="68">
        <v>5.7</v>
      </c>
      <c r="F25" s="69">
        <f>E25/100</f>
        <v>5.7000000000000002E-2</v>
      </c>
      <c r="G25" s="69">
        <v>203.5</v>
      </c>
      <c r="H25" s="70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6" t="s">
        <v>110</v>
      </c>
      <c r="C26" s="67" t="s">
        <v>54</v>
      </c>
      <c r="D26" s="66" t="s">
        <v>101</v>
      </c>
      <c r="E26" s="68">
        <v>2.5499999999999998</v>
      </c>
      <c r="F26" s="69">
        <f>SUM(E26/100)</f>
        <v>2.5499999999999998E-2</v>
      </c>
      <c r="G26" s="69">
        <v>408.4</v>
      </c>
      <c r="H26" s="70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6" t="s">
        <v>66</v>
      </c>
      <c r="C27" s="67" t="s">
        <v>33</v>
      </c>
      <c r="D27" s="66" t="s">
        <v>172</v>
      </c>
      <c r="E27" s="68">
        <v>0.1</v>
      </c>
      <c r="F27" s="69">
        <f>SUM(E27*365)</f>
        <v>36.5</v>
      </c>
      <c r="G27" s="69">
        <v>138.44999999999999</v>
      </c>
      <c r="H27" s="70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4" t="s">
        <v>23</v>
      </c>
      <c r="C28" s="67" t="s">
        <v>24</v>
      </c>
      <c r="D28" s="66" t="s">
        <v>172</v>
      </c>
      <c r="E28" s="68">
        <v>1042.5999999999999</v>
      </c>
      <c r="F28" s="69">
        <f>SUM(E28*12)</f>
        <v>12511.199999999999</v>
      </c>
      <c r="G28" s="69">
        <v>6.15</v>
      </c>
      <c r="H28" s="70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07" t="s">
        <v>87</v>
      </c>
      <c r="B29" s="108"/>
      <c r="C29" s="108"/>
      <c r="D29" s="108"/>
      <c r="E29" s="108"/>
      <c r="F29" s="108"/>
      <c r="G29" s="108"/>
      <c r="H29" s="108"/>
      <c r="I29" s="109"/>
      <c r="J29" s="26"/>
      <c r="K29" s="8"/>
      <c r="L29" s="8"/>
      <c r="M29" s="8"/>
    </row>
    <row r="30" spans="1:13" ht="15.75" customHeight="1">
      <c r="A30" s="33"/>
      <c r="B30" s="87" t="s">
        <v>28</v>
      </c>
      <c r="C30" s="67"/>
      <c r="D30" s="66"/>
      <c r="E30" s="68"/>
      <c r="F30" s="69"/>
      <c r="G30" s="69"/>
      <c r="H30" s="70"/>
      <c r="I30" s="13"/>
      <c r="J30" s="26"/>
      <c r="K30" s="8"/>
      <c r="L30" s="8"/>
      <c r="M30" s="8"/>
    </row>
    <row r="31" spans="1:13" ht="15.75" customHeight="1">
      <c r="A31" s="33">
        <v>8</v>
      </c>
      <c r="B31" s="66" t="s">
        <v>115</v>
      </c>
      <c r="C31" s="67" t="s">
        <v>93</v>
      </c>
      <c r="D31" s="66" t="s">
        <v>183</v>
      </c>
      <c r="E31" s="69">
        <v>266.57</v>
      </c>
      <c r="F31" s="69">
        <f>SUM(E31*52/1000)</f>
        <v>13.86164</v>
      </c>
      <c r="G31" s="69">
        <v>146.79</v>
      </c>
      <c r="H31" s="70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9</v>
      </c>
      <c r="B32" s="66" t="s">
        <v>114</v>
      </c>
      <c r="C32" s="67" t="s">
        <v>93</v>
      </c>
      <c r="D32" s="66" t="s">
        <v>184</v>
      </c>
      <c r="E32" s="69">
        <v>48.03</v>
      </c>
      <c r="F32" s="69">
        <f>SUM(E32*78/1000)</f>
        <v>3.74634</v>
      </c>
      <c r="G32" s="69">
        <v>243.54</v>
      </c>
      <c r="H32" s="70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6" t="s">
        <v>27</v>
      </c>
      <c r="C33" s="67" t="s">
        <v>93</v>
      </c>
      <c r="D33" s="66" t="s">
        <v>55</v>
      </c>
      <c r="E33" s="69">
        <v>266.57</v>
      </c>
      <c r="F33" s="69">
        <f>SUM(E33/1000)</f>
        <v>0.26656999999999997</v>
      </c>
      <c r="G33" s="69">
        <v>2844</v>
      </c>
      <c r="H33" s="70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10</v>
      </c>
      <c r="B34" s="66" t="s">
        <v>113</v>
      </c>
      <c r="C34" s="67" t="s">
        <v>31</v>
      </c>
      <c r="D34" s="66" t="s">
        <v>65</v>
      </c>
      <c r="E34" s="73">
        <v>0.33333333333333331</v>
      </c>
      <c r="F34" s="69">
        <f>155/3</f>
        <v>51.666666666666664</v>
      </c>
      <c r="G34" s="69">
        <v>53.38</v>
      </c>
      <c r="H34" s="70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6" t="s">
        <v>67</v>
      </c>
      <c r="C35" s="67" t="s">
        <v>33</v>
      </c>
      <c r="D35" s="66" t="s">
        <v>69</v>
      </c>
      <c r="E35" s="68"/>
      <c r="F35" s="69">
        <v>1</v>
      </c>
      <c r="G35" s="69">
        <v>180.15</v>
      </c>
      <c r="H35" s="70">
        <f t="shared" si="1"/>
        <v>0.18015</v>
      </c>
      <c r="I35" s="13">
        <v>0</v>
      </c>
      <c r="J35" s="27"/>
    </row>
    <row r="36" spans="1:14" ht="15.75" hidden="1" customHeight="1">
      <c r="A36" s="33"/>
      <c r="B36" s="66" t="s">
        <v>68</v>
      </c>
      <c r="C36" s="67" t="s">
        <v>32</v>
      </c>
      <c r="D36" s="66" t="s">
        <v>69</v>
      </c>
      <c r="E36" s="68"/>
      <c r="F36" s="69">
        <v>1</v>
      </c>
      <c r="G36" s="69">
        <v>1214.74</v>
      </c>
      <c r="H36" s="70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7" t="s">
        <v>5</v>
      </c>
      <c r="C37" s="67"/>
      <c r="D37" s="66"/>
      <c r="E37" s="68"/>
      <c r="F37" s="69"/>
      <c r="G37" s="69"/>
      <c r="H37" s="70" t="s">
        <v>141</v>
      </c>
      <c r="I37" s="13"/>
      <c r="J37" s="27"/>
    </row>
    <row r="38" spans="1:14" ht="15.75" hidden="1" customHeight="1">
      <c r="A38" s="33">
        <v>8</v>
      </c>
      <c r="B38" s="66" t="s">
        <v>26</v>
      </c>
      <c r="C38" s="67" t="s">
        <v>32</v>
      </c>
      <c r="D38" s="66"/>
      <c r="E38" s="68"/>
      <c r="F38" s="69">
        <v>3</v>
      </c>
      <c r="G38" s="69">
        <v>1632.6</v>
      </c>
      <c r="H38" s="70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6" t="s">
        <v>116</v>
      </c>
      <c r="C39" s="67" t="s">
        <v>29</v>
      </c>
      <c r="D39" s="66" t="s">
        <v>91</v>
      </c>
      <c r="E39" s="68">
        <v>48.03</v>
      </c>
      <c r="F39" s="69">
        <v>1.44</v>
      </c>
      <c r="G39" s="69">
        <v>1979.95</v>
      </c>
      <c r="H39" s="70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6" t="s">
        <v>70</v>
      </c>
      <c r="C40" s="67" t="s">
        <v>29</v>
      </c>
      <c r="D40" s="66" t="s">
        <v>92</v>
      </c>
      <c r="E40" s="69">
        <v>48.03</v>
      </c>
      <c r="F40" s="69">
        <f>SUM(E40*155/1000)</f>
        <v>7.4446500000000002</v>
      </c>
      <c r="G40" s="69">
        <v>330.27</v>
      </c>
      <c r="H40" s="70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6" t="s">
        <v>85</v>
      </c>
      <c r="C41" s="67" t="s">
        <v>93</v>
      </c>
      <c r="D41" s="66" t="s">
        <v>117</v>
      </c>
      <c r="E41" s="69">
        <v>48.03</v>
      </c>
      <c r="F41" s="69">
        <f>SUM(E41*35/1000)</f>
        <v>1.6810499999999999</v>
      </c>
      <c r="G41" s="69">
        <v>5464.48</v>
      </c>
      <c r="H41" s="70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6" t="s">
        <v>94</v>
      </c>
      <c r="C42" s="67" t="s">
        <v>93</v>
      </c>
      <c r="D42" s="66" t="s">
        <v>71</v>
      </c>
      <c r="E42" s="69">
        <v>48.03</v>
      </c>
      <c r="F42" s="69">
        <f>SUM(E42*45/1000)</f>
        <v>2.1613500000000001</v>
      </c>
      <c r="G42" s="69">
        <v>403.67</v>
      </c>
      <c r="H42" s="70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6" t="s">
        <v>72</v>
      </c>
      <c r="C43" s="67" t="s">
        <v>33</v>
      </c>
      <c r="D43" s="66"/>
      <c r="E43" s="68"/>
      <c r="F43" s="69">
        <v>0.53</v>
      </c>
      <c r="G43" s="69">
        <v>750.34</v>
      </c>
      <c r="H43" s="70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07" t="s">
        <v>134</v>
      </c>
      <c r="B44" s="108"/>
      <c r="C44" s="108"/>
      <c r="D44" s="108"/>
      <c r="E44" s="108"/>
      <c r="F44" s="108"/>
      <c r="G44" s="108"/>
      <c r="H44" s="108"/>
      <c r="I44" s="109"/>
      <c r="J44" s="27"/>
      <c r="L44" s="20"/>
      <c r="M44" s="21"/>
      <c r="N44" s="22"/>
    </row>
    <row r="45" spans="1:14" ht="15.75" customHeight="1">
      <c r="A45" s="33">
        <v>11</v>
      </c>
      <c r="B45" s="66" t="s">
        <v>118</v>
      </c>
      <c r="C45" s="67" t="s">
        <v>93</v>
      </c>
      <c r="D45" s="66" t="s">
        <v>43</v>
      </c>
      <c r="E45" s="68">
        <v>636.25</v>
      </c>
      <c r="F45" s="69">
        <f>SUM(E45*2/1000)</f>
        <v>1.2725</v>
      </c>
      <c r="G45" s="13">
        <v>762.53</v>
      </c>
      <c r="H45" s="70">
        <f t="shared" ref="H45:H54" si="5">SUM(F45*G45/1000)</f>
        <v>0.9703194249999999</v>
      </c>
      <c r="I45" s="13">
        <f t="shared" ref="I45:I48" si="6">F45/2*G45</f>
        <v>485.15971249999996</v>
      </c>
      <c r="J45" s="27"/>
      <c r="L45" s="20"/>
      <c r="M45" s="21"/>
      <c r="N45" s="22"/>
    </row>
    <row r="46" spans="1:14" ht="15.75" customHeight="1">
      <c r="A46" s="33">
        <v>12</v>
      </c>
      <c r="B46" s="66" t="s">
        <v>36</v>
      </c>
      <c r="C46" s="67" t="s">
        <v>93</v>
      </c>
      <c r="D46" s="66" t="s">
        <v>43</v>
      </c>
      <c r="E46" s="68">
        <v>26</v>
      </c>
      <c r="F46" s="69">
        <f>SUM(E46*2/1000)</f>
        <v>5.1999999999999998E-2</v>
      </c>
      <c r="G46" s="13">
        <v>545.65</v>
      </c>
      <c r="H46" s="70">
        <f t="shared" si="5"/>
        <v>2.8373799999999998E-2</v>
      </c>
      <c r="I46" s="13">
        <f t="shared" si="6"/>
        <v>14.1869</v>
      </c>
      <c r="J46" s="27"/>
      <c r="L46" s="20"/>
      <c r="M46" s="21"/>
      <c r="N46" s="22"/>
    </row>
    <row r="47" spans="1:14" ht="15.75" customHeight="1">
      <c r="A47" s="33">
        <v>13</v>
      </c>
      <c r="B47" s="66" t="s">
        <v>37</v>
      </c>
      <c r="C47" s="67" t="s">
        <v>93</v>
      </c>
      <c r="D47" s="66" t="s">
        <v>43</v>
      </c>
      <c r="E47" s="68">
        <v>579</v>
      </c>
      <c r="F47" s="69">
        <f>SUM(E47*2/1000)</f>
        <v>1.1579999999999999</v>
      </c>
      <c r="G47" s="13">
        <v>545.65</v>
      </c>
      <c r="H47" s="70">
        <f t="shared" si="5"/>
        <v>0.63186269999999989</v>
      </c>
      <c r="I47" s="13">
        <f t="shared" si="6"/>
        <v>315.93134999999995</v>
      </c>
      <c r="J47" s="27"/>
      <c r="L47" s="20"/>
      <c r="M47" s="21"/>
      <c r="N47" s="22"/>
    </row>
    <row r="48" spans="1:14" ht="15.75" customHeight="1">
      <c r="A48" s="33">
        <v>14</v>
      </c>
      <c r="B48" s="66" t="s">
        <v>38</v>
      </c>
      <c r="C48" s="67" t="s">
        <v>93</v>
      </c>
      <c r="D48" s="66" t="s">
        <v>43</v>
      </c>
      <c r="E48" s="68">
        <v>683.33</v>
      </c>
      <c r="F48" s="69">
        <f>SUM(E48*2/1000)</f>
        <v>1.36666</v>
      </c>
      <c r="G48" s="13">
        <v>571.35</v>
      </c>
      <c r="H48" s="70">
        <f t="shared" si="5"/>
        <v>0.78084119099999993</v>
      </c>
      <c r="I48" s="13">
        <f t="shared" si="6"/>
        <v>390.42059549999999</v>
      </c>
      <c r="J48" s="27"/>
      <c r="L48" s="20"/>
      <c r="M48" s="21"/>
      <c r="N48" s="22"/>
    </row>
    <row r="49" spans="1:22" ht="15.75" customHeight="1">
      <c r="A49" s="33">
        <v>15</v>
      </c>
      <c r="B49" s="66" t="s">
        <v>34</v>
      </c>
      <c r="C49" s="67" t="s">
        <v>35</v>
      </c>
      <c r="D49" s="66" t="s">
        <v>43</v>
      </c>
      <c r="E49" s="68">
        <v>44.11</v>
      </c>
      <c r="F49" s="69">
        <f>SUM(E49*2/100)</f>
        <v>0.88219999999999998</v>
      </c>
      <c r="G49" s="13">
        <v>68.56</v>
      </c>
      <c r="H49" s="70">
        <f t="shared" si="5"/>
        <v>6.0483632000000002E-2</v>
      </c>
      <c r="I49" s="13">
        <f>F49/2*G49</f>
        <v>30.241816</v>
      </c>
      <c r="J49" s="27"/>
      <c r="L49" s="20"/>
      <c r="M49" s="21"/>
      <c r="N49" s="22"/>
    </row>
    <row r="50" spans="1:22" ht="15.75" customHeight="1">
      <c r="A50" s="33">
        <v>16</v>
      </c>
      <c r="B50" s="66" t="s">
        <v>58</v>
      </c>
      <c r="C50" s="67" t="s">
        <v>93</v>
      </c>
      <c r="D50" s="66" t="s">
        <v>135</v>
      </c>
      <c r="E50" s="68">
        <v>1140</v>
      </c>
      <c r="F50" s="69">
        <f>SUM(E50*5/1000)</f>
        <v>5.7</v>
      </c>
      <c r="G50" s="13">
        <v>1142.7</v>
      </c>
      <c r="H50" s="70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6" t="s">
        <v>95</v>
      </c>
      <c r="C51" s="67" t="s">
        <v>93</v>
      </c>
      <c r="D51" s="66" t="s">
        <v>43</v>
      </c>
      <c r="E51" s="68">
        <v>1140</v>
      </c>
      <c r="F51" s="69">
        <f>SUM(E51*2/1000)</f>
        <v>2.2799999999999998</v>
      </c>
      <c r="G51" s="13">
        <v>1142.7</v>
      </c>
      <c r="H51" s="70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6" t="s">
        <v>96</v>
      </c>
      <c r="C52" s="67" t="s">
        <v>39</v>
      </c>
      <c r="D52" s="66" t="s">
        <v>43</v>
      </c>
      <c r="E52" s="68">
        <v>9</v>
      </c>
      <c r="F52" s="69">
        <f>SUM(E52*2/100)</f>
        <v>0.18</v>
      </c>
      <c r="G52" s="13">
        <v>2571.08</v>
      </c>
      <c r="H52" s="70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5322.15</v>
      </c>
      <c r="H53" s="70">
        <f t="shared" si="5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17</v>
      </c>
      <c r="B54" s="66" t="s">
        <v>42</v>
      </c>
      <c r="C54" s="67" t="s">
        <v>119</v>
      </c>
      <c r="D54" s="66" t="s">
        <v>73</v>
      </c>
      <c r="E54" s="68">
        <v>36</v>
      </c>
      <c r="F54" s="69">
        <f>SUM(E54)*3</f>
        <v>108</v>
      </c>
      <c r="G54" s="13">
        <v>61.84</v>
      </c>
      <c r="H54" s="70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07" t="s">
        <v>136</v>
      </c>
      <c r="B55" s="108"/>
      <c r="C55" s="108"/>
      <c r="D55" s="108"/>
      <c r="E55" s="108"/>
      <c r="F55" s="108"/>
      <c r="G55" s="108"/>
      <c r="H55" s="108"/>
      <c r="I55" s="109"/>
      <c r="J55" s="27"/>
      <c r="L55" s="20"/>
      <c r="M55" s="21"/>
      <c r="N55" s="22"/>
    </row>
    <row r="56" spans="1:22" ht="15.75" hidden="1" customHeight="1">
      <c r="A56" s="33"/>
      <c r="B56" s="87" t="s">
        <v>44</v>
      </c>
      <c r="C56" s="67"/>
      <c r="D56" s="66"/>
      <c r="E56" s="68"/>
      <c r="F56" s="69"/>
      <c r="G56" s="69"/>
      <c r="H56" s="70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6" t="s">
        <v>120</v>
      </c>
      <c r="C57" s="67" t="s">
        <v>90</v>
      </c>
      <c r="D57" s="66" t="s">
        <v>121</v>
      </c>
      <c r="E57" s="68">
        <v>72.33</v>
      </c>
      <c r="F57" s="69">
        <f>SUM(E57*6/100)</f>
        <v>4.3398000000000003</v>
      </c>
      <c r="G57" s="13">
        <v>1456.95</v>
      </c>
      <c r="H57" s="70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7" t="s">
        <v>45</v>
      </c>
      <c r="C58" s="67"/>
      <c r="D58" s="66"/>
      <c r="E58" s="68"/>
      <c r="F58" s="69"/>
      <c r="G58" s="62"/>
      <c r="H58" s="70"/>
      <c r="I58" s="13"/>
      <c r="J58" s="27"/>
      <c r="L58" s="20"/>
      <c r="M58" s="21"/>
      <c r="N58" s="22"/>
    </row>
    <row r="59" spans="1:22" ht="15.75" hidden="1" customHeight="1">
      <c r="A59" s="33"/>
      <c r="B59" s="66" t="s">
        <v>122</v>
      </c>
      <c r="C59" s="67"/>
      <c r="D59" s="66" t="s">
        <v>55</v>
      </c>
      <c r="E59" s="68">
        <v>952</v>
      </c>
      <c r="F59" s="70">
        <v>9.52</v>
      </c>
      <c r="G59" s="13">
        <v>848.37</v>
      </c>
      <c r="H59" s="75">
        <f>F59*G59/1000</f>
        <v>8.0764823999999997</v>
      </c>
      <c r="I59" s="13">
        <v>0</v>
      </c>
      <c r="J59" s="27"/>
      <c r="L59" s="20"/>
    </row>
    <row r="60" spans="1:22" ht="15.75" customHeight="1">
      <c r="A60" s="33"/>
      <c r="B60" s="88" t="s">
        <v>46</v>
      </c>
      <c r="C60" s="76"/>
      <c r="D60" s="77"/>
      <c r="E60" s="78"/>
      <c r="F60" s="79"/>
      <c r="G60" s="79"/>
      <c r="H60" s="80" t="s">
        <v>141</v>
      </c>
      <c r="I60" s="13"/>
    </row>
    <row r="61" spans="1:22" ht="15.75" hidden="1" customHeight="1">
      <c r="A61" s="33">
        <v>17</v>
      </c>
      <c r="B61" s="14" t="s">
        <v>47</v>
      </c>
      <c r="C61" s="16" t="s">
        <v>119</v>
      </c>
      <c r="D61" s="14" t="s">
        <v>69</v>
      </c>
      <c r="E61" s="18">
        <v>5</v>
      </c>
      <c r="F61" s="69">
        <v>5</v>
      </c>
      <c r="G61" s="13">
        <v>237.74</v>
      </c>
      <c r="H61" s="81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48</v>
      </c>
      <c r="C62" s="16" t="s">
        <v>119</v>
      </c>
      <c r="D62" s="14" t="s">
        <v>69</v>
      </c>
      <c r="E62" s="18">
        <v>2</v>
      </c>
      <c r="F62" s="69">
        <v>2</v>
      </c>
      <c r="G62" s="13">
        <v>81.510000000000005</v>
      </c>
      <c r="H62" s="81">
        <f t="shared" si="7"/>
        <v>0.16302</v>
      </c>
      <c r="I62" s="13">
        <v>0</v>
      </c>
    </row>
    <row r="63" spans="1:22" ht="15.75" hidden="1" customHeight="1">
      <c r="A63" s="33"/>
      <c r="B63" s="14" t="s">
        <v>49</v>
      </c>
      <c r="C63" s="16" t="s">
        <v>123</v>
      </c>
      <c r="D63" s="14" t="s">
        <v>55</v>
      </c>
      <c r="E63" s="68">
        <v>4292</v>
      </c>
      <c r="F63" s="13">
        <f>SUM(E63/100)</f>
        <v>42.92</v>
      </c>
      <c r="G63" s="13">
        <v>226.79</v>
      </c>
      <c r="H63" s="81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50</v>
      </c>
      <c r="C64" s="16" t="s">
        <v>124</v>
      </c>
      <c r="D64" s="14"/>
      <c r="E64" s="68">
        <v>4292</v>
      </c>
      <c r="F64" s="13">
        <f>SUM(E64/1000)</f>
        <v>4.2919999999999998</v>
      </c>
      <c r="G64" s="13">
        <v>176.61</v>
      </c>
      <c r="H64" s="81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51</v>
      </c>
      <c r="C65" s="16" t="s">
        <v>79</v>
      </c>
      <c r="D65" s="14" t="s">
        <v>55</v>
      </c>
      <c r="E65" s="68">
        <v>510</v>
      </c>
      <c r="F65" s="13">
        <f>SUM(E65/100)</f>
        <v>5.0999999999999996</v>
      </c>
      <c r="G65" s="13">
        <v>2217.7800000000002</v>
      </c>
      <c r="H65" s="81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2" t="s">
        <v>125</v>
      </c>
      <c r="C66" s="16" t="s">
        <v>33</v>
      </c>
      <c r="D66" s="14"/>
      <c r="E66" s="68">
        <v>4.5999999999999996</v>
      </c>
      <c r="F66" s="13">
        <f>SUM(E66)</f>
        <v>4.5999999999999996</v>
      </c>
      <c r="G66" s="13">
        <v>42.67</v>
      </c>
      <c r="H66" s="81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0"/>
      <c r="S66" s="110"/>
      <c r="T66" s="110"/>
      <c r="U66" s="110"/>
    </row>
    <row r="67" spans="1:21" ht="15.75" hidden="1" customHeight="1">
      <c r="A67" s="33"/>
      <c r="B67" s="82" t="s">
        <v>126</v>
      </c>
      <c r="C67" s="16" t="s">
        <v>33</v>
      </c>
      <c r="D67" s="14"/>
      <c r="E67" s="68">
        <v>4.5999999999999996</v>
      </c>
      <c r="F67" s="13">
        <f>SUM(E67)</f>
        <v>4.5999999999999996</v>
      </c>
      <c r="G67" s="13">
        <v>39.81</v>
      </c>
      <c r="H67" s="81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3">
        <v>18</v>
      </c>
      <c r="B68" s="14" t="s">
        <v>59</v>
      </c>
      <c r="C68" s="16" t="s">
        <v>60</v>
      </c>
      <c r="D68" s="14" t="s">
        <v>55</v>
      </c>
      <c r="E68" s="18">
        <v>3</v>
      </c>
      <c r="F68" s="69">
        <v>3</v>
      </c>
      <c r="G68" s="13">
        <v>53.32</v>
      </c>
      <c r="H68" s="81">
        <f t="shared" si="7"/>
        <v>0.15996000000000002</v>
      </c>
      <c r="I68" s="13">
        <f>G68*3</f>
        <v>159.96</v>
      </c>
    </row>
    <row r="69" spans="1:21" ht="15.75" hidden="1" customHeight="1">
      <c r="A69" s="33"/>
      <c r="B69" s="53" t="s">
        <v>74</v>
      </c>
      <c r="C69" s="16"/>
      <c r="D69" s="14"/>
      <c r="E69" s="18"/>
      <c r="F69" s="13"/>
      <c r="G69" s="13"/>
      <c r="H69" s="81" t="s">
        <v>141</v>
      </c>
      <c r="I69" s="13"/>
    </row>
    <row r="70" spans="1:21" ht="15.75" hidden="1" customHeight="1">
      <c r="A70" s="33"/>
      <c r="B70" s="14" t="s">
        <v>75</v>
      </c>
      <c r="C70" s="16" t="s">
        <v>77</v>
      </c>
      <c r="D70" s="14"/>
      <c r="E70" s="18">
        <v>2</v>
      </c>
      <c r="F70" s="13">
        <v>0.2</v>
      </c>
      <c r="G70" s="13">
        <v>536.23</v>
      </c>
      <c r="H70" s="81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76</v>
      </c>
      <c r="C71" s="16" t="s">
        <v>31</v>
      </c>
      <c r="D71" s="14"/>
      <c r="E71" s="18">
        <v>1</v>
      </c>
      <c r="F71" s="62">
        <v>1</v>
      </c>
      <c r="G71" s="13">
        <v>911.85</v>
      </c>
      <c r="H71" s="81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142</v>
      </c>
      <c r="C72" s="16" t="s">
        <v>143</v>
      </c>
      <c r="D72" s="14"/>
      <c r="E72" s="18"/>
      <c r="F72" s="13"/>
      <c r="G72" s="13">
        <v>31.54</v>
      </c>
      <c r="H72" s="81">
        <f t="shared" si="7"/>
        <v>0</v>
      </c>
      <c r="I72" s="13"/>
    </row>
    <row r="73" spans="1:21" ht="15.75" hidden="1" customHeight="1">
      <c r="A73" s="33"/>
      <c r="B73" s="14" t="s">
        <v>128</v>
      </c>
      <c r="C73" s="16" t="s">
        <v>31</v>
      </c>
      <c r="D73" s="14"/>
      <c r="E73" s="18">
        <v>1</v>
      </c>
      <c r="F73" s="13">
        <v>1</v>
      </c>
      <c r="G73" s="13">
        <v>383.25</v>
      </c>
      <c r="H73" s="81">
        <f>G73*F73/1000</f>
        <v>0.38324999999999998</v>
      </c>
      <c r="I73" s="13">
        <v>0</v>
      </c>
    </row>
    <row r="74" spans="1:21" ht="15.75" hidden="1" customHeight="1">
      <c r="A74" s="33"/>
      <c r="B74" s="84" t="s">
        <v>78</v>
      </c>
      <c r="C74" s="16"/>
      <c r="D74" s="14"/>
      <c r="E74" s="18"/>
      <c r="F74" s="13"/>
      <c r="G74" s="13" t="s">
        <v>141</v>
      </c>
      <c r="H74" s="81" t="s">
        <v>141</v>
      </c>
      <c r="I74" s="13"/>
    </row>
    <row r="75" spans="1:21" ht="15.75" hidden="1" customHeight="1">
      <c r="A75" s="33"/>
      <c r="B75" s="45" t="s">
        <v>153</v>
      </c>
      <c r="C75" s="16" t="s">
        <v>79</v>
      </c>
      <c r="D75" s="14"/>
      <c r="E75" s="18"/>
      <c r="F75" s="13">
        <v>0.1</v>
      </c>
      <c r="G75" s="13">
        <v>2949.85</v>
      </c>
      <c r="H75" s="81">
        <f t="shared" si="7"/>
        <v>0.294985</v>
      </c>
      <c r="I75" s="13">
        <v>0</v>
      </c>
    </row>
    <row r="76" spans="1:21" ht="15.75" hidden="1" customHeight="1">
      <c r="A76" s="33"/>
      <c r="B76" s="91" t="s">
        <v>97</v>
      </c>
      <c r="C76" s="91"/>
      <c r="D76" s="91"/>
      <c r="E76" s="91"/>
      <c r="F76" s="91"/>
      <c r="G76" s="72"/>
      <c r="H76" s="85">
        <f>SUM(H57:H75)</f>
        <v>39.790287929999998</v>
      </c>
      <c r="I76" s="72"/>
    </row>
    <row r="77" spans="1:21" ht="15.75" hidden="1" customHeight="1">
      <c r="A77" s="33">
        <v>18</v>
      </c>
      <c r="B77" s="89" t="s">
        <v>127</v>
      </c>
      <c r="C77" s="24"/>
      <c r="D77" s="23"/>
      <c r="E77" s="86"/>
      <c r="F77" s="90">
        <v>1</v>
      </c>
      <c r="G77" s="13">
        <v>3124.9</v>
      </c>
      <c r="H77" s="81">
        <f>G77*F77/1000</f>
        <v>3.1249000000000002</v>
      </c>
      <c r="I77" s="13">
        <f>G77</f>
        <v>3124.9</v>
      </c>
    </row>
    <row r="78" spans="1:21" ht="15.75" customHeight="1">
      <c r="A78" s="107" t="s">
        <v>137</v>
      </c>
      <c r="B78" s="108"/>
      <c r="C78" s="108"/>
      <c r="D78" s="108"/>
      <c r="E78" s="108"/>
      <c r="F78" s="108"/>
      <c r="G78" s="108"/>
      <c r="H78" s="108"/>
      <c r="I78" s="109"/>
    </row>
    <row r="79" spans="1:21" ht="15.75" customHeight="1">
      <c r="A79" s="33">
        <v>19</v>
      </c>
      <c r="B79" s="66" t="s">
        <v>129</v>
      </c>
      <c r="C79" s="16" t="s">
        <v>56</v>
      </c>
      <c r="D79" s="50" t="s">
        <v>57</v>
      </c>
      <c r="E79" s="13">
        <v>1042.5999999999999</v>
      </c>
      <c r="F79" s="13">
        <f>SUM(E79*12)</f>
        <v>12511.199999999999</v>
      </c>
      <c r="G79" s="13">
        <v>2.2400000000000002</v>
      </c>
      <c r="H79" s="81">
        <f>SUM(F79*G79/1000)</f>
        <v>28.025088</v>
      </c>
      <c r="I79" s="13">
        <f>F79/12*G79</f>
        <v>2335.424</v>
      </c>
    </row>
    <row r="80" spans="1:21" ht="31.5" customHeight="1">
      <c r="A80" s="33">
        <v>20</v>
      </c>
      <c r="B80" s="14" t="s">
        <v>80</v>
      </c>
      <c r="C80" s="16"/>
      <c r="D80" s="50" t="s">
        <v>57</v>
      </c>
      <c r="E80" s="68">
        <f>E79</f>
        <v>1042.5999999999999</v>
      </c>
      <c r="F80" s="13">
        <f>E80*12</f>
        <v>12511.199999999999</v>
      </c>
      <c r="G80" s="13">
        <v>1.74</v>
      </c>
      <c r="H80" s="81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83</v>
      </c>
      <c r="C81" s="84"/>
      <c r="D81" s="83"/>
      <c r="E81" s="72"/>
      <c r="F81" s="72"/>
      <c r="G81" s="72"/>
      <c r="H81" s="85">
        <f>H80</f>
        <v>21.769487999999999</v>
      </c>
      <c r="I81" s="72">
        <f>I16+I17+I18+I20+I21+I27+I28+I31+I32+I34+I45+I46+I47+I48+I49+I50+I54+I68+I79+I80</f>
        <v>20233.450267644443</v>
      </c>
    </row>
    <row r="82" spans="1:9" ht="15.75" customHeight="1">
      <c r="A82" s="112" t="s">
        <v>62</v>
      </c>
      <c r="B82" s="113"/>
      <c r="C82" s="113"/>
      <c r="D82" s="113"/>
      <c r="E82" s="113"/>
      <c r="F82" s="113"/>
      <c r="G82" s="113"/>
      <c r="H82" s="113"/>
      <c r="I82" s="114"/>
    </row>
    <row r="83" spans="1:9" ht="31.5" hidden="1" customHeight="1">
      <c r="A83" s="33"/>
      <c r="B83" s="48" t="s">
        <v>144</v>
      </c>
      <c r="C83" s="49" t="s">
        <v>145</v>
      </c>
      <c r="D83" s="45"/>
      <c r="E83" s="13"/>
      <c r="F83" s="13">
        <v>1</v>
      </c>
      <c r="G83" s="13">
        <v>51.39</v>
      </c>
      <c r="H83" s="81">
        <f t="shared" ref="H83:H90" si="8">G83*F83/1000</f>
        <v>5.1389999999999998E-2</v>
      </c>
      <c r="I83" s="13">
        <v>0</v>
      </c>
    </row>
    <row r="84" spans="1:9" ht="15.75" hidden="1" customHeight="1">
      <c r="A84" s="33"/>
      <c r="B84" s="48" t="s">
        <v>146</v>
      </c>
      <c r="C84" s="49" t="s">
        <v>147</v>
      </c>
      <c r="D84" s="45"/>
      <c r="E84" s="13"/>
      <c r="F84" s="13">
        <v>5</v>
      </c>
      <c r="G84" s="13">
        <v>1501</v>
      </c>
      <c r="H84" s="81">
        <f t="shared" si="8"/>
        <v>7.5049999999999999</v>
      </c>
      <c r="I84" s="13">
        <v>0</v>
      </c>
    </row>
    <row r="85" spans="1:9" ht="15.75" hidden="1" customHeight="1">
      <c r="A85" s="33"/>
      <c r="B85" s="48" t="s">
        <v>148</v>
      </c>
      <c r="C85" s="49" t="s">
        <v>149</v>
      </c>
      <c r="D85" s="45"/>
      <c r="E85" s="13"/>
      <c r="F85" s="13">
        <v>1</v>
      </c>
      <c r="G85" s="13">
        <v>1646</v>
      </c>
      <c r="H85" s="81">
        <f t="shared" si="8"/>
        <v>1.6459999999999999</v>
      </c>
      <c r="I85" s="13">
        <v>0</v>
      </c>
    </row>
    <row r="86" spans="1:9" ht="15.75" hidden="1" customHeight="1">
      <c r="A86" s="33"/>
      <c r="B86" s="48" t="s">
        <v>150</v>
      </c>
      <c r="C86" s="49" t="s">
        <v>98</v>
      </c>
      <c r="D86" s="45"/>
      <c r="E86" s="13"/>
      <c r="F86" s="13">
        <v>1</v>
      </c>
      <c r="G86" s="13">
        <v>182.63</v>
      </c>
      <c r="H86" s="81">
        <f t="shared" si="8"/>
        <v>0.18262999999999999</v>
      </c>
      <c r="I86" s="13">
        <v>0</v>
      </c>
    </row>
    <row r="87" spans="1:9" ht="15.75" hidden="1" customHeight="1">
      <c r="A87" s="33"/>
      <c r="B87" s="48" t="s">
        <v>130</v>
      </c>
      <c r="C87" s="49" t="s">
        <v>86</v>
      </c>
      <c r="D87" s="45"/>
      <c r="E87" s="13"/>
      <c r="F87" s="13">
        <v>2</v>
      </c>
      <c r="G87" s="13">
        <v>185.81</v>
      </c>
      <c r="H87" s="81">
        <f t="shared" si="8"/>
        <v>0.37162000000000001</v>
      </c>
      <c r="I87" s="13">
        <v>0</v>
      </c>
    </row>
    <row r="88" spans="1:9" ht="15.75" customHeight="1">
      <c r="A88" s="33">
        <v>21</v>
      </c>
      <c r="B88" s="48" t="s">
        <v>130</v>
      </c>
      <c r="C88" s="49" t="s">
        <v>86</v>
      </c>
      <c r="D88" s="45"/>
      <c r="E88" s="13"/>
      <c r="F88" s="13">
        <v>1</v>
      </c>
      <c r="G88" s="13">
        <v>195.85</v>
      </c>
      <c r="H88" s="81">
        <f>G88*F88/1000</f>
        <v>0.19585</v>
      </c>
      <c r="I88" s="13">
        <f>G88</f>
        <v>195.85</v>
      </c>
    </row>
    <row r="89" spans="1:9" ht="31.5" hidden="1" customHeight="1">
      <c r="A89" s="33"/>
      <c r="B89" s="48" t="s">
        <v>82</v>
      </c>
      <c r="C89" s="49" t="s">
        <v>119</v>
      </c>
      <c r="D89" s="45"/>
      <c r="E89" s="13"/>
      <c r="F89" s="13">
        <v>1</v>
      </c>
      <c r="G89" s="13">
        <v>79.09</v>
      </c>
      <c r="H89" s="81">
        <f t="shared" si="8"/>
        <v>7.9090000000000008E-2</v>
      </c>
      <c r="I89" s="13">
        <v>0</v>
      </c>
    </row>
    <row r="90" spans="1:9" ht="15.75" hidden="1" customHeight="1">
      <c r="A90" s="33"/>
      <c r="B90" s="48" t="s">
        <v>151</v>
      </c>
      <c r="C90" s="49" t="s">
        <v>152</v>
      </c>
      <c r="D90" s="45"/>
      <c r="E90" s="13"/>
      <c r="F90" s="13">
        <v>1</v>
      </c>
      <c r="G90" s="13">
        <v>1072.21</v>
      </c>
      <c r="H90" s="81">
        <f t="shared" si="8"/>
        <v>1.0722100000000001</v>
      </c>
      <c r="I90" s="13">
        <v>0</v>
      </c>
    </row>
    <row r="91" spans="1:9">
      <c r="A91" s="33"/>
      <c r="B91" s="43" t="s">
        <v>52</v>
      </c>
      <c r="C91" s="39"/>
      <c r="D91" s="46"/>
      <c r="E91" s="39">
        <v>1</v>
      </c>
      <c r="F91" s="39"/>
      <c r="G91" s="39"/>
      <c r="H91" s="39"/>
      <c r="I91" s="35">
        <f>SUM(I83:I90)</f>
        <v>195.85</v>
      </c>
    </row>
    <row r="92" spans="1:9" ht="16.5" customHeight="1">
      <c r="A92" s="33"/>
      <c r="B92" s="45" t="s">
        <v>81</v>
      </c>
      <c r="C92" s="15"/>
      <c r="D92" s="15"/>
      <c r="E92" s="40"/>
      <c r="F92" s="40"/>
      <c r="G92" s="41"/>
      <c r="H92" s="41"/>
      <c r="I92" s="17">
        <v>0</v>
      </c>
    </row>
    <row r="93" spans="1:9" ht="16.5" customHeight="1">
      <c r="A93" s="47"/>
      <c r="B93" s="44" t="s">
        <v>173</v>
      </c>
      <c r="C93" s="36"/>
      <c r="D93" s="36"/>
      <c r="E93" s="36"/>
      <c r="F93" s="36"/>
      <c r="G93" s="36"/>
      <c r="H93" s="36"/>
      <c r="I93" s="42">
        <f>I81+I91</f>
        <v>20429.300267644441</v>
      </c>
    </row>
    <row r="94" spans="1:9" ht="15.75" customHeight="1">
      <c r="A94" s="122" t="s">
        <v>201</v>
      </c>
      <c r="B94" s="122"/>
      <c r="C94" s="122"/>
      <c r="D94" s="122"/>
      <c r="E94" s="122"/>
      <c r="F94" s="122"/>
      <c r="G94" s="122"/>
      <c r="H94" s="122"/>
      <c r="I94" s="122"/>
    </row>
    <row r="95" spans="1:9" ht="15.75" customHeight="1">
      <c r="A95" s="59"/>
      <c r="B95" s="123" t="s">
        <v>202</v>
      </c>
      <c r="C95" s="123"/>
      <c r="D95" s="123"/>
      <c r="E95" s="123"/>
      <c r="F95" s="123"/>
      <c r="G95" s="123"/>
      <c r="H95" s="65"/>
      <c r="I95" s="3"/>
    </row>
    <row r="96" spans="1:9">
      <c r="A96" s="58"/>
      <c r="B96" s="120" t="s">
        <v>6</v>
      </c>
      <c r="C96" s="120"/>
      <c r="D96" s="120"/>
      <c r="E96" s="120"/>
      <c r="F96" s="120"/>
      <c r="G96" s="120"/>
      <c r="H96" s="28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16" t="s">
        <v>7</v>
      </c>
      <c r="B98" s="116"/>
      <c r="C98" s="116"/>
      <c r="D98" s="116"/>
      <c r="E98" s="116"/>
      <c r="F98" s="116"/>
      <c r="G98" s="116"/>
      <c r="H98" s="116"/>
      <c r="I98" s="116"/>
    </row>
    <row r="99" spans="1:9" ht="15.75">
      <c r="A99" s="116" t="s">
        <v>8</v>
      </c>
      <c r="B99" s="116"/>
      <c r="C99" s="116"/>
      <c r="D99" s="116"/>
      <c r="E99" s="116"/>
      <c r="F99" s="116"/>
      <c r="G99" s="116"/>
      <c r="H99" s="116"/>
      <c r="I99" s="116"/>
    </row>
    <row r="100" spans="1:9" ht="15.75">
      <c r="A100" s="117" t="s">
        <v>63</v>
      </c>
      <c r="B100" s="117"/>
      <c r="C100" s="117"/>
      <c r="D100" s="117"/>
      <c r="E100" s="117"/>
      <c r="F100" s="117"/>
      <c r="G100" s="117"/>
      <c r="H100" s="117"/>
      <c r="I100" s="117"/>
    </row>
    <row r="101" spans="1:9" ht="7.5" customHeight="1">
      <c r="A101" s="11"/>
    </row>
    <row r="102" spans="1:9" ht="15.75">
      <c r="A102" s="118" t="s">
        <v>9</v>
      </c>
      <c r="B102" s="118"/>
      <c r="C102" s="118"/>
      <c r="D102" s="118"/>
      <c r="E102" s="118"/>
      <c r="F102" s="118"/>
      <c r="G102" s="118"/>
      <c r="H102" s="118"/>
      <c r="I102" s="118"/>
    </row>
    <row r="103" spans="1:9" ht="15.75">
      <c r="A103" s="4"/>
    </row>
    <row r="104" spans="1:9" ht="15.75">
      <c r="B104" s="55" t="s">
        <v>10</v>
      </c>
      <c r="C104" s="119" t="s">
        <v>133</v>
      </c>
      <c r="D104" s="119"/>
      <c r="E104" s="119"/>
      <c r="F104" s="63"/>
      <c r="I104" s="57"/>
    </row>
    <row r="105" spans="1:9">
      <c r="A105" s="58"/>
      <c r="C105" s="120" t="s">
        <v>11</v>
      </c>
      <c r="D105" s="120"/>
      <c r="E105" s="120"/>
      <c r="F105" s="28"/>
      <c r="I105" s="56" t="s">
        <v>12</v>
      </c>
    </row>
    <row r="106" spans="1:9" ht="15.75">
      <c r="A106" s="29"/>
      <c r="C106" s="12"/>
      <c r="D106" s="12"/>
      <c r="G106" s="12"/>
      <c r="H106" s="12"/>
    </row>
    <row r="107" spans="1:9" ht="15.75">
      <c r="B107" s="55" t="s">
        <v>13</v>
      </c>
      <c r="C107" s="121"/>
      <c r="D107" s="121"/>
      <c r="E107" s="121"/>
      <c r="F107" s="64"/>
      <c r="I107" s="57"/>
    </row>
    <row r="108" spans="1:9">
      <c r="A108" s="58"/>
      <c r="C108" s="110" t="s">
        <v>11</v>
      </c>
      <c r="D108" s="110"/>
      <c r="E108" s="110"/>
      <c r="F108" s="58"/>
      <c r="I108" s="56" t="s">
        <v>12</v>
      </c>
    </row>
    <row r="109" spans="1:9" ht="15.75">
      <c r="A109" s="4" t="s">
        <v>14</v>
      </c>
    </row>
    <row r="110" spans="1:9">
      <c r="A110" s="111" t="s">
        <v>15</v>
      </c>
      <c r="B110" s="111"/>
      <c r="C110" s="111"/>
      <c r="D110" s="111"/>
      <c r="E110" s="111"/>
      <c r="F110" s="111"/>
      <c r="G110" s="111"/>
      <c r="H110" s="111"/>
      <c r="I110" s="111"/>
    </row>
    <row r="111" spans="1:9" ht="45" customHeight="1">
      <c r="A111" s="115" t="s">
        <v>16</v>
      </c>
      <c r="B111" s="115"/>
      <c r="C111" s="115"/>
      <c r="D111" s="115"/>
      <c r="E111" s="115"/>
      <c r="F111" s="115"/>
      <c r="G111" s="115"/>
      <c r="H111" s="115"/>
      <c r="I111" s="115"/>
    </row>
    <row r="112" spans="1:9" ht="30" customHeight="1">
      <c r="A112" s="115" t="s">
        <v>17</v>
      </c>
      <c r="B112" s="115"/>
      <c r="C112" s="115"/>
      <c r="D112" s="115"/>
      <c r="E112" s="115"/>
      <c r="F112" s="115"/>
      <c r="G112" s="115"/>
      <c r="H112" s="115"/>
      <c r="I112" s="115"/>
    </row>
    <row r="113" spans="1:9" ht="30" customHeight="1">
      <c r="A113" s="115" t="s">
        <v>21</v>
      </c>
      <c r="B113" s="115"/>
      <c r="C113" s="115"/>
      <c r="D113" s="115"/>
      <c r="E113" s="115"/>
      <c r="F113" s="115"/>
      <c r="G113" s="115"/>
      <c r="H113" s="115"/>
      <c r="I113" s="115"/>
    </row>
    <row r="114" spans="1:9" ht="14.25" customHeight="1">
      <c r="A114" s="115" t="s">
        <v>20</v>
      </c>
      <c r="B114" s="115"/>
      <c r="C114" s="115"/>
      <c r="D114" s="115"/>
      <c r="E114" s="115"/>
      <c r="F114" s="115"/>
      <c r="G114" s="115"/>
      <c r="H114" s="115"/>
      <c r="I114" s="115"/>
    </row>
  </sheetData>
  <autoFilter ref="I12:I61"/>
  <mergeCells count="29">
    <mergeCell ref="R66:U66"/>
    <mergeCell ref="A78:I78"/>
    <mergeCell ref="A3:I3"/>
    <mergeCell ref="A4:I4"/>
    <mergeCell ref="A5:I5"/>
    <mergeCell ref="A8:I8"/>
    <mergeCell ref="A10:I10"/>
    <mergeCell ref="A14:I14"/>
    <mergeCell ref="A100:I100"/>
    <mergeCell ref="A15:I15"/>
    <mergeCell ref="A29:I29"/>
    <mergeCell ref="A44:I44"/>
    <mergeCell ref="A55:I55"/>
    <mergeCell ref="A94:I94"/>
    <mergeCell ref="B95:G95"/>
    <mergeCell ref="B96:G96"/>
    <mergeCell ref="A98:I98"/>
    <mergeCell ref="A99:I99"/>
    <mergeCell ref="A82:I82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2017-12-18T10:06:52Z</cp:lastPrinted>
  <dcterms:created xsi:type="dcterms:W3CDTF">2016-03-25T08:33:47Z</dcterms:created>
  <dcterms:modified xsi:type="dcterms:W3CDTF">2018-03-30T06:46:47Z</dcterms:modified>
</cp:coreProperties>
</file>