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480" windowHeight="5565"/>
  </bookViews>
  <sheets>
    <sheet name="Нефт.,10" sheetId="1" r:id="rId1"/>
  </sheets>
  <definedNames>
    <definedName name="_xlnm.Print_Area" localSheetId="0">'Нефт.,10'!$A$1:$U$157</definedName>
  </definedNames>
  <calcPr calcId="124519"/>
</workbook>
</file>

<file path=xl/calcChain.xml><?xml version="1.0" encoding="utf-8"?>
<calcChain xmlns="http://schemas.openxmlformats.org/spreadsheetml/2006/main">
  <c r="U126" i="1"/>
  <c r="U127"/>
  <c r="N126"/>
  <c r="F126"/>
  <c r="F41"/>
  <c r="K41" s="1"/>
  <c r="O128"/>
  <c r="O127"/>
  <c r="T99"/>
  <c r="C155"/>
  <c r="C152"/>
  <c r="K119"/>
  <c r="R125"/>
  <c r="R142"/>
  <c r="F142"/>
  <c r="R141"/>
  <c r="U141" s="1"/>
  <c r="H141"/>
  <c r="T118"/>
  <c r="T124"/>
  <c r="S124"/>
  <c r="S118"/>
  <c r="R140"/>
  <c r="U140" s="1"/>
  <c r="H140"/>
  <c r="L41" l="1"/>
  <c r="H126"/>
  <c r="R124"/>
  <c r="R118"/>
  <c r="T63"/>
  <c r="T101"/>
  <c r="T98"/>
  <c r="F98"/>
  <c r="T122"/>
  <c r="T144"/>
  <c r="S63"/>
  <c r="S101"/>
  <c r="S122"/>
  <c r="S144"/>
  <c r="U144" s="1"/>
  <c r="S99"/>
  <c r="S98"/>
  <c r="R139"/>
  <c r="U139" s="1"/>
  <c r="H139"/>
  <c r="R100"/>
  <c r="R63"/>
  <c r="R99"/>
  <c r="R135"/>
  <c r="R138"/>
  <c r="U138" s="1"/>
  <c r="H138"/>
  <c r="U142"/>
  <c r="U60"/>
  <c r="U64"/>
  <c r="U73"/>
  <c r="U74"/>
  <c r="U75"/>
  <c r="U78"/>
  <c r="U79"/>
  <c r="U81"/>
  <c r="U30"/>
  <c r="U31"/>
  <c r="U33"/>
  <c r="P112"/>
  <c r="P107"/>
  <c r="P113"/>
  <c r="P132"/>
  <c r="U132" s="1"/>
  <c r="H132"/>
  <c r="P106"/>
  <c r="P108"/>
  <c r="P131"/>
  <c r="U131" s="1"/>
  <c r="H131"/>
  <c r="P103" l="1"/>
  <c r="Q136"/>
  <c r="U136" s="1"/>
  <c r="H136"/>
  <c r="P133" l="1"/>
  <c r="U133" s="1"/>
  <c r="F133"/>
  <c r="Q137" l="1"/>
  <c r="U137" s="1"/>
  <c r="R143"/>
  <c r="U143" s="1"/>
  <c r="H143"/>
  <c r="Q63" l="1"/>
  <c r="Q95"/>
  <c r="H137"/>
  <c r="Q124"/>
  <c r="Q118"/>
  <c r="Q123"/>
  <c r="Q99"/>
  <c r="Q135"/>
  <c r="U135" s="1"/>
  <c r="H135"/>
  <c r="T71" l="1"/>
  <c r="S71"/>
  <c r="P134"/>
  <c r="U134" s="1"/>
  <c r="H134"/>
  <c r="P63" l="1"/>
  <c r="P98"/>
  <c r="H133"/>
  <c r="P124"/>
  <c r="P95"/>
  <c r="P99"/>
  <c r="O130"/>
  <c r="U130" s="1"/>
  <c r="H130"/>
  <c r="O95"/>
  <c r="O118"/>
  <c r="O129"/>
  <c r="U129" s="1"/>
  <c r="F129"/>
  <c r="H129" s="1"/>
  <c r="O76" l="1"/>
  <c r="U128"/>
  <c r="H128"/>
  <c r="H127"/>
  <c r="N95"/>
  <c r="O63"/>
  <c r="O99"/>
  <c r="O98"/>
  <c r="O117"/>
  <c r="O107"/>
  <c r="O103"/>
  <c r="N63"/>
  <c r="N98"/>
  <c r="R53"/>
  <c r="N53"/>
  <c r="I53"/>
  <c r="L125"/>
  <c r="U125" s="1"/>
  <c r="H125"/>
  <c r="K120"/>
  <c r="U120" s="1"/>
  <c r="H120"/>
  <c r="L95"/>
  <c r="L123"/>
  <c r="U123" s="1"/>
  <c r="H123"/>
  <c r="L124"/>
  <c r="U124" s="1"/>
  <c r="K95"/>
  <c r="U119"/>
  <c r="H119"/>
  <c r="K76"/>
  <c r="K118"/>
  <c r="U118" s="1"/>
  <c r="M98"/>
  <c r="M121"/>
  <c r="L122"/>
  <c r="U122" s="1"/>
  <c r="H122"/>
  <c r="L121"/>
  <c r="L63"/>
  <c r="K117"/>
  <c r="H117"/>
  <c r="K107"/>
  <c r="U107" s="1"/>
  <c r="K105"/>
  <c r="U105" s="1"/>
  <c r="K109"/>
  <c r="U109" s="1"/>
  <c r="K108"/>
  <c r="U108" s="1"/>
  <c r="K116"/>
  <c r="U116" s="1"/>
  <c r="H116"/>
  <c r="K113"/>
  <c r="U113" s="1"/>
  <c r="K115"/>
  <c r="U115" s="1"/>
  <c r="H115"/>
  <c r="K114"/>
  <c r="U114" s="1"/>
  <c r="H114"/>
  <c r="U117" l="1"/>
  <c r="U121"/>
  <c r="U53"/>
  <c r="K103"/>
  <c r="K63"/>
  <c r="K98"/>
  <c r="H113"/>
  <c r="K112"/>
  <c r="U112" s="1"/>
  <c r="H112"/>
  <c r="K111"/>
  <c r="U111" s="1"/>
  <c r="H111"/>
  <c r="K110"/>
  <c r="U110" s="1"/>
  <c r="H110"/>
  <c r="H108"/>
  <c r="U103" l="1"/>
  <c r="H109"/>
  <c r="H107" l="1"/>
  <c r="K106"/>
  <c r="U106" s="1"/>
  <c r="H106"/>
  <c r="H105"/>
  <c r="K104"/>
  <c r="U104" s="1"/>
  <c r="H104"/>
  <c r="H103"/>
  <c r="K101" l="1"/>
  <c r="U101" s="1"/>
  <c r="K102"/>
  <c r="U102" s="1"/>
  <c r="H102"/>
  <c r="K100"/>
  <c r="U100" s="1"/>
  <c r="H100"/>
  <c r="K99" l="1"/>
  <c r="U99" s="1"/>
  <c r="L38"/>
  <c r="U38" s="1"/>
  <c r="J76" l="1"/>
  <c r="U76" s="1"/>
  <c r="J97" l="1"/>
  <c r="U97" s="1"/>
  <c r="J98" l="1"/>
  <c r="U98" s="1"/>
  <c r="H118"/>
  <c r="H99"/>
  <c r="H101"/>
  <c r="H121"/>
  <c r="H124"/>
  <c r="H98"/>
  <c r="H144"/>
  <c r="H142"/>
  <c r="H97" l="1"/>
  <c r="I94"/>
  <c r="U94" s="1"/>
  <c r="I93"/>
  <c r="U93" s="1"/>
  <c r="H93"/>
  <c r="H94"/>
  <c r="I77" l="1"/>
  <c r="U77" s="1"/>
  <c r="I96" l="1"/>
  <c r="U96" s="1"/>
  <c r="H96"/>
  <c r="I95"/>
  <c r="U95" s="1"/>
  <c r="U145" s="1"/>
  <c r="I63"/>
  <c r="U63" s="1"/>
  <c r="T42" l="1"/>
  <c r="T36"/>
  <c r="S36"/>
  <c r="R71" l="1"/>
  <c r="Q71"/>
  <c r="P71"/>
  <c r="O71"/>
  <c r="Q70"/>
  <c r="U70" s="1"/>
  <c r="R52"/>
  <c r="S42"/>
  <c r="N71" l="1"/>
  <c r="M71"/>
  <c r="H95"/>
  <c r="H145" s="1"/>
  <c r="H38" l="1"/>
  <c r="M52"/>
  <c r="U52" s="1"/>
  <c r="L71"/>
  <c r="K71" l="1"/>
  <c r="J71"/>
  <c r="L42" l="1"/>
  <c r="L36"/>
  <c r="K36"/>
  <c r="K58" l="1"/>
  <c r="U58" s="1"/>
  <c r="K42"/>
  <c r="J36"/>
  <c r="T83" l="1"/>
  <c r="U83" s="1"/>
  <c r="F28" l="1"/>
  <c r="F33"/>
  <c r="O28" l="1"/>
  <c r="R28"/>
  <c r="Q28"/>
  <c r="P28"/>
  <c r="N28"/>
  <c r="M28"/>
  <c r="H33"/>
  <c r="H83"/>
  <c r="U28" l="1"/>
  <c r="J42"/>
  <c r="I71"/>
  <c r="U71" s="1"/>
  <c r="I42"/>
  <c r="I36"/>
  <c r="U36" s="1"/>
  <c r="F61"/>
  <c r="F56"/>
  <c r="F53"/>
  <c r="F40"/>
  <c r="U42" l="1"/>
  <c r="S40"/>
  <c r="T40"/>
  <c r="S56"/>
  <c r="T56"/>
  <c r="T61"/>
  <c r="S61"/>
  <c r="R61"/>
  <c r="Q61"/>
  <c r="P61"/>
  <c r="O61"/>
  <c r="N61"/>
  <c r="M61"/>
  <c r="L61"/>
  <c r="L40"/>
  <c r="K40"/>
  <c r="K56"/>
  <c r="L56"/>
  <c r="J56"/>
  <c r="K61"/>
  <c r="J61"/>
  <c r="I40"/>
  <c r="I56"/>
  <c r="J40"/>
  <c r="H61"/>
  <c r="I61"/>
  <c r="F37"/>
  <c r="F27"/>
  <c r="F19"/>
  <c r="F16"/>
  <c r="I16" s="1"/>
  <c r="U56" l="1"/>
  <c r="U61"/>
  <c r="U40"/>
  <c r="S37"/>
  <c r="T37"/>
  <c r="Q16"/>
  <c r="S16"/>
  <c r="O16"/>
  <c r="O27"/>
  <c r="R27"/>
  <c r="Q27"/>
  <c r="P27"/>
  <c r="M16"/>
  <c r="M19"/>
  <c r="U19" s="1"/>
  <c r="N27"/>
  <c r="M27"/>
  <c r="L37"/>
  <c r="K37"/>
  <c r="K16"/>
  <c r="I37"/>
  <c r="J37"/>
  <c r="H27"/>
  <c r="F20"/>
  <c r="U16" l="1"/>
  <c r="U37"/>
  <c r="U27"/>
  <c r="M20"/>
  <c r="U20" s="1"/>
  <c r="F60"/>
  <c r="H60" s="1"/>
  <c r="F57"/>
  <c r="S57" l="1"/>
  <c r="T57"/>
  <c r="L57"/>
  <c r="K57"/>
  <c r="I57"/>
  <c r="J57"/>
  <c r="H56"/>
  <c r="F49"/>
  <c r="H19"/>
  <c r="H20"/>
  <c r="H57"/>
  <c r="U57" l="1"/>
  <c r="Q49"/>
  <c r="T49"/>
  <c r="J49"/>
  <c r="M49"/>
  <c r="I49"/>
  <c r="U49" l="1"/>
  <c r="H79"/>
  <c r="C154" l="1"/>
  <c r="H147"/>
  <c r="F148"/>
  <c r="E86"/>
  <c r="H89" s="1"/>
  <c r="F84"/>
  <c r="H81"/>
  <c r="H78"/>
  <c r="F77"/>
  <c r="H77" s="1"/>
  <c r="H75"/>
  <c r="H74"/>
  <c r="F70"/>
  <c r="F69"/>
  <c r="M69" s="1"/>
  <c r="U69" s="1"/>
  <c r="F68"/>
  <c r="M68" s="1"/>
  <c r="U68" s="1"/>
  <c r="F67"/>
  <c r="M67" s="1"/>
  <c r="U67" s="1"/>
  <c r="F66"/>
  <c r="M66" s="1"/>
  <c r="U66" s="1"/>
  <c r="F65"/>
  <c r="M65" s="1"/>
  <c r="U65" s="1"/>
  <c r="H64"/>
  <c r="H63"/>
  <c r="H53"/>
  <c r="H52"/>
  <c r="F51"/>
  <c r="F50"/>
  <c r="J50" s="1"/>
  <c r="F48"/>
  <c r="F47"/>
  <c r="F46"/>
  <c r="F45"/>
  <c r="H42"/>
  <c r="H40"/>
  <c r="F39"/>
  <c r="H37"/>
  <c r="H36"/>
  <c r="F32"/>
  <c r="T32" s="1"/>
  <c r="H31"/>
  <c r="H30"/>
  <c r="F29"/>
  <c r="H28"/>
  <c r="F26"/>
  <c r="M26" s="1"/>
  <c r="U26" s="1"/>
  <c r="F25"/>
  <c r="F24"/>
  <c r="F21"/>
  <c r="M21" s="1"/>
  <c r="U21" s="1"/>
  <c r="F18"/>
  <c r="M18" s="1"/>
  <c r="U18" s="1"/>
  <c r="F17"/>
  <c r="M17" s="1"/>
  <c r="U17" s="1"/>
  <c r="F15"/>
  <c r="F14"/>
  <c r="M14" s="1"/>
  <c r="U14" s="1"/>
  <c r="E13"/>
  <c r="F13" s="1"/>
  <c r="T13" s="1"/>
  <c r="F12"/>
  <c r="T12" s="1"/>
  <c r="F11"/>
  <c r="T84" l="1"/>
  <c r="S84"/>
  <c r="S11"/>
  <c r="T11"/>
  <c r="S15"/>
  <c r="T15"/>
  <c r="S29"/>
  <c r="T29"/>
  <c r="S39"/>
  <c r="T39"/>
  <c r="R11"/>
  <c r="Q11"/>
  <c r="P11"/>
  <c r="O11"/>
  <c r="R24"/>
  <c r="P24"/>
  <c r="Q24"/>
  <c r="O24"/>
  <c r="O29"/>
  <c r="R29"/>
  <c r="Q29"/>
  <c r="P29"/>
  <c r="O12"/>
  <c r="S12"/>
  <c r="Q12"/>
  <c r="R12"/>
  <c r="P12"/>
  <c r="O25"/>
  <c r="R25"/>
  <c r="Q25"/>
  <c r="P25"/>
  <c r="O32"/>
  <c r="S32"/>
  <c r="Q32"/>
  <c r="R32"/>
  <c r="P32"/>
  <c r="M46"/>
  <c r="Q46"/>
  <c r="M48"/>
  <c r="Q48"/>
  <c r="M51"/>
  <c r="R51"/>
  <c r="R84"/>
  <c r="Q84"/>
  <c r="O84"/>
  <c r="P84"/>
  <c r="O13"/>
  <c r="R13"/>
  <c r="S13"/>
  <c r="Q13"/>
  <c r="P13"/>
  <c r="Q15"/>
  <c r="R15"/>
  <c r="P15"/>
  <c r="M45"/>
  <c r="Q45"/>
  <c r="M47"/>
  <c r="Q47"/>
  <c r="R50"/>
  <c r="N84"/>
  <c r="N11"/>
  <c r="N15"/>
  <c r="O15"/>
  <c r="N24"/>
  <c r="N25"/>
  <c r="M25"/>
  <c r="N32"/>
  <c r="M32"/>
  <c r="M84"/>
  <c r="L84"/>
  <c r="N12"/>
  <c r="M12"/>
  <c r="M11"/>
  <c r="N13"/>
  <c r="M13"/>
  <c r="M15"/>
  <c r="M24"/>
  <c r="N29"/>
  <c r="M29"/>
  <c r="L13"/>
  <c r="K13"/>
  <c r="L29"/>
  <c r="K29"/>
  <c r="J29"/>
  <c r="L12"/>
  <c r="K12"/>
  <c r="L32"/>
  <c r="K32"/>
  <c r="J32"/>
  <c r="K84"/>
  <c r="J84"/>
  <c r="K11"/>
  <c r="L11"/>
  <c r="J11"/>
  <c r="K15"/>
  <c r="L15"/>
  <c r="J15"/>
  <c r="L39"/>
  <c r="K39"/>
  <c r="I13"/>
  <c r="J13"/>
  <c r="H18"/>
  <c r="H26"/>
  <c r="I12"/>
  <c r="J12"/>
  <c r="H14"/>
  <c r="H17"/>
  <c r="H21"/>
  <c r="H25"/>
  <c r="H46"/>
  <c r="H48"/>
  <c r="H66"/>
  <c r="H68"/>
  <c r="H70"/>
  <c r="I84"/>
  <c r="U84" s="1"/>
  <c r="I11"/>
  <c r="U11" s="1"/>
  <c r="I15"/>
  <c r="U15" s="1"/>
  <c r="H24"/>
  <c r="I29"/>
  <c r="U29" s="1"/>
  <c r="J39"/>
  <c r="H45"/>
  <c r="H47"/>
  <c r="H65"/>
  <c r="H67"/>
  <c r="H69"/>
  <c r="H32"/>
  <c r="I32"/>
  <c r="U32" s="1"/>
  <c r="H51"/>
  <c r="H39"/>
  <c r="I39"/>
  <c r="H41"/>
  <c r="U41"/>
  <c r="H50"/>
  <c r="H84"/>
  <c r="H85" s="1"/>
  <c r="H29"/>
  <c r="H49"/>
  <c r="H11"/>
  <c r="H16"/>
  <c r="H13"/>
  <c r="H15"/>
  <c r="F86"/>
  <c r="T86" s="1"/>
  <c r="H43" l="1"/>
  <c r="U12"/>
  <c r="U13"/>
  <c r="U25"/>
  <c r="U50"/>
  <c r="U47"/>
  <c r="U45"/>
  <c r="U51"/>
  <c r="U48"/>
  <c r="U46"/>
  <c r="U39"/>
  <c r="U24"/>
  <c r="H82"/>
  <c r="H34"/>
  <c r="H54"/>
  <c r="S86"/>
  <c r="Q86"/>
  <c r="R86"/>
  <c r="O86"/>
  <c r="O148" s="1"/>
  <c r="P86"/>
  <c r="N86"/>
  <c r="N148" s="1"/>
  <c r="M86"/>
  <c r="L86"/>
  <c r="K86"/>
  <c r="J86"/>
  <c r="J148" s="1"/>
  <c r="I86"/>
  <c r="U82"/>
  <c r="R148"/>
  <c r="M148"/>
  <c r="Q148"/>
  <c r="U85"/>
  <c r="U54"/>
  <c r="K148"/>
  <c r="U34"/>
  <c r="L148"/>
  <c r="P148"/>
  <c r="T148"/>
  <c r="S148"/>
  <c r="U43"/>
  <c r="I148"/>
  <c r="H22"/>
  <c r="H86"/>
  <c r="H87" s="1"/>
  <c r="U86" l="1"/>
  <c r="U22"/>
  <c r="U87"/>
  <c r="H88"/>
  <c r="H90" s="1"/>
  <c r="G148" s="1"/>
  <c r="H148" s="1"/>
  <c r="U88" l="1"/>
  <c r="U148" l="1"/>
  <c r="C157" s="1"/>
  <c r="C153" l="1"/>
</calcChain>
</file>

<file path=xl/sharedStrings.xml><?xml version="1.0" encoding="utf-8"?>
<sst xmlns="http://schemas.openxmlformats.org/spreadsheetml/2006/main" count="443" uniqueCount="307">
  <si>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</si>
  <si>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</si>
  <si>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</si>
  <si>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</si>
  <si>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</si>
  <si>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</si>
  <si>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</si>
  <si>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</si>
  <si>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</si>
  <si>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</si>
  <si>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</si>
  <si>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</si>
  <si>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</si>
  <si>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</si>
  <si>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</si>
  <si>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</si>
  <si>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</si>
  <si>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</si>
  <si>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</si>
  <si>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</si>
  <si>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</si>
  <si>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</si>
  <si>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</si>
  <si>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</si>
  <si>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</si>
  <si>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</si>
  <si>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</si>
  <si>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</si>
  <si>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</si>
  <si>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</si>
  <si>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</si>
  <si>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</si>
  <si>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</si>
  <si>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</si>
  <si>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</si>
  <si>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</si>
  <si>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</si>
  <si>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</si>
  <si>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</si>
  <si>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</si>
  <si>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</si>
  <si>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</si>
  <si>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</si>
  <si>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</si>
  <si>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</si>
  <si>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</si>
  <si>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</si>
  <si>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 xml:space="preserve">Сдвигание снега в дни снегопада 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</si>
  <si>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</si>
  <si>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</si>
  <si>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</si>
  <si>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</si>
  <si>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</si>
  <si>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</si>
  <si>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</si>
  <si>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</si>
  <si>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</si>
  <si>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</si>
  <si>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</si>
  <si>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</si>
  <si>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</si>
  <si>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</si>
  <si>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</si>
  <si>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</si>
  <si>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</si>
  <si>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</si>
  <si>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</si>
  <si>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</si>
  <si>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</si>
  <si>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</si>
  <si>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</si>
  <si>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</si>
  <si>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</si>
  <si>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</si>
  <si>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</si>
  <si>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</si>
  <si>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</si>
  <si>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</si>
  <si>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</si>
  <si>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</si>
  <si>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</si>
  <si>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ТЭР 33-021</t>
  </si>
  <si>
    <t>Смена магнитных пускателей</t>
  </si>
  <si>
    <t>ТЭР 33-025</t>
  </si>
  <si>
    <t>Смена выключателей</t>
  </si>
  <si>
    <t>ТЭР 33-028</t>
  </si>
  <si>
    <t>Смена патронов</t>
  </si>
  <si>
    <t>Замена ламп ДРЛ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</si>
  <si>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</si>
  <si>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</si>
  <si>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</si>
  <si>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</si>
  <si>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</si>
  <si>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</si>
  <si>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</si>
  <si>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</si>
  <si>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</si>
  <si>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</si>
  <si>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</si>
  <si>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</si>
  <si>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</si>
  <si>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</si>
  <si>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</si>
  <si>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</si>
  <si>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</si>
  <si>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</si>
  <si>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</si>
  <si>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</si>
  <si>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</si>
  <si>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</si>
  <si>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</si>
  <si>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</si>
  <si>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</si>
  <si>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водосток</t>
  </si>
  <si>
    <t>Влажная протирка подоконников</t>
  </si>
  <si>
    <t>Влажная протирка шкафов для щитов и слаботочн.устройств</t>
  </si>
  <si>
    <t>Очистка оголовков дымоходов и вентканалов от наледи и снега (по необходимости) зимой</t>
  </si>
  <si>
    <t>6 раз за сезон</t>
  </si>
  <si>
    <t>Очистка от мусора</t>
  </si>
  <si>
    <t>10 шт.</t>
  </si>
  <si>
    <t>Смена ламп накаливания</t>
  </si>
  <si>
    <t>Очистка урн от мусора</t>
  </si>
  <si>
    <t>155 раз в год</t>
  </si>
  <si>
    <t>1 раз в 2 месяца</t>
  </si>
  <si>
    <t>30 раз за сезон</t>
  </si>
  <si>
    <t>35 раз за сезон</t>
  </si>
  <si>
    <t>Очистка внутреннего водостока</t>
  </si>
  <si>
    <t>Дератизация</t>
  </si>
  <si>
    <t>договор</t>
  </si>
  <si>
    <t>Обслуживание прибора тепловой энергии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</si>
  <si>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</si>
  <si>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</si>
  <si>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</si>
  <si>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</si>
  <si>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</si>
  <si>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</si>
  <si>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</si>
  <si>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</si>
  <si>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</si>
  <si>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</si>
  <si>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Ремонт групповых щитков на лестничной клетке без ремонта автоматов</t>
  </si>
  <si>
    <t>место</t>
  </si>
  <si>
    <t>Смена арматуры - вентилей и клапанов обратных муфтовых диаметром до 20 мм</t>
  </si>
  <si>
    <t>1 шт</t>
  </si>
  <si>
    <t>Стоимость (руб.)</t>
  </si>
  <si>
    <t>ТО внутридомового газ.оборудования</t>
  </si>
  <si>
    <t>Дополнительная подборка мусора</t>
  </si>
  <si>
    <t>5 этажей, 5 подъездов</t>
  </si>
  <si>
    <t>калькуляция</t>
  </si>
  <si>
    <t>1шт.</t>
  </si>
  <si>
    <t>Ремонт и регулировка доводчика (со стоимостью доводчика)</t>
  </si>
  <si>
    <t>Выполнение        май</t>
  </si>
  <si>
    <t>Выполне ние     июнь</t>
  </si>
  <si>
    <t>смета</t>
  </si>
  <si>
    <t>1 м</t>
  </si>
  <si>
    <t>10шт</t>
  </si>
  <si>
    <t>Внеплановый осмотр электросетей, армазуры и электрооборудования на лестничных клетках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</si>
  <si>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</si>
  <si>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</si>
  <si>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</si>
  <si>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</si>
  <si>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</si>
  <si>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</si>
  <si>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</si>
  <si>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</si>
  <si>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</si>
  <si>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Устройство хомута диаметром до 50мм</t>
  </si>
  <si>
    <t>100шт</t>
  </si>
  <si>
    <t>Осмотр рулонной кровли</t>
  </si>
  <si>
    <t>тыс.руб.</t>
  </si>
  <si>
    <t>Подключение и отключение сварочного аппарата</t>
  </si>
  <si>
    <t>3м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</si>
  <si>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</si>
  <si>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</si>
  <si>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</si>
  <si>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</si>
  <si>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</si>
  <si>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</si>
  <si>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</si>
  <si>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</si>
  <si>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</si>
  <si>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</si>
  <si>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</si>
  <si>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</si>
  <si>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</si>
  <si>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</si>
  <si>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</si>
  <si>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</si>
  <si>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</si>
  <si>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пр.ТЕР 53-021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</si>
  <si>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</si>
  <si>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</si>
  <si>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</si>
  <si>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</si>
  <si>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</si>
  <si>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</si>
  <si>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</si>
  <si>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</si>
  <si>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</si>
  <si>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</si>
  <si>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</si>
  <si>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</si>
  <si>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>пр.ТЕР 54-041</t>
  </si>
  <si>
    <t>ТЕР 54-041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</si>
  <si>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</si>
  <si>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</si>
  <si>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</si>
  <si>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</si>
  <si>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</si>
  <si>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</si>
  <si>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</si>
  <si>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</si>
  <si>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</si>
  <si>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</si>
  <si>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33-043</t>
  </si>
  <si>
    <t>ТЕР 33-030</t>
  </si>
  <si>
    <t>ТЕР 32-098</t>
  </si>
  <si>
    <t>ТЕР 32-027</t>
  </si>
  <si>
    <t>ТЕР 33-060</t>
  </si>
  <si>
    <t>пр.ТЕР 32-083</t>
  </si>
  <si>
    <t>Смена полиэтиленовых канализационных труб 110×1000 мм</t>
  </si>
  <si>
    <t>счёт</t>
  </si>
  <si>
    <t>Ревизия 110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</si>
  <si>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</si>
  <si>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10 м2</t>
  </si>
  <si>
    <t>ТЕР 17-011</t>
  </si>
  <si>
    <t>Работы автовышки</t>
  </si>
  <si>
    <t>маш-час</t>
  </si>
  <si>
    <t>ТЕР 2-2-1-2-7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</si>
  <si>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</si>
  <si>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</si>
  <si>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трубопроводов на полипропиленовые трубы PN25 диаметром 20мм</t>
  </si>
  <si>
    <t>пр.ТЕР 33-023</t>
  </si>
  <si>
    <t>Смена светодиодных светильников</t>
  </si>
  <si>
    <t>Баланс выполненных работ на 01.01.2017 г. ( -долг за предприятием, +долг за населением)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</si>
  <si>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10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</si>
  <si>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1 полотно</t>
  </si>
  <si>
    <t>пр.ТЕР 20-1-134-3</t>
  </si>
  <si>
    <t>Укрепление притвора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</si>
  <si>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</si>
  <si>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</si>
  <si>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</si>
  <si>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</si>
  <si>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ТЕР 32-088</t>
  </si>
  <si>
    <t xml:space="preserve">Смена внутренних трубопроводов из стальных труб диаметром до 40 мм </t>
  </si>
  <si>
    <t>ТЕР 32-086</t>
  </si>
  <si>
    <t>Смена внутренних трубопроводов из стальных труб диаметром до 25 мм</t>
  </si>
  <si>
    <t>Прочистка засоров канализации</t>
  </si>
  <si>
    <t>пр.ТЕР 32-101</t>
  </si>
  <si>
    <t>ТЕР 32-028</t>
  </si>
  <si>
    <t>Смена арматуры - вентилей и клапанов обратных муфтовых диаметром до 32 мм</t>
  </si>
  <si>
    <t>Смена вентилей диаметром до 32 мм (без учёта материалов)</t>
  </si>
  <si>
    <t>Смена полиэтиленовых канализационных труб 110×2000 мм</t>
  </si>
  <si>
    <r>
      <t>Отвод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90°</t>
    </r>
  </si>
  <si>
    <t>Переход чугун-пластик Ду 50 с манжетой</t>
  </si>
  <si>
    <t>Отвод 110*45°</t>
  </si>
  <si>
    <t>Отвод 110*90°</t>
  </si>
  <si>
    <t>Установка заглушек диаметром трубопроводов до 100 мм</t>
  </si>
  <si>
    <t>заглушка</t>
  </si>
  <si>
    <t>ТЕР 31-012</t>
  </si>
  <si>
    <t>Переход чугун-пластик Ду 110 с манжетой</t>
  </si>
  <si>
    <t>Тройник 100-45°</t>
  </si>
  <si>
    <t>Манжета 100</t>
  </si>
  <si>
    <t>Тройник 100-90°</t>
  </si>
  <si>
    <t>пр.ТЕР 32-082</t>
  </si>
  <si>
    <r>
      <t>Смена полипропиленовых канализационных труб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 xml:space="preserve">2000 мм </t>
    </r>
  </si>
  <si>
    <r>
      <t>Смена полипропиленовых канализационных труб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 xml:space="preserve">1000 мм </t>
    </r>
  </si>
  <si>
    <r>
      <t>Тройник 100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50/90°</t>
    </r>
  </si>
  <si>
    <t>Муфта 110</t>
  </si>
  <si>
    <t>Смена трубопроводов на полипропиленовые трубы PN25 диаметром 25мм</t>
  </si>
  <si>
    <t>ТЕР 33-028</t>
  </si>
  <si>
    <t>Внеплановый осмотр вводных электрических щитков</t>
  </si>
  <si>
    <t>пр.ТЕР 12-006</t>
  </si>
  <si>
    <t>Заделка трещин в кипичных стенах монтажной пеной</t>
  </si>
  <si>
    <t>1 место</t>
  </si>
  <si>
    <t>10 м</t>
  </si>
  <si>
    <t>пр.ТЕР 17-049</t>
  </si>
  <si>
    <t>Демонтаж винипластовых труб, проложенных на скобах, диаметром до 25 мм</t>
  </si>
  <si>
    <t>ТЕР 33-010</t>
  </si>
  <si>
    <t>Демонтаж проводов из труб суммарным сечением до 6 мм2</t>
  </si>
  <si>
    <t>10 м.</t>
  </si>
  <si>
    <t>ТЕР 33-004</t>
  </si>
  <si>
    <t>пр.ТЕР 33-018</t>
  </si>
  <si>
    <t>Демонтаж тепловычислителя на госповерку</t>
  </si>
  <si>
    <t>Прочистка засоров ливневки</t>
  </si>
  <si>
    <t>пр.ТЕР 22-038</t>
  </si>
  <si>
    <t>Простая масляная окраска ранее окрашенных входных металлических дверей (I-V под.)</t>
  </si>
  <si>
    <t>Поверка средств измерений: тепловычислитель СПТ941</t>
  </si>
  <si>
    <t>Смена отдельных участков наружной проводки</t>
  </si>
  <si>
    <t>м</t>
  </si>
  <si>
    <t>ТЕР 33-034</t>
  </si>
  <si>
    <t>Косметический ремонт подъездов (III-V под.)</t>
  </si>
  <si>
    <t>пр.ТЕР 33-027</t>
  </si>
  <si>
    <t>Монтаж тепловычислителя после госповерки</t>
  </si>
  <si>
    <r>
      <t>Патрубок компенсационный ПП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 xml:space="preserve"> 100</t>
    </r>
  </si>
  <si>
    <t>пр.ТЕР 32-027</t>
  </si>
  <si>
    <t>Смена вентилей диаметром до 20 мм (без учёта материалов)</t>
  </si>
  <si>
    <t>пр.ТЕР 32-028</t>
  </si>
  <si>
    <t>Смена сгонов у трубопроводов диаметром до 32 мм</t>
  </si>
  <si>
    <t>1 сгон</t>
  </si>
  <si>
    <t xml:space="preserve">ТЕР 31-010 </t>
  </si>
  <si>
    <t>Смена светодиодных светильников в.о.</t>
  </si>
  <si>
    <t>Смена мелких покрытий из листовой стали в кровлях из рулонных и штучных материалов - желобов, отливов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</si>
  <si>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</si>
  <si>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</si>
  <si>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15 раз за сезон</t>
  </si>
  <si>
    <t>Сверхнормативы по ОДП за 1 полугодие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</si>
</sst>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 wrapText="1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7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1" fillId="8" borderId="7" xfId="0" applyNumberFormat="1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horizontal="center" vertical="center"/>
    </xf>
    <xf numFmtId="0" fontId="1" fillId="8" borderId="3" xfId="0" applyFont="1" applyFill="1" applyBorder="1"/>
    <xf numFmtId="0" fontId="7" fillId="0" borderId="12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/>
    <xf numFmtId="0" fontId="1" fillId="0" borderId="3" xfId="0" applyFont="1" applyFill="1" applyBorder="1" applyAlignment="1">
      <alignment horizontal="left" vertical="center"/>
    </xf>
    <xf numFmtId="2" fontId="1" fillId="12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0" fillId="0" borderId="0" xfId="0" applyFill="1"/>
    <xf numFmtId="0" fontId="8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4" fontId="1" fillId="8" borderId="12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13" borderId="0" xfId="0" applyFill="1"/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61"/>
  <sheetViews>
    <sheetView tabSelected="1" view="pageBreakPreview" topLeftCell="H1" zoomScaleNormal="75" zoomScaleSheetLayoutView="100" workbookViewId="0">
      <pane ySplit="7" topLeftCell="A94" activePane="bottomLeft" state="frozen"/>
      <selection activeCell="B1" sqref="B1"/>
      <selection pane="bottomLeft" activeCell="B158" sqref="B158"/>
    </sheetView>
  </sheetViews>
  <sheetFormatPr defaultRowHeight="12.75"/>
  <cols>
    <col min="1" max="1" width="13.5703125" customWidth="1"/>
    <col min="2" max="2" width="42.85546875" customWidth="1"/>
    <col min="3" max="3" width="9.140625" customWidth="1"/>
    <col min="4" max="4" width="21.28515625" customWidth="1"/>
    <col min="5" max="7" width="10.140625" customWidth="1"/>
    <col min="8" max="8" width="10.42578125" customWidth="1"/>
    <col min="9" max="9" width="10.28515625" customWidth="1"/>
    <col min="10" max="11" width="10.42578125" customWidth="1"/>
    <col min="12" max="12" width="10.5703125" customWidth="1"/>
    <col min="13" max="13" width="10.42578125" customWidth="1"/>
    <col min="14" max="14" width="10.5703125" customWidth="1"/>
    <col min="15" max="15" width="9.85546875" customWidth="1"/>
    <col min="16" max="16" width="10.28515625" customWidth="1"/>
    <col min="17" max="18" width="10.42578125" customWidth="1"/>
    <col min="19" max="19" width="10.5703125" customWidth="1"/>
    <col min="20" max="20" width="10.42578125" customWidth="1"/>
    <col min="21" max="21" width="12.28515625" customWidth="1"/>
  </cols>
  <sheetData>
    <row r="1" spans="1:21" ht="14.25" customHeight="1"/>
    <row r="3" spans="1:21" ht="18">
      <c r="A3" s="130"/>
      <c r="B3" s="164" t="s">
        <v>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29"/>
      <c r="N3" s="29"/>
      <c r="O3" s="29"/>
      <c r="P3" s="29"/>
      <c r="Q3" s="29"/>
      <c r="R3" s="29"/>
      <c r="S3" s="29"/>
      <c r="T3" s="29"/>
      <c r="U3" s="29"/>
    </row>
    <row r="4" spans="1:21" ht="34.5" customHeight="1">
      <c r="A4" s="29"/>
      <c r="B4" s="165" t="s">
        <v>1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29"/>
      <c r="N4" s="29"/>
      <c r="O4" s="29"/>
      <c r="P4" s="29"/>
      <c r="Q4" s="29"/>
      <c r="R4" s="29"/>
      <c r="S4" s="29"/>
      <c r="T4" s="29"/>
      <c r="U4" s="29"/>
    </row>
    <row r="5" spans="1:21" ht="18">
      <c r="A5" s="29"/>
      <c r="B5" s="165" t="s">
        <v>235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29"/>
      <c r="N5" s="29"/>
      <c r="O5" s="29"/>
      <c r="P5" s="29"/>
      <c r="Q5" s="29"/>
      <c r="R5" s="29"/>
      <c r="S5" s="29"/>
      <c r="T5" s="29"/>
      <c r="U5" s="29"/>
    </row>
    <row r="6" spans="1:21" ht="14.25">
      <c r="A6" s="29"/>
      <c r="B6" s="166" t="s">
        <v>147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29"/>
      <c r="N6" s="29"/>
      <c r="O6" s="29"/>
      <c r="P6" s="29"/>
      <c r="Q6" s="29"/>
      <c r="R6" s="29"/>
      <c r="S6" s="29"/>
      <c r="T6" s="29"/>
      <c r="U6" s="29"/>
    </row>
    <row r="7" spans="1:21" ht="54" customHeight="1">
      <c r="A7" s="137" t="s">
        <v>2</v>
      </c>
      <c r="B7" s="138" t="s">
        <v>3</v>
      </c>
      <c r="C7" s="138" t="s">
        <v>4</v>
      </c>
      <c r="D7" s="138" t="s">
        <v>5</v>
      </c>
      <c r="E7" s="138" t="s">
        <v>6</v>
      </c>
      <c r="F7" s="138" t="s">
        <v>7</v>
      </c>
      <c r="G7" s="138" t="s">
        <v>8</v>
      </c>
      <c r="H7" s="139" t="s">
        <v>9</v>
      </c>
      <c r="I7" s="24" t="s">
        <v>130</v>
      </c>
      <c r="J7" s="24" t="s">
        <v>131</v>
      </c>
      <c r="K7" s="24" t="s">
        <v>132</v>
      </c>
      <c r="L7" s="24" t="s">
        <v>133</v>
      </c>
      <c r="M7" s="24" t="s">
        <v>151</v>
      </c>
      <c r="N7" s="24" t="s">
        <v>152</v>
      </c>
      <c r="O7" s="24" t="s">
        <v>134</v>
      </c>
      <c r="P7" s="24" t="s">
        <v>135</v>
      </c>
      <c r="Q7" s="24" t="s">
        <v>136</v>
      </c>
      <c r="R7" s="24" t="s">
        <v>137</v>
      </c>
      <c r="S7" s="24" t="s">
        <v>138</v>
      </c>
      <c r="T7" s="24" t="s">
        <v>139</v>
      </c>
      <c r="U7" s="24" t="s">
        <v>144</v>
      </c>
    </row>
    <row r="8" spans="1:21">
      <c r="A8" s="140">
        <v>1</v>
      </c>
      <c r="B8" s="8">
        <v>2</v>
      </c>
      <c r="C8" s="25">
        <v>3</v>
      </c>
      <c r="D8" s="8">
        <v>4</v>
      </c>
      <c r="E8" s="8">
        <v>5</v>
      </c>
      <c r="F8" s="25">
        <v>6</v>
      </c>
      <c r="G8" s="25">
        <v>7</v>
      </c>
      <c r="H8" s="26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7">
        <v>21</v>
      </c>
    </row>
    <row r="9" spans="1:21" ht="38.25">
      <c r="A9" s="140"/>
      <c r="B9" s="10" t="s">
        <v>10</v>
      </c>
      <c r="C9" s="25"/>
      <c r="D9" s="11"/>
      <c r="E9" s="11"/>
      <c r="F9" s="25"/>
      <c r="G9" s="25"/>
      <c r="H9" s="30"/>
      <c r="I9" s="31"/>
      <c r="J9" s="31"/>
      <c r="K9" s="31"/>
      <c r="L9" s="31"/>
      <c r="M9" s="119"/>
      <c r="N9" s="121"/>
      <c r="O9" s="121"/>
      <c r="P9" s="121"/>
      <c r="Q9" s="121"/>
      <c r="R9" s="121"/>
      <c r="S9" s="121"/>
      <c r="T9" s="121"/>
      <c r="U9" s="121"/>
    </row>
    <row r="10" spans="1:21">
      <c r="A10" s="140"/>
      <c r="B10" s="10" t="s">
        <v>11</v>
      </c>
      <c r="C10" s="25"/>
      <c r="D10" s="11"/>
      <c r="E10" s="11"/>
      <c r="F10" s="25"/>
      <c r="G10" s="25"/>
      <c r="H10" s="30"/>
      <c r="I10" s="31"/>
      <c r="J10" s="31"/>
      <c r="K10" s="31"/>
      <c r="L10" s="31"/>
      <c r="M10" s="119"/>
      <c r="N10" s="121"/>
      <c r="O10" s="121"/>
      <c r="P10" s="121"/>
      <c r="Q10" s="121"/>
      <c r="R10" s="121"/>
      <c r="S10" s="121"/>
      <c r="T10" s="121"/>
      <c r="U10" s="121"/>
    </row>
    <row r="11" spans="1:21" ht="25.5">
      <c r="A11" s="140" t="s">
        <v>172</v>
      </c>
      <c r="B11" s="11" t="s">
        <v>12</v>
      </c>
      <c r="C11" s="25" t="s">
        <v>13</v>
      </c>
      <c r="D11" s="11" t="s">
        <v>14</v>
      </c>
      <c r="E11" s="32">
        <v>176.24</v>
      </c>
      <c r="F11" s="33">
        <f>SUM(E11*156/100)</f>
        <v>274.93440000000004</v>
      </c>
      <c r="G11" s="33">
        <v>187.48</v>
      </c>
      <c r="H11" s="34">
        <f t="shared" ref="H11:H21" si="0">SUM(F11*G11/1000)</f>
        <v>51.544701312000008</v>
      </c>
      <c r="I11" s="28">
        <f>F11/12*G11</f>
        <v>4295.3917760000004</v>
      </c>
      <c r="J11" s="28">
        <f>F11/12*G11</f>
        <v>4295.3917760000004</v>
      </c>
      <c r="K11" s="28">
        <f>F11/12*G11</f>
        <v>4295.3917760000004</v>
      </c>
      <c r="L11" s="28">
        <f>F11/12*G11</f>
        <v>4295.3917760000004</v>
      </c>
      <c r="M11" s="28">
        <f>F11/12*G11</f>
        <v>4295.3917760000004</v>
      </c>
      <c r="N11" s="28">
        <f>F11/12*G11</f>
        <v>4295.3917760000004</v>
      </c>
      <c r="O11" s="28">
        <f>F11/12*G11</f>
        <v>4295.3917760000004</v>
      </c>
      <c r="P11" s="28">
        <f>F11/12*G11</f>
        <v>4295.3917760000004</v>
      </c>
      <c r="Q11" s="28">
        <f>F11/12*G11</f>
        <v>4295.3917760000004</v>
      </c>
      <c r="R11" s="28">
        <f>F11/12*G11</f>
        <v>4295.3917760000004</v>
      </c>
      <c r="S11" s="28">
        <f>F11/12*G11</f>
        <v>4295.3917760000004</v>
      </c>
      <c r="T11" s="28">
        <f>F11/12*G11</f>
        <v>4295.3917760000004</v>
      </c>
      <c r="U11" s="28">
        <f>SUM(I11:T11)</f>
        <v>51544.701312000019</v>
      </c>
    </row>
    <row r="12" spans="1:21" ht="25.5">
      <c r="A12" s="140" t="s">
        <v>172</v>
      </c>
      <c r="B12" s="11" t="s">
        <v>15</v>
      </c>
      <c r="C12" s="25" t="s">
        <v>13</v>
      </c>
      <c r="D12" s="11" t="s">
        <v>16</v>
      </c>
      <c r="E12" s="32">
        <v>704.96</v>
      </c>
      <c r="F12" s="33">
        <f>SUM(E12*104/100)</f>
        <v>733.15839999999992</v>
      </c>
      <c r="G12" s="33">
        <v>187.48</v>
      </c>
      <c r="H12" s="34">
        <v>137.453</v>
      </c>
      <c r="I12" s="28">
        <f>F12/12*G12</f>
        <v>11454.378069333332</v>
      </c>
      <c r="J12" s="28">
        <f>F12/12*G12</f>
        <v>11454.378069333332</v>
      </c>
      <c r="K12" s="28">
        <f t="shared" ref="K12:K13" si="1">F12/12*G12</f>
        <v>11454.378069333332</v>
      </c>
      <c r="L12" s="28">
        <f t="shared" ref="L12:L13" si="2">F12/12*G12</f>
        <v>11454.378069333332</v>
      </c>
      <c r="M12" s="28">
        <f t="shared" ref="M12:M13" si="3">F12/12*G12</f>
        <v>11454.378069333332</v>
      </c>
      <c r="N12" s="28">
        <f t="shared" ref="N12:N13" si="4">F12/12*G12</f>
        <v>11454.378069333332</v>
      </c>
      <c r="O12" s="28">
        <f t="shared" ref="O12:O13" si="5">F12/12*G12</f>
        <v>11454.378069333332</v>
      </c>
      <c r="P12" s="28">
        <f t="shared" ref="P12:P15" si="6">F12/12*G12</f>
        <v>11454.378069333332</v>
      </c>
      <c r="Q12" s="28">
        <f t="shared" ref="Q12:Q13" si="7">F12/12*G12</f>
        <v>11454.378069333332</v>
      </c>
      <c r="R12" s="28">
        <f t="shared" ref="R12:R13" si="8">F12/12*G12</f>
        <v>11454.378069333332</v>
      </c>
      <c r="S12" s="28">
        <f t="shared" ref="S12:S13" si="9">F12/12*G12</f>
        <v>11454.378069333332</v>
      </c>
      <c r="T12" s="28">
        <f t="shared" ref="T12:T13" si="10">F12/12*G12</f>
        <v>11454.378069333332</v>
      </c>
      <c r="U12" s="28">
        <f t="shared" ref="U12:U21" si="11">SUM(I12:T12)</f>
        <v>137452.53683199995</v>
      </c>
    </row>
    <row r="13" spans="1:21" ht="25.5">
      <c r="A13" s="140" t="s">
        <v>173</v>
      </c>
      <c r="B13" s="11" t="s">
        <v>17</v>
      </c>
      <c r="C13" s="25" t="s">
        <v>13</v>
      </c>
      <c r="D13" s="11" t="s">
        <v>18</v>
      </c>
      <c r="E13" s="32">
        <f>SUM(E11+E12)</f>
        <v>881.2</v>
      </c>
      <c r="F13" s="33">
        <f>SUM(E13*24/100)</f>
        <v>211.48800000000003</v>
      </c>
      <c r="G13" s="33">
        <v>539.30999999999995</v>
      </c>
      <c r="H13" s="34">
        <f t="shared" si="0"/>
        <v>114.05759328000001</v>
      </c>
      <c r="I13" s="28">
        <f>F13/12*G13</f>
        <v>9504.7994400000007</v>
      </c>
      <c r="J13" s="28">
        <f>F13/12*G13</f>
        <v>9504.7994400000007</v>
      </c>
      <c r="K13" s="28">
        <f t="shared" si="1"/>
        <v>9504.7994400000007</v>
      </c>
      <c r="L13" s="28">
        <f t="shared" si="2"/>
        <v>9504.7994400000007</v>
      </c>
      <c r="M13" s="28">
        <f t="shared" si="3"/>
        <v>9504.7994400000007</v>
      </c>
      <c r="N13" s="28">
        <f t="shared" si="4"/>
        <v>9504.7994400000007</v>
      </c>
      <c r="O13" s="28">
        <f t="shared" si="5"/>
        <v>9504.7994400000007</v>
      </c>
      <c r="P13" s="28">
        <f t="shared" si="6"/>
        <v>9504.7994400000007</v>
      </c>
      <c r="Q13" s="28">
        <f t="shared" si="7"/>
        <v>9504.7994400000007</v>
      </c>
      <c r="R13" s="28">
        <f t="shared" si="8"/>
        <v>9504.7994400000007</v>
      </c>
      <c r="S13" s="28">
        <f t="shared" si="9"/>
        <v>9504.7994400000007</v>
      </c>
      <c r="T13" s="28">
        <f t="shared" si="10"/>
        <v>9504.7994400000007</v>
      </c>
      <c r="U13" s="28">
        <f t="shared" si="11"/>
        <v>114057.59328000002</v>
      </c>
    </row>
    <row r="14" spans="1:21">
      <c r="A14" s="140" t="s">
        <v>174</v>
      </c>
      <c r="B14" s="11" t="s">
        <v>19</v>
      </c>
      <c r="C14" s="25" t="s">
        <v>20</v>
      </c>
      <c r="D14" s="11" t="s">
        <v>105</v>
      </c>
      <c r="E14" s="32">
        <v>28.8</v>
      </c>
      <c r="F14" s="33">
        <f>SUM(E14/10)</f>
        <v>2.88</v>
      </c>
      <c r="G14" s="33">
        <v>181.91</v>
      </c>
      <c r="H14" s="34">
        <f t="shared" si="0"/>
        <v>0.52390080000000006</v>
      </c>
      <c r="I14" s="28">
        <v>0</v>
      </c>
      <c r="J14" s="28">
        <v>0</v>
      </c>
      <c r="K14" s="28">
        <v>0</v>
      </c>
      <c r="L14" s="28">
        <v>0</v>
      </c>
      <c r="M14" s="28">
        <f>F14/2*G14</f>
        <v>261.9504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f t="shared" si="11"/>
        <v>261.9504</v>
      </c>
    </row>
    <row r="15" spans="1:21">
      <c r="A15" s="140" t="s">
        <v>175</v>
      </c>
      <c r="B15" s="11" t="s">
        <v>21</v>
      </c>
      <c r="C15" s="25" t="s">
        <v>13</v>
      </c>
      <c r="D15" s="11" t="s">
        <v>106</v>
      </c>
      <c r="E15" s="32">
        <v>17.5</v>
      </c>
      <c r="F15" s="33">
        <f>SUM(E15*12/100)</f>
        <v>2.1</v>
      </c>
      <c r="G15" s="33">
        <v>232.92</v>
      </c>
      <c r="H15" s="34">
        <f t="shared" si="0"/>
        <v>0.48913200000000001</v>
      </c>
      <c r="I15" s="28">
        <f>F15/12*G15</f>
        <v>40.761000000000003</v>
      </c>
      <c r="J15" s="28">
        <f>F15/12*G15</f>
        <v>40.761000000000003</v>
      </c>
      <c r="K15" s="28">
        <f>F15/12*G15</f>
        <v>40.761000000000003</v>
      </c>
      <c r="L15" s="28">
        <f>F15/12*G15</f>
        <v>40.761000000000003</v>
      </c>
      <c r="M15" s="28">
        <f>F15/12*G15</f>
        <v>40.761000000000003</v>
      </c>
      <c r="N15" s="28">
        <f>F15/12*G15</f>
        <v>40.761000000000003</v>
      </c>
      <c r="O15" s="28">
        <f>F15/12*G15</f>
        <v>40.761000000000003</v>
      </c>
      <c r="P15" s="28">
        <f t="shared" si="6"/>
        <v>40.761000000000003</v>
      </c>
      <c r="Q15" s="28">
        <f t="shared" ref="Q15" si="12">F15/12*G15</f>
        <v>40.761000000000003</v>
      </c>
      <c r="R15" s="28">
        <f t="shared" ref="R15" si="13">F15/12*G15</f>
        <v>40.761000000000003</v>
      </c>
      <c r="S15" s="28">
        <f>F15/12*G15</f>
        <v>40.761000000000003</v>
      </c>
      <c r="T15" s="28">
        <f>F15/12*G15</f>
        <v>40.761000000000003</v>
      </c>
      <c r="U15" s="28">
        <f t="shared" si="11"/>
        <v>489.13200000000012</v>
      </c>
    </row>
    <row r="16" spans="1:21">
      <c r="A16" s="140" t="s">
        <v>176</v>
      </c>
      <c r="B16" s="11" t="s">
        <v>22</v>
      </c>
      <c r="C16" s="25" t="s">
        <v>13</v>
      </c>
      <c r="D16" s="11" t="s">
        <v>123</v>
      </c>
      <c r="E16" s="32">
        <v>5.94</v>
      </c>
      <c r="F16" s="33">
        <f>SUM(E16*6/100)</f>
        <v>0.35639999999999999</v>
      </c>
      <c r="G16" s="33">
        <v>231.03</v>
      </c>
      <c r="H16" s="34">
        <f t="shared" si="0"/>
        <v>8.2339091999999989E-2</v>
      </c>
      <c r="I16" s="28">
        <f>F16/6*G16</f>
        <v>13.723182</v>
      </c>
      <c r="J16" s="28">
        <v>0</v>
      </c>
      <c r="K16" s="28">
        <f>F16/6*G16</f>
        <v>13.723182</v>
      </c>
      <c r="L16" s="28">
        <v>0</v>
      </c>
      <c r="M16" s="28">
        <f>F16/6*G16</f>
        <v>13.723182</v>
      </c>
      <c r="N16" s="28">
        <v>0</v>
      </c>
      <c r="O16" s="28">
        <f>F16/6*G16</f>
        <v>13.723182</v>
      </c>
      <c r="P16" s="28">
        <v>0</v>
      </c>
      <c r="Q16" s="28">
        <f>F16/6*G16</f>
        <v>13.723182</v>
      </c>
      <c r="R16" s="28">
        <v>0</v>
      </c>
      <c r="S16" s="28">
        <f>F16/6*G16</f>
        <v>13.723182</v>
      </c>
      <c r="T16" s="28">
        <v>0</v>
      </c>
      <c r="U16" s="28">
        <f t="shared" si="11"/>
        <v>82.339091999999994</v>
      </c>
    </row>
    <row r="17" spans="1:21">
      <c r="A17" s="140" t="s">
        <v>177</v>
      </c>
      <c r="B17" s="11" t="s">
        <v>23</v>
      </c>
      <c r="C17" s="25" t="s">
        <v>24</v>
      </c>
      <c r="D17" s="11" t="s">
        <v>105</v>
      </c>
      <c r="E17" s="32">
        <v>376</v>
      </c>
      <c r="F17" s="33">
        <f>SUM(E17/100)</f>
        <v>3.76</v>
      </c>
      <c r="G17" s="33">
        <v>287.83999999999997</v>
      </c>
      <c r="H17" s="34">
        <f t="shared" si="0"/>
        <v>1.0822783999999999</v>
      </c>
      <c r="I17" s="28">
        <v>0</v>
      </c>
      <c r="J17" s="28">
        <v>0</v>
      </c>
      <c r="K17" s="28">
        <v>0</v>
      </c>
      <c r="L17" s="28">
        <v>0</v>
      </c>
      <c r="M17" s="28">
        <f t="shared" ref="M17:M21" si="14">F17*G17</f>
        <v>1082.2783999999999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f t="shared" si="11"/>
        <v>1082.2783999999999</v>
      </c>
    </row>
    <row r="18" spans="1:21">
      <c r="A18" s="140" t="s">
        <v>178</v>
      </c>
      <c r="B18" s="11" t="s">
        <v>25</v>
      </c>
      <c r="C18" s="25" t="s">
        <v>24</v>
      </c>
      <c r="D18" s="11" t="s">
        <v>105</v>
      </c>
      <c r="E18" s="35">
        <v>60.4</v>
      </c>
      <c r="F18" s="33">
        <f>SUM(E18/100)</f>
        <v>0.60399999999999998</v>
      </c>
      <c r="G18" s="33">
        <v>47.34</v>
      </c>
      <c r="H18" s="34">
        <f t="shared" si="0"/>
        <v>2.8593360000000002E-2</v>
      </c>
      <c r="I18" s="28">
        <v>0</v>
      </c>
      <c r="J18" s="28">
        <v>0</v>
      </c>
      <c r="K18" s="28">
        <v>0</v>
      </c>
      <c r="L18" s="28">
        <v>0</v>
      </c>
      <c r="M18" s="28">
        <f t="shared" si="14"/>
        <v>28.593360000000001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f t="shared" si="11"/>
        <v>28.593360000000001</v>
      </c>
    </row>
    <row r="19" spans="1:21">
      <c r="A19" s="140" t="s">
        <v>179</v>
      </c>
      <c r="B19" s="11" t="s">
        <v>114</v>
      </c>
      <c r="C19" s="25" t="s">
        <v>24</v>
      </c>
      <c r="D19" s="11" t="s">
        <v>33</v>
      </c>
      <c r="E19" s="36">
        <v>25</v>
      </c>
      <c r="F19" s="37">
        <f>E19/100</f>
        <v>0.25</v>
      </c>
      <c r="G19" s="33">
        <v>416.62</v>
      </c>
      <c r="H19" s="34">
        <f>F19*G19/1000</f>
        <v>0.104155</v>
      </c>
      <c r="I19" s="28">
        <v>0</v>
      </c>
      <c r="J19" s="28">
        <v>0</v>
      </c>
      <c r="K19" s="28">
        <v>0</v>
      </c>
      <c r="L19" s="28">
        <v>0</v>
      </c>
      <c r="M19" s="28">
        <f t="shared" si="14"/>
        <v>104.155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f t="shared" si="11"/>
        <v>104.155</v>
      </c>
    </row>
    <row r="20" spans="1:21" ht="25.5">
      <c r="A20" s="140" t="s">
        <v>180</v>
      </c>
      <c r="B20" s="11" t="s">
        <v>115</v>
      </c>
      <c r="C20" s="25" t="s">
        <v>24</v>
      </c>
      <c r="D20" s="11" t="s">
        <v>105</v>
      </c>
      <c r="E20" s="35">
        <v>23.75</v>
      </c>
      <c r="F20" s="33">
        <f>E20/100</f>
        <v>0.23749999999999999</v>
      </c>
      <c r="G20" s="33">
        <v>231.03</v>
      </c>
      <c r="H20" s="34">
        <f>F20*G20/1000</f>
        <v>5.4869624999999998E-2</v>
      </c>
      <c r="I20" s="28">
        <v>0</v>
      </c>
      <c r="J20" s="28">
        <v>0</v>
      </c>
      <c r="K20" s="28">
        <v>0</v>
      </c>
      <c r="L20" s="28">
        <v>0</v>
      </c>
      <c r="M20" s="28">
        <f t="shared" si="14"/>
        <v>54.869624999999999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f t="shared" si="11"/>
        <v>54.869624999999999</v>
      </c>
    </row>
    <row r="21" spans="1:21">
      <c r="A21" s="140" t="s">
        <v>181</v>
      </c>
      <c r="B21" s="11" t="s">
        <v>26</v>
      </c>
      <c r="C21" s="25" t="s">
        <v>24</v>
      </c>
      <c r="D21" s="11" t="s">
        <v>105</v>
      </c>
      <c r="E21" s="32">
        <v>10.63</v>
      </c>
      <c r="F21" s="33">
        <f>SUM(E21/100)</f>
        <v>0.10630000000000001</v>
      </c>
      <c r="G21" s="33">
        <v>556.74</v>
      </c>
      <c r="H21" s="34">
        <f t="shared" si="0"/>
        <v>5.9181462000000004E-2</v>
      </c>
      <c r="I21" s="28">
        <v>0</v>
      </c>
      <c r="J21" s="28">
        <v>0</v>
      </c>
      <c r="K21" s="28">
        <v>0</v>
      </c>
      <c r="L21" s="28">
        <v>0</v>
      </c>
      <c r="M21" s="28">
        <f t="shared" si="14"/>
        <v>59.181462000000003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f t="shared" si="11"/>
        <v>59.181462000000003</v>
      </c>
    </row>
    <row r="22" spans="1:21" s="19" customFormat="1">
      <c r="A22" s="141"/>
      <c r="B22" s="20" t="s">
        <v>27</v>
      </c>
      <c r="C22" s="38"/>
      <c r="D22" s="20"/>
      <c r="E22" s="39"/>
      <c r="F22" s="40"/>
      <c r="G22" s="40"/>
      <c r="H22" s="41">
        <f>SUM(H11:H21)</f>
        <v>305.47974433099995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>
        <f>SUM(U11:U21)</f>
        <v>305217.33076299995</v>
      </c>
    </row>
    <row r="23" spans="1:21">
      <c r="A23" s="140"/>
      <c r="B23" s="12" t="s">
        <v>28</v>
      </c>
      <c r="C23" s="25"/>
      <c r="D23" s="11"/>
      <c r="E23" s="32"/>
      <c r="F23" s="33"/>
      <c r="G23" s="33"/>
      <c r="H23" s="34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spans="1:21" ht="25.5" customHeight="1">
      <c r="A24" s="140" t="s">
        <v>182</v>
      </c>
      <c r="B24" s="11" t="s">
        <v>157</v>
      </c>
      <c r="C24" s="25" t="s">
        <v>30</v>
      </c>
      <c r="D24" s="11" t="s">
        <v>29</v>
      </c>
      <c r="E24" s="33">
        <v>357.22</v>
      </c>
      <c r="F24" s="33">
        <f>SUM(E24*52/1000)</f>
        <v>18.575440000000004</v>
      </c>
      <c r="G24" s="33">
        <v>166.65</v>
      </c>
      <c r="H24" s="34">
        <f t="shared" ref="H24:H32" si="15">SUM(F24*G24/1000)</f>
        <v>3.0955970760000011</v>
      </c>
      <c r="I24" s="28">
        <v>0</v>
      </c>
      <c r="J24" s="28">
        <v>0</v>
      </c>
      <c r="K24" s="28">
        <v>0</v>
      </c>
      <c r="L24" s="28">
        <v>0</v>
      </c>
      <c r="M24" s="28">
        <f>F24/6*G24</f>
        <v>515.93284600000015</v>
      </c>
      <c r="N24" s="28">
        <f>F24/6*G24</f>
        <v>515.93284600000015</v>
      </c>
      <c r="O24" s="28">
        <f>F24/6*G24</f>
        <v>515.93284600000015</v>
      </c>
      <c r="P24" s="28">
        <f>F24/6*G24</f>
        <v>515.93284600000015</v>
      </c>
      <c r="Q24" s="28">
        <f>F24/6*G24</f>
        <v>515.93284600000015</v>
      </c>
      <c r="R24" s="28">
        <f>F24/6*G24</f>
        <v>515.93284600000015</v>
      </c>
      <c r="S24" s="28">
        <v>0</v>
      </c>
      <c r="T24" s="28">
        <v>0</v>
      </c>
      <c r="U24" s="28">
        <f t="shared" ref="U24:U33" si="16">SUM(I24:T24)</f>
        <v>3095.5970760000009</v>
      </c>
    </row>
    <row r="25" spans="1:21" ht="38.25" customHeight="1">
      <c r="A25" s="140" t="s">
        <v>183</v>
      </c>
      <c r="B25" s="11" t="s">
        <v>158</v>
      </c>
      <c r="C25" s="25" t="s">
        <v>30</v>
      </c>
      <c r="D25" s="11" t="s">
        <v>31</v>
      </c>
      <c r="E25" s="33">
        <v>475.06</v>
      </c>
      <c r="F25" s="33">
        <f>SUM(E25*78/1000)</f>
        <v>37.054679999999998</v>
      </c>
      <c r="G25" s="33">
        <v>276.48</v>
      </c>
      <c r="H25" s="34">
        <f t="shared" si="15"/>
        <v>10.244877926400001</v>
      </c>
      <c r="I25" s="28">
        <v>0</v>
      </c>
      <c r="J25" s="28">
        <v>0</v>
      </c>
      <c r="K25" s="28">
        <v>0</v>
      </c>
      <c r="L25" s="28">
        <v>0</v>
      </c>
      <c r="M25" s="28">
        <f>F25/6*G25</f>
        <v>1707.4796544000001</v>
      </c>
      <c r="N25" s="28">
        <f t="shared" ref="N25:N28" si="17">F25/6*G25</f>
        <v>1707.4796544000001</v>
      </c>
      <c r="O25" s="28">
        <f t="shared" ref="O25:O28" si="18">F25/6*G25</f>
        <v>1707.4796544000001</v>
      </c>
      <c r="P25" s="28">
        <f t="shared" ref="P25:P28" si="19">F25/6*G25</f>
        <v>1707.4796544000001</v>
      </c>
      <c r="Q25" s="28">
        <f t="shared" ref="Q25:Q28" si="20">F25/6*G25</f>
        <v>1707.4796544000001</v>
      </c>
      <c r="R25" s="28">
        <f t="shared" ref="R25:R28" si="21">F25/6*G25</f>
        <v>1707.4796544000001</v>
      </c>
      <c r="S25" s="28">
        <v>0</v>
      </c>
      <c r="T25" s="28">
        <v>0</v>
      </c>
      <c r="U25" s="28">
        <f t="shared" si="16"/>
        <v>10244.8779264</v>
      </c>
    </row>
    <row r="26" spans="1:21">
      <c r="A26" s="140" t="s">
        <v>184</v>
      </c>
      <c r="B26" s="11" t="s">
        <v>32</v>
      </c>
      <c r="C26" s="25" t="s">
        <v>30</v>
      </c>
      <c r="D26" s="11" t="s">
        <v>33</v>
      </c>
      <c r="E26" s="33">
        <v>357.22</v>
      </c>
      <c r="F26" s="33">
        <f>SUM(E26/1000)</f>
        <v>0.35722000000000004</v>
      </c>
      <c r="G26" s="33">
        <v>3228.73</v>
      </c>
      <c r="H26" s="34">
        <f t="shared" si="15"/>
        <v>1.1533669306000001</v>
      </c>
      <c r="I26" s="28">
        <v>0</v>
      </c>
      <c r="J26" s="28">
        <v>0</v>
      </c>
      <c r="K26" s="28">
        <v>0</v>
      </c>
      <c r="L26" s="28">
        <v>0</v>
      </c>
      <c r="M26" s="28">
        <f>F26*G26</f>
        <v>1153.3669306000002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f t="shared" si="16"/>
        <v>1153.3669306000002</v>
      </c>
    </row>
    <row r="27" spans="1:21">
      <c r="A27" s="140" t="s">
        <v>185</v>
      </c>
      <c r="B27" s="11" t="s">
        <v>121</v>
      </c>
      <c r="C27" s="25" t="s">
        <v>61</v>
      </c>
      <c r="D27" s="11" t="s">
        <v>122</v>
      </c>
      <c r="E27" s="33">
        <v>5</v>
      </c>
      <c r="F27" s="33">
        <f>E27*155/100</f>
        <v>7.75</v>
      </c>
      <c r="G27" s="33">
        <v>1391.86</v>
      </c>
      <c r="H27" s="34">
        <f>G27*F27/1000</f>
        <v>10.786914999999999</v>
      </c>
      <c r="I27" s="28">
        <v>0</v>
      </c>
      <c r="J27" s="28">
        <v>0</v>
      </c>
      <c r="K27" s="28">
        <v>0</v>
      </c>
      <c r="L27" s="28">
        <v>0</v>
      </c>
      <c r="M27" s="28">
        <f>F27/6*G27</f>
        <v>1797.8191666666667</v>
      </c>
      <c r="N27" s="28">
        <f t="shared" si="17"/>
        <v>1797.8191666666667</v>
      </c>
      <c r="O27" s="28">
        <f t="shared" si="18"/>
        <v>1797.8191666666667</v>
      </c>
      <c r="P27" s="28">
        <f t="shared" si="19"/>
        <v>1797.8191666666667</v>
      </c>
      <c r="Q27" s="28">
        <f t="shared" si="20"/>
        <v>1797.8191666666667</v>
      </c>
      <c r="R27" s="28">
        <f t="shared" si="21"/>
        <v>1797.8191666666667</v>
      </c>
      <c r="S27" s="28">
        <v>0</v>
      </c>
      <c r="T27" s="28">
        <v>0</v>
      </c>
      <c r="U27" s="28">
        <f t="shared" si="16"/>
        <v>10786.914999999999</v>
      </c>
    </row>
    <row r="28" spans="1:21">
      <c r="A28" s="140" t="s">
        <v>186</v>
      </c>
      <c r="B28" s="11" t="s">
        <v>34</v>
      </c>
      <c r="C28" s="25" t="s">
        <v>35</v>
      </c>
      <c r="D28" s="11" t="s">
        <v>36</v>
      </c>
      <c r="E28" s="43">
        <v>0.33333333333333331</v>
      </c>
      <c r="F28" s="33">
        <f>155/3</f>
        <v>51.666666666666664</v>
      </c>
      <c r="G28" s="33">
        <v>60.6</v>
      </c>
      <c r="H28" s="34">
        <f>SUM(G28*155/3/1000)</f>
        <v>3.1309999999999998</v>
      </c>
      <c r="I28" s="28">
        <v>0</v>
      </c>
      <c r="J28" s="28">
        <v>0</v>
      </c>
      <c r="K28" s="28">
        <v>0</v>
      </c>
      <c r="L28" s="28">
        <v>0</v>
      </c>
      <c r="M28" s="28">
        <f>F28/6*G28</f>
        <v>521.83333333333337</v>
      </c>
      <c r="N28" s="28">
        <f t="shared" si="17"/>
        <v>521.83333333333337</v>
      </c>
      <c r="O28" s="28">
        <f t="shared" si="18"/>
        <v>521.83333333333337</v>
      </c>
      <c r="P28" s="28">
        <f t="shared" si="19"/>
        <v>521.83333333333337</v>
      </c>
      <c r="Q28" s="28">
        <f t="shared" si="20"/>
        <v>521.83333333333337</v>
      </c>
      <c r="R28" s="28">
        <f t="shared" si="21"/>
        <v>521.83333333333337</v>
      </c>
      <c r="S28" s="28">
        <v>0</v>
      </c>
      <c r="T28" s="28">
        <v>0</v>
      </c>
      <c r="U28" s="28">
        <f t="shared" si="16"/>
        <v>3131.0000000000005</v>
      </c>
    </row>
    <row r="29" spans="1:21" ht="12.75" customHeight="1">
      <c r="A29" s="140" t="s">
        <v>187</v>
      </c>
      <c r="B29" s="11" t="s">
        <v>37</v>
      </c>
      <c r="C29" s="25" t="s">
        <v>38</v>
      </c>
      <c r="D29" s="11" t="s">
        <v>39</v>
      </c>
      <c r="E29" s="44">
        <v>0.1</v>
      </c>
      <c r="F29" s="33">
        <f>SUM(E29*365)</f>
        <v>36.5</v>
      </c>
      <c r="G29" s="33">
        <v>157.18</v>
      </c>
      <c r="H29" s="34">
        <f t="shared" si="15"/>
        <v>5.737070000000001</v>
      </c>
      <c r="I29" s="28">
        <f>F29/12*G29</f>
        <v>478.08916666666664</v>
      </c>
      <c r="J29" s="28">
        <f>F29/12*G29</f>
        <v>478.08916666666664</v>
      </c>
      <c r="K29" s="28">
        <f>F29/12*G29</f>
        <v>478.08916666666664</v>
      </c>
      <c r="L29" s="28">
        <f>F29/12*G29</f>
        <v>478.08916666666664</v>
      </c>
      <c r="M29" s="28">
        <f>F29/12*G29</f>
        <v>478.08916666666664</v>
      </c>
      <c r="N29" s="28">
        <f>F29/12*G29</f>
        <v>478.08916666666664</v>
      </c>
      <c r="O29" s="28">
        <f>F29/12*G29</f>
        <v>478.08916666666664</v>
      </c>
      <c r="P29" s="28">
        <f>F29/12*G29</f>
        <v>478.08916666666664</v>
      </c>
      <c r="Q29" s="28">
        <f>F29/12*G29</f>
        <v>478.08916666666664</v>
      </c>
      <c r="R29" s="28">
        <f>F29/12*G29</f>
        <v>478.08916666666664</v>
      </c>
      <c r="S29" s="28">
        <f>F29/12*G29</f>
        <v>478.08916666666664</v>
      </c>
      <c r="T29" s="28">
        <f>F29/12*G29</f>
        <v>478.08916666666664</v>
      </c>
      <c r="U29" s="28">
        <f t="shared" si="16"/>
        <v>5737.07</v>
      </c>
    </row>
    <row r="30" spans="1:21" ht="12.75" customHeight="1">
      <c r="A30" s="140" t="s">
        <v>188</v>
      </c>
      <c r="B30" s="11" t="s">
        <v>159</v>
      </c>
      <c r="C30" s="25" t="s">
        <v>38</v>
      </c>
      <c r="D30" s="11" t="s">
        <v>40</v>
      </c>
      <c r="E30" s="32"/>
      <c r="F30" s="33">
        <v>3</v>
      </c>
      <c r="G30" s="33">
        <v>204.52</v>
      </c>
      <c r="H30" s="34">
        <f t="shared" si="15"/>
        <v>0.61356000000000011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f t="shared" si="16"/>
        <v>0</v>
      </c>
    </row>
    <row r="31" spans="1:21" ht="13.5" customHeight="1">
      <c r="A31" s="140" t="s">
        <v>148</v>
      </c>
      <c r="B31" s="11" t="s">
        <v>160</v>
      </c>
      <c r="C31" s="25" t="s">
        <v>41</v>
      </c>
      <c r="D31" s="11" t="s">
        <v>40</v>
      </c>
      <c r="E31" s="32"/>
      <c r="F31" s="33">
        <v>2</v>
      </c>
      <c r="G31" s="33">
        <v>1214.74</v>
      </c>
      <c r="H31" s="34">
        <f t="shared" si="15"/>
        <v>2.4294799999999999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f t="shared" si="16"/>
        <v>0</v>
      </c>
    </row>
    <row r="32" spans="1:21">
      <c r="A32" s="140"/>
      <c r="B32" s="45" t="s">
        <v>42</v>
      </c>
      <c r="C32" s="25" t="s">
        <v>43</v>
      </c>
      <c r="D32" s="45" t="s">
        <v>39</v>
      </c>
      <c r="E32" s="32">
        <v>5816.5</v>
      </c>
      <c r="F32" s="33">
        <f>SUM(E32*12)</f>
        <v>69798</v>
      </c>
      <c r="G32" s="33">
        <v>4.72</v>
      </c>
      <c r="H32" s="34">
        <f t="shared" si="15"/>
        <v>329.44655999999998</v>
      </c>
      <c r="I32" s="28">
        <f>F32/12*G32</f>
        <v>27453.879999999997</v>
      </c>
      <c r="J32" s="28">
        <f>F32/12*G32</f>
        <v>27453.879999999997</v>
      </c>
      <c r="K32" s="28">
        <f>F32/12*G32</f>
        <v>27453.879999999997</v>
      </c>
      <c r="L32" s="28">
        <f>F32/12*G32</f>
        <v>27453.879999999997</v>
      </c>
      <c r="M32" s="28">
        <f>F32/12*G32</f>
        <v>27453.879999999997</v>
      </c>
      <c r="N32" s="28">
        <f>F32/12*G32</f>
        <v>27453.879999999997</v>
      </c>
      <c r="O32" s="28">
        <f>F32/12*G32</f>
        <v>27453.879999999997</v>
      </c>
      <c r="P32" s="28">
        <f>F32/12*G32</f>
        <v>27453.879999999997</v>
      </c>
      <c r="Q32" s="28">
        <f t="shared" ref="Q32" si="22">F32/12*G32</f>
        <v>27453.879999999997</v>
      </c>
      <c r="R32" s="28">
        <f t="shared" ref="R32" si="23">F32/12*G32</f>
        <v>27453.879999999997</v>
      </c>
      <c r="S32" s="28">
        <f t="shared" ref="S32" si="24">F32/12*G32</f>
        <v>27453.879999999997</v>
      </c>
      <c r="T32" s="28">
        <f t="shared" ref="T32" si="25">F32/12*G32</f>
        <v>27453.879999999997</v>
      </c>
      <c r="U32" s="28">
        <f t="shared" si="16"/>
        <v>329446.56</v>
      </c>
    </row>
    <row r="33" spans="1:21">
      <c r="A33" s="128" t="s">
        <v>189</v>
      </c>
      <c r="B33" s="129" t="s">
        <v>146</v>
      </c>
      <c r="C33" s="128" t="s">
        <v>48</v>
      </c>
      <c r="D33" s="11"/>
      <c r="E33" s="32">
        <v>360.36</v>
      </c>
      <c r="F33" s="33">
        <f>E33*36/1000</f>
        <v>12.97296</v>
      </c>
      <c r="G33" s="33">
        <v>3228.73</v>
      </c>
      <c r="H33" s="34">
        <f t="shared" ref="H33" si="26">SUM(F33*G33/1000)</f>
        <v>41.886185140800002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f t="shared" si="16"/>
        <v>0</v>
      </c>
    </row>
    <row r="34" spans="1:21" s="19" customFormat="1">
      <c r="A34" s="141"/>
      <c r="B34" s="20" t="s">
        <v>27</v>
      </c>
      <c r="C34" s="38"/>
      <c r="D34" s="20"/>
      <c r="E34" s="39"/>
      <c r="F34" s="40"/>
      <c r="G34" s="40"/>
      <c r="H34" s="46">
        <f>SUM(H24:H32)</f>
        <v>366.63842693300001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>
        <f>SUM(U24:U33)</f>
        <v>363595.386933</v>
      </c>
    </row>
    <row r="35" spans="1:21">
      <c r="A35" s="140"/>
      <c r="B35" s="12" t="s">
        <v>45</v>
      </c>
      <c r="C35" s="25"/>
      <c r="D35" s="11"/>
      <c r="E35" s="32"/>
      <c r="F35" s="33"/>
      <c r="G35" s="33"/>
      <c r="H35" s="34" t="s">
        <v>44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ht="12.75" customHeight="1">
      <c r="A36" s="140" t="s">
        <v>148</v>
      </c>
      <c r="B36" s="13" t="s">
        <v>46</v>
      </c>
      <c r="C36" s="25" t="s">
        <v>41</v>
      </c>
      <c r="D36" s="11"/>
      <c r="E36" s="32"/>
      <c r="F36" s="33">
        <v>10</v>
      </c>
      <c r="G36" s="33">
        <v>1632.6</v>
      </c>
      <c r="H36" s="34">
        <f t="shared" ref="H36:H42" si="27">SUM(F36*G36/1000)</f>
        <v>16.326000000000001</v>
      </c>
      <c r="I36" s="28">
        <f>F36/6*G36</f>
        <v>2721</v>
      </c>
      <c r="J36" s="28">
        <f>F36/6*G36</f>
        <v>2721</v>
      </c>
      <c r="K36" s="28">
        <f>F36/6*G36</f>
        <v>2721</v>
      </c>
      <c r="L36" s="28">
        <f>F36/6*G36</f>
        <v>2721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f>F36/6*G36</f>
        <v>2721</v>
      </c>
      <c r="T36" s="28">
        <f>F36/6*G36</f>
        <v>2721</v>
      </c>
      <c r="U36" s="28">
        <f t="shared" ref="U36:U42" si="28">SUM(I36:T36)</f>
        <v>16326</v>
      </c>
    </row>
    <row r="37" spans="1:21" s="1" customFormat="1">
      <c r="A37" s="142" t="s">
        <v>190</v>
      </c>
      <c r="B37" s="13" t="s">
        <v>47</v>
      </c>
      <c r="C37" s="47" t="s">
        <v>48</v>
      </c>
      <c r="D37" s="13" t="s">
        <v>124</v>
      </c>
      <c r="E37" s="48">
        <v>469.73</v>
      </c>
      <c r="F37" s="48">
        <f>SUM(E37*30/1000)</f>
        <v>14.091900000000001</v>
      </c>
      <c r="G37" s="48">
        <v>2247.8000000000002</v>
      </c>
      <c r="H37" s="34">
        <f t="shared" si="27"/>
        <v>31.675772820000006</v>
      </c>
      <c r="I37" s="49">
        <f>F37/6*G37</f>
        <v>5279.2954700000009</v>
      </c>
      <c r="J37" s="49">
        <f>F37/6*G37</f>
        <v>5279.2954700000009</v>
      </c>
      <c r="K37" s="28">
        <f t="shared" ref="K37:K42" si="29">F37/6*G37</f>
        <v>5279.2954700000009</v>
      </c>
      <c r="L37" s="28">
        <f t="shared" ref="L37:L42" si="30">F37/6*G37</f>
        <v>5279.2954700000009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f t="shared" ref="S37:S42" si="31">F37/6*G37</f>
        <v>5279.2954700000009</v>
      </c>
      <c r="T37" s="28">
        <f t="shared" ref="T37:T42" si="32">F37/6*G37</f>
        <v>5279.2954700000009</v>
      </c>
      <c r="U37" s="28">
        <f t="shared" si="28"/>
        <v>31675.772820000006</v>
      </c>
    </row>
    <row r="38" spans="1:21">
      <c r="A38" s="140" t="s">
        <v>148</v>
      </c>
      <c r="B38" s="11" t="s">
        <v>112</v>
      </c>
      <c r="C38" s="25" t="s">
        <v>68</v>
      </c>
      <c r="D38" s="11" t="s">
        <v>40</v>
      </c>
      <c r="E38" s="32"/>
      <c r="F38" s="48">
        <v>120</v>
      </c>
      <c r="G38" s="33">
        <v>213.2</v>
      </c>
      <c r="H38" s="34">
        <f t="shared" si="27"/>
        <v>25.584</v>
      </c>
      <c r="I38" s="28">
        <v>0</v>
      </c>
      <c r="J38" s="28">
        <v>0</v>
      </c>
      <c r="K38" s="28">
        <v>0</v>
      </c>
      <c r="L38" s="28">
        <f>G38*(39+26)</f>
        <v>13858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f t="shared" si="28"/>
        <v>13858</v>
      </c>
    </row>
    <row r="39" spans="1:21" ht="24.75" customHeight="1">
      <c r="A39" s="140" t="s">
        <v>191</v>
      </c>
      <c r="B39" s="11" t="s">
        <v>161</v>
      </c>
      <c r="C39" s="25" t="s">
        <v>48</v>
      </c>
      <c r="D39" s="11" t="s">
        <v>49</v>
      </c>
      <c r="E39" s="33">
        <v>475.06</v>
      </c>
      <c r="F39" s="48">
        <f>SUM(E39*155/1000)</f>
        <v>73.634299999999996</v>
      </c>
      <c r="G39" s="33">
        <v>374.95</v>
      </c>
      <c r="H39" s="34">
        <f t="shared" si="27"/>
        <v>27.609180784999996</v>
      </c>
      <c r="I39" s="28">
        <f>F39/6*G39</f>
        <v>4601.5301308333328</v>
      </c>
      <c r="J39" s="28">
        <f>F39/6*G39</f>
        <v>4601.5301308333328</v>
      </c>
      <c r="K39" s="28">
        <f t="shared" si="29"/>
        <v>4601.5301308333328</v>
      </c>
      <c r="L39" s="28">
        <f t="shared" si="30"/>
        <v>4601.5301308333328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f t="shared" si="31"/>
        <v>4601.5301308333328</v>
      </c>
      <c r="T39" s="28">
        <f t="shared" si="32"/>
        <v>4601.5301308333328</v>
      </c>
      <c r="U39" s="28">
        <f t="shared" si="28"/>
        <v>27609.180784999997</v>
      </c>
    </row>
    <row r="40" spans="1:21" ht="51" customHeight="1">
      <c r="A40" s="140" t="s">
        <v>192</v>
      </c>
      <c r="B40" s="11" t="s">
        <v>162</v>
      </c>
      <c r="C40" s="25" t="s">
        <v>30</v>
      </c>
      <c r="D40" s="11" t="s">
        <v>125</v>
      </c>
      <c r="E40" s="33">
        <v>40.6</v>
      </c>
      <c r="F40" s="48">
        <f>SUM(E40*35/1000)</f>
        <v>1.421</v>
      </c>
      <c r="G40" s="33">
        <v>6203.7</v>
      </c>
      <c r="H40" s="34">
        <f t="shared" si="27"/>
        <v>8.8154577000000014</v>
      </c>
      <c r="I40" s="28">
        <f>F40/6*G40</f>
        <v>1469.2429500000001</v>
      </c>
      <c r="J40" s="28">
        <f>F40/6*G40</f>
        <v>1469.2429500000001</v>
      </c>
      <c r="K40" s="28">
        <f t="shared" si="29"/>
        <v>1469.2429500000001</v>
      </c>
      <c r="L40" s="28">
        <f t="shared" si="30"/>
        <v>1469.2429500000001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f t="shared" si="31"/>
        <v>1469.2429500000001</v>
      </c>
      <c r="T40" s="28">
        <f t="shared" si="32"/>
        <v>1469.2429500000001</v>
      </c>
      <c r="U40" s="28">
        <f t="shared" si="28"/>
        <v>8815.4577000000008</v>
      </c>
    </row>
    <row r="41" spans="1:21" ht="12.75" customHeight="1">
      <c r="A41" s="140" t="s">
        <v>193</v>
      </c>
      <c r="B41" s="11" t="s">
        <v>163</v>
      </c>
      <c r="C41" s="25" t="s">
        <v>30</v>
      </c>
      <c r="D41" s="11" t="s">
        <v>305</v>
      </c>
      <c r="E41" s="33">
        <v>167.03</v>
      </c>
      <c r="F41" s="48">
        <f>SUM(E41*15/1000)</f>
        <v>2.5054499999999997</v>
      </c>
      <c r="G41" s="33">
        <v>458.28</v>
      </c>
      <c r="H41" s="34">
        <f t="shared" si="27"/>
        <v>1.148197626</v>
      </c>
      <c r="I41" s="28">
        <v>0</v>
      </c>
      <c r="J41" s="28">
        <v>0</v>
      </c>
      <c r="K41" s="28">
        <f>F41/2*G41</f>
        <v>574.09881299999995</v>
      </c>
      <c r="L41" s="28">
        <f>F41/2*G41</f>
        <v>574.09881299999995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f t="shared" si="28"/>
        <v>1148.1976259999999</v>
      </c>
    </row>
    <row r="42" spans="1:21" s="2" customFormat="1">
      <c r="A42" s="142"/>
      <c r="B42" s="13" t="s">
        <v>164</v>
      </c>
      <c r="C42" s="47" t="s">
        <v>38</v>
      </c>
      <c r="D42" s="13"/>
      <c r="E42" s="44"/>
      <c r="F42" s="48">
        <v>1.2</v>
      </c>
      <c r="G42" s="48">
        <v>853.06</v>
      </c>
      <c r="H42" s="34">
        <f t="shared" si="27"/>
        <v>1.0236719999999999</v>
      </c>
      <c r="I42" s="49">
        <f>F42/6*G42</f>
        <v>170.61199999999997</v>
      </c>
      <c r="J42" s="49">
        <f>F42/6*G42</f>
        <v>170.61199999999997</v>
      </c>
      <c r="K42" s="28">
        <f t="shared" si="29"/>
        <v>170.61199999999997</v>
      </c>
      <c r="L42" s="28">
        <f t="shared" si="30"/>
        <v>170.61199999999997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f t="shared" si="31"/>
        <v>170.61199999999997</v>
      </c>
      <c r="T42" s="28">
        <f t="shared" si="32"/>
        <v>170.61199999999997</v>
      </c>
      <c r="U42" s="28">
        <f t="shared" si="28"/>
        <v>1023.6719999999998</v>
      </c>
    </row>
    <row r="43" spans="1:21" s="19" customFormat="1">
      <c r="A43" s="141"/>
      <c r="B43" s="20" t="s">
        <v>27</v>
      </c>
      <c r="C43" s="38"/>
      <c r="D43" s="20"/>
      <c r="E43" s="39"/>
      <c r="F43" s="40" t="s">
        <v>44</v>
      </c>
      <c r="G43" s="40"/>
      <c r="H43" s="46">
        <f>SUM(H36:H42)</f>
        <v>112.18228093099999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>
        <f>SUM(U36:U42)</f>
        <v>100456.280931</v>
      </c>
    </row>
    <row r="44" spans="1:21">
      <c r="A44" s="140"/>
      <c r="B44" s="14" t="s">
        <v>50</v>
      </c>
      <c r="C44" s="25"/>
      <c r="D44" s="11"/>
      <c r="E44" s="32"/>
      <c r="F44" s="33"/>
      <c r="G44" s="33"/>
      <c r="H44" s="34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>
      <c r="A45" s="140" t="s">
        <v>194</v>
      </c>
      <c r="B45" s="11" t="s">
        <v>168</v>
      </c>
      <c r="C45" s="25" t="s">
        <v>30</v>
      </c>
      <c r="D45" s="11" t="s">
        <v>51</v>
      </c>
      <c r="E45" s="32">
        <v>1603.6</v>
      </c>
      <c r="F45" s="33">
        <f>SUM(E45*2/1000)</f>
        <v>3.2071999999999998</v>
      </c>
      <c r="G45" s="50">
        <v>908.11</v>
      </c>
      <c r="H45" s="34">
        <f t="shared" ref="H45:H53" si="33">SUM(F45*G45/1000)</f>
        <v>2.9124903919999996</v>
      </c>
      <c r="I45" s="28">
        <v>0</v>
      </c>
      <c r="J45" s="28">
        <v>0</v>
      </c>
      <c r="K45" s="28">
        <v>0</v>
      </c>
      <c r="L45" s="28">
        <v>0</v>
      </c>
      <c r="M45" s="28">
        <f>F45/2*G45</f>
        <v>1456.2451959999999</v>
      </c>
      <c r="N45" s="28">
        <v>0</v>
      </c>
      <c r="O45" s="28">
        <v>0</v>
      </c>
      <c r="P45" s="28">
        <v>0</v>
      </c>
      <c r="Q45" s="28">
        <f>F45/2*G45</f>
        <v>1456.2451959999999</v>
      </c>
      <c r="R45" s="28">
        <v>0</v>
      </c>
      <c r="S45" s="28">
        <v>0</v>
      </c>
      <c r="T45" s="28">
        <v>0</v>
      </c>
      <c r="U45" s="28">
        <f t="shared" ref="U45:U53" si="34">SUM(I45:T45)</f>
        <v>2912.4903919999997</v>
      </c>
    </row>
    <row r="46" spans="1:21">
      <c r="A46" s="140" t="s">
        <v>195</v>
      </c>
      <c r="B46" s="11" t="s">
        <v>52</v>
      </c>
      <c r="C46" s="25" t="s">
        <v>30</v>
      </c>
      <c r="D46" s="11" t="s">
        <v>51</v>
      </c>
      <c r="E46" s="32">
        <v>65</v>
      </c>
      <c r="F46" s="33">
        <f>SUM(E46*2/1000)</f>
        <v>0.13</v>
      </c>
      <c r="G46" s="50">
        <v>619.46</v>
      </c>
      <c r="H46" s="34">
        <f t="shared" si="33"/>
        <v>8.0529800000000012E-2</v>
      </c>
      <c r="I46" s="28">
        <v>0</v>
      </c>
      <c r="J46" s="28">
        <v>0</v>
      </c>
      <c r="K46" s="28">
        <v>0</v>
      </c>
      <c r="L46" s="28">
        <v>0</v>
      </c>
      <c r="M46" s="28">
        <f t="shared" ref="M46:M48" si="35">F46/2*G46</f>
        <v>40.264900000000004</v>
      </c>
      <c r="N46" s="28">
        <v>0</v>
      </c>
      <c r="O46" s="28">
        <v>0</v>
      </c>
      <c r="P46" s="28">
        <v>0</v>
      </c>
      <c r="Q46" s="28">
        <f t="shared" ref="Q46:Q48" si="36">F46/2*G46</f>
        <v>40.264900000000004</v>
      </c>
      <c r="R46" s="28">
        <v>0</v>
      </c>
      <c r="S46" s="28">
        <v>0</v>
      </c>
      <c r="T46" s="28">
        <v>0</v>
      </c>
      <c r="U46" s="28">
        <f t="shared" si="34"/>
        <v>80.529800000000009</v>
      </c>
    </row>
    <row r="47" spans="1:21" ht="12.75" customHeight="1">
      <c r="A47" s="140" t="s">
        <v>196</v>
      </c>
      <c r="B47" s="11" t="s">
        <v>53</v>
      </c>
      <c r="C47" s="25" t="s">
        <v>30</v>
      </c>
      <c r="D47" s="11" t="s">
        <v>51</v>
      </c>
      <c r="E47" s="32">
        <v>1825.8</v>
      </c>
      <c r="F47" s="33">
        <f>SUM(E47*2/1000)</f>
        <v>3.6515999999999997</v>
      </c>
      <c r="G47" s="50">
        <v>619.46</v>
      </c>
      <c r="H47" s="34">
        <f t="shared" si="33"/>
        <v>2.2620201360000003</v>
      </c>
      <c r="I47" s="28">
        <v>0</v>
      </c>
      <c r="J47" s="28">
        <v>0</v>
      </c>
      <c r="K47" s="28">
        <v>0</v>
      </c>
      <c r="L47" s="28">
        <v>0</v>
      </c>
      <c r="M47" s="28">
        <f t="shared" si="35"/>
        <v>1131.010068</v>
      </c>
      <c r="N47" s="28">
        <v>0</v>
      </c>
      <c r="O47" s="28">
        <v>0</v>
      </c>
      <c r="P47" s="28">
        <v>0</v>
      </c>
      <c r="Q47" s="28">
        <f t="shared" si="36"/>
        <v>1131.010068</v>
      </c>
      <c r="R47" s="28">
        <v>0</v>
      </c>
      <c r="S47" s="28">
        <v>0</v>
      </c>
      <c r="T47" s="28">
        <v>0</v>
      </c>
      <c r="U47" s="28">
        <f t="shared" si="34"/>
        <v>2262.0201360000001</v>
      </c>
    </row>
    <row r="48" spans="1:21">
      <c r="A48" s="140" t="s">
        <v>197</v>
      </c>
      <c r="B48" s="11" t="s">
        <v>54</v>
      </c>
      <c r="C48" s="25" t="s">
        <v>30</v>
      </c>
      <c r="D48" s="11" t="s">
        <v>51</v>
      </c>
      <c r="E48" s="32">
        <v>3163.96</v>
      </c>
      <c r="F48" s="33">
        <f>SUM(E48*2/1000)</f>
        <v>6.3279199999999998</v>
      </c>
      <c r="G48" s="50">
        <v>648.64</v>
      </c>
      <c r="H48" s="34">
        <f t="shared" si="33"/>
        <v>4.1045420287999992</v>
      </c>
      <c r="I48" s="28">
        <v>0</v>
      </c>
      <c r="J48" s="28">
        <v>0</v>
      </c>
      <c r="K48" s="28">
        <v>0</v>
      </c>
      <c r="L48" s="28">
        <v>0</v>
      </c>
      <c r="M48" s="28">
        <f t="shared" si="35"/>
        <v>2052.2710143999998</v>
      </c>
      <c r="N48" s="28">
        <v>0</v>
      </c>
      <c r="O48" s="28">
        <v>0</v>
      </c>
      <c r="P48" s="28">
        <v>0</v>
      </c>
      <c r="Q48" s="28">
        <f t="shared" si="36"/>
        <v>2052.2710143999998</v>
      </c>
      <c r="R48" s="28">
        <v>0</v>
      </c>
      <c r="S48" s="28">
        <v>0</v>
      </c>
      <c r="T48" s="28">
        <v>0</v>
      </c>
      <c r="U48" s="28">
        <f t="shared" si="34"/>
        <v>4104.5420287999996</v>
      </c>
    </row>
    <row r="49" spans="1:21" ht="25.5">
      <c r="A49" s="140" t="s">
        <v>198</v>
      </c>
      <c r="B49" s="11" t="s">
        <v>55</v>
      </c>
      <c r="C49" s="25" t="s">
        <v>30</v>
      </c>
      <c r="D49" s="11" t="s">
        <v>56</v>
      </c>
      <c r="E49" s="32">
        <v>1583</v>
      </c>
      <c r="F49" s="33">
        <f>SUM(E49*5/1000)</f>
        <v>7.915</v>
      </c>
      <c r="G49" s="50">
        <v>1297.28</v>
      </c>
      <c r="H49" s="34">
        <f t="shared" si="33"/>
        <v>10.2679712</v>
      </c>
      <c r="I49" s="28">
        <f>F49/5*G49</f>
        <v>2053.5942399999999</v>
      </c>
      <c r="J49" s="28">
        <f>F49/5*G49</f>
        <v>2053.5942399999999</v>
      </c>
      <c r="K49" s="28">
        <v>0</v>
      </c>
      <c r="L49" s="28">
        <v>0</v>
      </c>
      <c r="M49" s="28">
        <f>F49/5*G49</f>
        <v>2053.5942399999999</v>
      </c>
      <c r="N49" s="28">
        <v>0</v>
      </c>
      <c r="O49" s="28">
        <v>0</v>
      </c>
      <c r="P49" s="28">
        <v>0</v>
      </c>
      <c r="Q49" s="28">
        <f>F49/5*G49</f>
        <v>2053.5942399999999</v>
      </c>
      <c r="R49" s="28">
        <v>0</v>
      </c>
      <c r="S49" s="28">
        <v>0</v>
      </c>
      <c r="T49" s="28">
        <f>F49/5*G49</f>
        <v>2053.5942399999999</v>
      </c>
      <c r="U49" s="28">
        <f t="shared" si="34"/>
        <v>10267.9712</v>
      </c>
    </row>
    <row r="50" spans="1:21" ht="38.25" customHeight="1">
      <c r="A50" s="140" t="s">
        <v>199</v>
      </c>
      <c r="B50" s="11" t="s">
        <v>57</v>
      </c>
      <c r="C50" s="25" t="s">
        <v>30</v>
      </c>
      <c r="D50" s="11" t="s">
        <v>51</v>
      </c>
      <c r="E50" s="32">
        <v>1583</v>
      </c>
      <c r="F50" s="33">
        <f>SUM(E50*2/1000)</f>
        <v>3.1659999999999999</v>
      </c>
      <c r="G50" s="50">
        <v>1297.28</v>
      </c>
      <c r="H50" s="34">
        <f t="shared" si="33"/>
        <v>4.1071884799999996</v>
      </c>
      <c r="I50" s="28">
        <v>0</v>
      </c>
      <c r="J50" s="28">
        <f>F50/2*G50</f>
        <v>2053.5942399999999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f>F50/2*G50</f>
        <v>2053.5942399999999</v>
      </c>
      <c r="S50" s="28">
        <v>0</v>
      </c>
      <c r="T50" s="28">
        <v>0</v>
      </c>
      <c r="U50" s="28">
        <f t="shared" si="34"/>
        <v>4107.1884799999998</v>
      </c>
    </row>
    <row r="51" spans="1:21" ht="25.5" customHeight="1">
      <c r="A51" s="140" t="s">
        <v>200</v>
      </c>
      <c r="B51" s="11" t="s">
        <v>58</v>
      </c>
      <c r="C51" s="25" t="s">
        <v>59</v>
      </c>
      <c r="D51" s="11" t="s">
        <v>51</v>
      </c>
      <c r="E51" s="32">
        <v>25</v>
      </c>
      <c r="F51" s="33">
        <f>SUM(E51*2/100)</f>
        <v>0.5</v>
      </c>
      <c r="G51" s="50">
        <v>2918.89</v>
      </c>
      <c r="H51" s="34">
        <f t="shared" si="33"/>
        <v>1.4594449999999999</v>
      </c>
      <c r="I51" s="28">
        <v>0</v>
      </c>
      <c r="J51" s="28">
        <v>0</v>
      </c>
      <c r="K51" s="28">
        <v>0</v>
      </c>
      <c r="L51" s="28">
        <v>0</v>
      </c>
      <c r="M51" s="28">
        <f>F51/2*G51</f>
        <v>729.72249999999997</v>
      </c>
      <c r="N51" s="28">
        <v>0</v>
      </c>
      <c r="O51" s="28">
        <v>0</v>
      </c>
      <c r="P51" s="28">
        <v>0</v>
      </c>
      <c r="Q51" s="28">
        <v>0</v>
      </c>
      <c r="R51" s="28">
        <f t="shared" ref="R51:R52" si="37">F51/2*G51</f>
        <v>729.72249999999997</v>
      </c>
      <c r="S51" s="28">
        <v>0</v>
      </c>
      <c r="T51" s="28">
        <v>0</v>
      </c>
      <c r="U51" s="28">
        <f t="shared" si="34"/>
        <v>1459.4449999999999</v>
      </c>
    </row>
    <row r="52" spans="1:21">
      <c r="A52" s="140" t="s">
        <v>201</v>
      </c>
      <c r="B52" s="11" t="s">
        <v>60</v>
      </c>
      <c r="C52" s="25" t="s">
        <v>61</v>
      </c>
      <c r="D52" s="11" t="s">
        <v>51</v>
      </c>
      <c r="E52" s="32">
        <v>1</v>
      </c>
      <c r="F52" s="33">
        <v>0.02</v>
      </c>
      <c r="G52" s="50">
        <v>6042.12</v>
      </c>
      <c r="H52" s="34">
        <f t="shared" si="33"/>
        <v>0.1208424</v>
      </c>
      <c r="I52" s="28">
        <v>0</v>
      </c>
      <c r="J52" s="28">
        <v>0</v>
      </c>
      <c r="K52" s="28">
        <v>0</v>
      </c>
      <c r="L52" s="28">
        <v>0</v>
      </c>
      <c r="M52" s="28">
        <f>F52/2*G52</f>
        <v>60.421199999999999</v>
      </c>
      <c r="N52" s="28">
        <v>0</v>
      </c>
      <c r="O52" s="28">
        <v>0</v>
      </c>
      <c r="P52" s="28">
        <v>0</v>
      </c>
      <c r="Q52" s="28">
        <v>0</v>
      </c>
      <c r="R52" s="28">
        <f t="shared" si="37"/>
        <v>60.421199999999999</v>
      </c>
      <c r="S52" s="28">
        <v>0</v>
      </c>
      <c r="T52" s="28">
        <v>0</v>
      </c>
      <c r="U52" s="28">
        <f t="shared" si="34"/>
        <v>120.8424</v>
      </c>
    </row>
    <row r="53" spans="1:21" ht="13.5" customHeight="1">
      <c r="A53" s="140" t="s">
        <v>63</v>
      </c>
      <c r="B53" s="11" t="s">
        <v>64</v>
      </c>
      <c r="C53" s="25" t="s">
        <v>35</v>
      </c>
      <c r="D53" s="11" t="s">
        <v>107</v>
      </c>
      <c r="E53" s="32">
        <v>36</v>
      </c>
      <c r="F53" s="33">
        <f>SUM(E53)*3</f>
        <v>108</v>
      </c>
      <c r="G53" s="51">
        <v>70.209999999999994</v>
      </c>
      <c r="H53" s="34">
        <f t="shared" si="33"/>
        <v>7.582679999999999</v>
      </c>
      <c r="I53" s="28">
        <f>E53*G53</f>
        <v>2527.56</v>
      </c>
      <c r="J53" s="28">
        <v>0</v>
      </c>
      <c r="K53" s="28">
        <v>0</v>
      </c>
      <c r="L53" s="28">
        <v>0</v>
      </c>
      <c r="M53" s="28">
        <v>0</v>
      </c>
      <c r="N53" s="28">
        <f>E53*G53</f>
        <v>2527.56</v>
      </c>
      <c r="O53" s="28">
        <v>0</v>
      </c>
      <c r="P53" s="28">
        <v>0</v>
      </c>
      <c r="Q53" s="28">
        <v>0</v>
      </c>
      <c r="R53" s="28">
        <f>E53*G53</f>
        <v>2527.56</v>
      </c>
      <c r="S53" s="28">
        <v>0</v>
      </c>
      <c r="T53" s="28">
        <v>0</v>
      </c>
      <c r="U53" s="28">
        <f t="shared" si="34"/>
        <v>7582.68</v>
      </c>
    </row>
    <row r="54" spans="1:21" s="21" customFormat="1">
      <c r="A54" s="143"/>
      <c r="B54" s="20" t="s">
        <v>27</v>
      </c>
      <c r="C54" s="52"/>
      <c r="D54" s="20"/>
      <c r="E54" s="53"/>
      <c r="F54" s="54"/>
      <c r="G54" s="54"/>
      <c r="H54" s="46">
        <f>SUM(H45:H53)</f>
        <v>32.8977094368</v>
      </c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>
        <f>SUM(U45:U53)</f>
        <v>32897.709436799996</v>
      </c>
    </row>
    <row r="55" spans="1:21">
      <c r="A55" s="140"/>
      <c r="B55" s="12" t="s">
        <v>65</v>
      </c>
      <c r="C55" s="25"/>
      <c r="D55" s="11"/>
      <c r="E55" s="32"/>
      <c r="F55" s="33"/>
      <c r="G55" s="33"/>
      <c r="H55" s="34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:21" ht="25.5">
      <c r="A56" s="148" t="s">
        <v>202</v>
      </c>
      <c r="B56" s="11" t="s">
        <v>116</v>
      </c>
      <c r="C56" s="25" t="s">
        <v>13</v>
      </c>
      <c r="D56" s="11" t="s">
        <v>117</v>
      </c>
      <c r="E56" s="56">
        <v>3.78</v>
      </c>
      <c r="F56" s="50">
        <f>E56*6/100</f>
        <v>0.2268</v>
      </c>
      <c r="G56" s="48">
        <v>1654.04</v>
      </c>
      <c r="H56" s="34">
        <f>SUM(F56*G56/1000)</f>
        <v>0.37513627199999999</v>
      </c>
      <c r="I56" s="28">
        <f>F56/6*G56</f>
        <v>62.522711999999999</v>
      </c>
      <c r="J56" s="28">
        <f>F56/6*G56</f>
        <v>62.522711999999999</v>
      </c>
      <c r="K56" s="28">
        <f>F56/6*G56</f>
        <v>62.522711999999999</v>
      </c>
      <c r="L56" s="28">
        <f>F56/6*G56</f>
        <v>62.522711999999999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f>F56/6*G56</f>
        <v>62.522711999999999</v>
      </c>
      <c r="T56" s="28">
        <f>F56/6*G56</f>
        <v>62.522711999999999</v>
      </c>
      <c r="U56" s="28">
        <f t="shared" ref="U56:U86" si="38">SUM(I56:T56)</f>
        <v>375.13627200000002</v>
      </c>
    </row>
    <row r="57" spans="1:21" ht="38.25">
      <c r="A57" s="148" t="s">
        <v>203</v>
      </c>
      <c r="B57" s="11" t="s">
        <v>165</v>
      </c>
      <c r="C57" s="25" t="s">
        <v>13</v>
      </c>
      <c r="D57" s="11" t="s">
        <v>117</v>
      </c>
      <c r="E57" s="32">
        <v>185.36</v>
      </c>
      <c r="F57" s="33">
        <f>E57*6/100</f>
        <v>11.121600000000001</v>
      </c>
      <c r="G57" s="57">
        <v>1654.04</v>
      </c>
      <c r="H57" s="34">
        <f>F57*G57/1000</f>
        <v>18.395571264000001</v>
      </c>
      <c r="I57" s="28">
        <f>F57/6*G57</f>
        <v>3065.9285440000003</v>
      </c>
      <c r="J57" s="28">
        <f>F57/6*G57</f>
        <v>3065.9285440000003</v>
      </c>
      <c r="K57" s="28">
        <f>F57/6*G57</f>
        <v>3065.9285440000003</v>
      </c>
      <c r="L57" s="28">
        <f>F57/6*G57</f>
        <v>3065.9285440000003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f>F57/6*G57</f>
        <v>3065.9285440000003</v>
      </c>
      <c r="T57" s="28">
        <f>F57/6*G57</f>
        <v>3065.9285440000003</v>
      </c>
      <c r="U57" s="28">
        <f t="shared" si="38"/>
        <v>18395.571264000002</v>
      </c>
    </row>
    <row r="58" spans="1:21" ht="12.75" customHeight="1">
      <c r="A58" s="140" t="s">
        <v>204</v>
      </c>
      <c r="B58" s="22" t="s">
        <v>126</v>
      </c>
      <c r="C58" s="25" t="s">
        <v>113</v>
      </c>
      <c r="D58" s="22" t="s">
        <v>51</v>
      </c>
      <c r="E58" s="58">
        <v>5</v>
      </c>
      <c r="F58" s="59">
        <v>10</v>
      </c>
      <c r="G58" s="57">
        <v>198.25</v>
      </c>
      <c r="H58" s="60">
        <v>0.99099999999999999</v>
      </c>
      <c r="I58" s="28">
        <v>0</v>
      </c>
      <c r="J58" s="28">
        <v>0</v>
      </c>
      <c r="K58" s="28">
        <f>F58/2*G58</f>
        <v>991.25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f t="shared" si="38"/>
        <v>991.25</v>
      </c>
    </row>
    <row r="59" spans="1:21" ht="12.75" customHeight="1">
      <c r="A59" s="144"/>
      <c r="B59" s="23" t="s">
        <v>66</v>
      </c>
      <c r="C59" s="61"/>
      <c r="D59" s="22"/>
      <c r="E59" s="58"/>
      <c r="F59" s="59"/>
      <c r="G59" s="62"/>
      <c r="H59" s="60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 ht="12.75" customHeight="1">
      <c r="A60" s="144" t="s">
        <v>205</v>
      </c>
      <c r="B60" s="22" t="s">
        <v>118</v>
      </c>
      <c r="C60" s="61" t="s">
        <v>24</v>
      </c>
      <c r="D60" s="22" t="s">
        <v>33</v>
      </c>
      <c r="E60" s="58">
        <v>1752</v>
      </c>
      <c r="F60" s="59">
        <f>E60/100</f>
        <v>17.52</v>
      </c>
      <c r="G60" s="63">
        <v>848.37</v>
      </c>
      <c r="H60" s="60">
        <f>G60*F60/1000</f>
        <v>14.8634424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f t="shared" si="38"/>
        <v>0</v>
      </c>
    </row>
    <row r="61" spans="1:21" ht="12.75" customHeight="1">
      <c r="A61" s="144"/>
      <c r="B61" s="22" t="s">
        <v>127</v>
      </c>
      <c r="C61" s="61" t="s">
        <v>67</v>
      </c>
      <c r="D61" s="22" t="s">
        <v>128</v>
      </c>
      <c r="E61" s="58">
        <v>352</v>
      </c>
      <c r="F61" s="59">
        <f>E61*12</f>
        <v>4224</v>
      </c>
      <c r="G61" s="64">
        <v>2.6</v>
      </c>
      <c r="H61" s="60">
        <f>G61*F61/1000</f>
        <v>10.9824</v>
      </c>
      <c r="I61" s="28">
        <f>F61/12*G61</f>
        <v>915.2</v>
      </c>
      <c r="J61" s="28">
        <f>F61/12*G61</f>
        <v>915.2</v>
      </c>
      <c r="K61" s="28">
        <f>F61/12*G61</f>
        <v>915.2</v>
      </c>
      <c r="L61" s="28">
        <f>F61/12*G61</f>
        <v>915.2</v>
      </c>
      <c r="M61" s="28">
        <f>F61/12*G61</f>
        <v>915.2</v>
      </c>
      <c r="N61" s="28">
        <f>F61/12*G61</f>
        <v>915.2</v>
      </c>
      <c r="O61" s="28">
        <f>F61/12*G61</f>
        <v>915.2</v>
      </c>
      <c r="P61" s="28">
        <f>F61/12*G61</f>
        <v>915.2</v>
      </c>
      <c r="Q61" s="28">
        <f>F61/12*G61</f>
        <v>915.2</v>
      </c>
      <c r="R61" s="28">
        <f>F61/12*G61</f>
        <v>915.2</v>
      </c>
      <c r="S61" s="28">
        <f>F61/12*G61</f>
        <v>915.2</v>
      </c>
      <c r="T61" s="28">
        <f>F61/12*G61</f>
        <v>915.2</v>
      </c>
      <c r="U61" s="28">
        <f t="shared" si="38"/>
        <v>10982.400000000001</v>
      </c>
    </row>
    <row r="62" spans="1:21">
      <c r="A62" s="144"/>
      <c r="B62" s="15" t="s">
        <v>69</v>
      </c>
      <c r="C62" s="61"/>
      <c r="D62" s="22"/>
      <c r="E62" s="58"/>
      <c r="F62" s="59"/>
      <c r="G62" s="59"/>
      <c r="H62" s="60" t="s">
        <v>44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 ht="12.75" customHeight="1">
      <c r="A63" s="65" t="s">
        <v>206</v>
      </c>
      <c r="B63" s="16" t="s">
        <v>70</v>
      </c>
      <c r="C63" s="65" t="s">
        <v>62</v>
      </c>
      <c r="D63" s="9" t="s">
        <v>40</v>
      </c>
      <c r="E63" s="36">
        <v>10</v>
      </c>
      <c r="F63" s="33">
        <v>10</v>
      </c>
      <c r="G63" s="50">
        <v>237.74</v>
      </c>
      <c r="H63" s="66">
        <f t="shared" ref="H63:H81" si="39">SUM(F63*G63/1000)</f>
        <v>2.3774000000000002</v>
      </c>
      <c r="I63" s="28">
        <f>G63</f>
        <v>237.74</v>
      </c>
      <c r="J63" s="28">
        <v>0</v>
      </c>
      <c r="K63" s="28">
        <f>G63*4</f>
        <v>950.96</v>
      </c>
      <c r="L63" s="28">
        <f>G63</f>
        <v>237.74</v>
      </c>
      <c r="M63" s="28">
        <v>0</v>
      </c>
      <c r="N63" s="28">
        <f>G63*4</f>
        <v>950.96</v>
      </c>
      <c r="O63" s="28">
        <f>G63*10</f>
        <v>2377.4</v>
      </c>
      <c r="P63" s="28">
        <f>G63*2</f>
        <v>475.48</v>
      </c>
      <c r="Q63" s="28">
        <f>G63*14</f>
        <v>3328.36</v>
      </c>
      <c r="R63" s="28">
        <f>G63*5</f>
        <v>1188.7</v>
      </c>
      <c r="S63" s="28">
        <f>G63*6</f>
        <v>1426.44</v>
      </c>
      <c r="T63" s="28">
        <f>G63*5</f>
        <v>1188.7</v>
      </c>
      <c r="U63" s="28">
        <f t="shared" si="38"/>
        <v>12362.480000000003</v>
      </c>
    </row>
    <row r="64" spans="1:21" ht="12.75" customHeight="1">
      <c r="A64" s="65" t="s">
        <v>207</v>
      </c>
      <c r="B64" s="16" t="s">
        <v>71</v>
      </c>
      <c r="C64" s="65" t="s">
        <v>62</v>
      </c>
      <c r="D64" s="9" t="s">
        <v>40</v>
      </c>
      <c r="E64" s="36">
        <v>5</v>
      </c>
      <c r="F64" s="33">
        <v>5</v>
      </c>
      <c r="G64" s="50">
        <v>81.510000000000005</v>
      </c>
      <c r="H64" s="66">
        <f t="shared" si="39"/>
        <v>0.40755000000000002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f t="shared" si="38"/>
        <v>0</v>
      </c>
    </row>
    <row r="65" spans="1:21" s="2" customFormat="1">
      <c r="A65" s="67" t="s">
        <v>208</v>
      </c>
      <c r="B65" s="16" t="s">
        <v>72</v>
      </c>
      <c r="C65" s="67" t="s">
        <v>73</v>
      </c>
      <c r="D65" s="9" t="s">
        <v>33</v>
      </c>
      <c r="E65" s="32">
        <v>23808</v>
      </c>
      <c r="F65" s="51">
        <f>SUM(E65/100)</f>
        <v>238.08</v>
      </c>
      <c r="G65" s="50">
        <v>226.79</v>
      </c>
      <c r="H65" s="66">
        <f t="shared" si="39"/>
        <v>53.994163200000003</v>
      </c>
      <c r="I65" s="49">
        <v>0</v>
      </c>
      <c r="J65" s="49">
        <v>0</v>
      </c>
      <c r="K65" s="28">
        <v>0</v>
      </c>
      <c r="L65" s="28">
        <v>0</v>
      </c>
      <c r="M65" s="28">
        <f>F65*G65</f>
        <v>53994.163200000003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f t="shared" si="38"/>
        <v>53994.163200000003</v>
      </c>
    </row>
    <row r="66" spans="1:21" ht="12.75" customHeight="1">
      <c r="A66" s="65" t="s">
        <v>209</v>
      </c>
      <c r="B66" s="16" t="s">
        <v>74</v>
      </c>
      <c r="C66" s="65" t="s">
        <v>75</v>
      </c>
      <c r="D66" s="9"/>
      <c r="E66" s="32">
        <v>23808</v>
      </c>
      <c r="F66" s="50">
        <f>SUM(E66/1000)</f>
        <v>23.808</v>
      </c>
      <c r="G66" s="50">
        <v>176.61</v>
      </c>
      <c r="H66" s="66">
        <f t="shared" si="39"/>
        <v>4.2047308800000005</v>
      </c>
      <c r="I66" s="28">
        <v>0</v>
      </c>
      <c r="J66" s="28">
        <v>0</v>
      </c>
      <c r="K66" s="28">
        <v>0</v>
      </c>
      <c r="L66" s="28">
        <v>0</v>
      </c>
      <c r="M66" s="28">
        <f t="shared" ref="M66:M69" si="40">F66*G66</f>
        <v>4204.7308800000001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f t="shared" si="38"/>
        <v>4204.7308800000001</v>
      </c>
    </row>
    <row r="67" spans="1:21">
      <c r="A67" s="65" t="s">
        <v>210</v>
      </c>
      <c r="B67" s="16" t="s">
        <v>76</v>
      </c>
      <c r="C67" s="65" t="s">
        <v>77</v>
      </c>
      <c r="D67" s="9" t="s">
        <v>33</v>
      </c>
      <c r="E67" s="32">
        <v>3810</v>
      </c>
      <c r="F67" s="50">
        <f>SUM(E67/100)</f>
        <v>38.1</v>
      </c>
      <c r="G67" s="50">
        <v>2217.7800000000002</v>
      </c>
      <c r="H67" s="66">
        <f t="shared" si="39"/>
        <v>84.49741800000001</v>
      </c>
      <c r="I67" s="28">
        <v>0</v>
      </c>
      <c r="J67" s="28">
        <v>0</v>
      </c>
      <c r="K67" s="28">
        <v>0</v>
      </c>
      <c r="L67" s="28">
        <v>0</v>
      </c>
      <c r="M67" s="28">
        <f>F67*G67</f>
        <v>84497.418000000005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f t="shared" si="38"/>
        <v>84497.418000000005</v>
      </c>
    </row>
    <row r="68" spans="1:21">
      <c r="A68" s="65"/>
      <c r="B68" s="17" t="s">
        <v>108</v>
      </c>
      <c r="C68" s="65" t="s">
        <v>38</v>
      </c>
      <c r="D68" s="9"/>
      <c r="E68" s="32">
        <v>23.4</v>
      </c>
      <c r="F68" s="50">
        <f>SUM(E68)</f>
        <v>23.4</v>
      </c>
      <c r="G68" s="50">
        <v>42.67</v>
      </c>
      <c r="H68" s="66">
        <f t="shared" si="39"/>
        <v>0.99847799999999998</v>
      </c>
      <c r="I68" s="28">
        <v>0</v>
      </c>
      <c r="J68" s="28">
        <v>0</v>
      </c>
      <c r="K68" s="28">
        <v>0</v>
      </c>
      <c r="L68" s="28">
        <v>0</v>
      </c>
      <c r="M68" s="28">
        <f t="shared" si="40"/>
        <v>998.47799999999995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f t="shared" si="38"/>
        <v>998.47799999999995</v>
      </c>
    </row>
    <row r="69" spans="1:21" ht="12.75" customHeight="1">
      <c r="A69" s="149"/>
      <c r="B69" s="17" t="s">
        <v>109</v>
      </c>
      <c r="C69" s="65" t="s">
        <v>38</v>
      </c>
      <c r="D69" s="9"/>
      <c r="E69" s="32">
        <v>23.4</v>
      </c>
      <c r="F69" s="50">
        <f>SUM(E69)</f>
        <v>23.4</v>
      </c>
      <c r="G69" s="50">
        <v>39.81</v>
      </c>
      <c r="H69" s="66">
        <f t="shared" si="39"/>
        <v>0.93155399999999999</v>
      </c>
      <c r="I69" s="28">
        <v>0</v>
      </c>
      <c r="J69" s="28">
        <v>0</v>
      </c>
      <c r="K69" s="28">
        <v>0</v>
      </c>
      <c r="L69" s="28">
        <v>0</v>
      </c>
      <c r="M69" s="28">
        <f t="shared" si="40"/>
        <v>931.55399999999997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f t="shared" si="38"/>
        <v>931.55399999999997</v>
      </c>
    </row>
    <row r="70" spans="1:21">
      <c r="A70" s="65" t="s">
        <v>211</v>
      </c>
      <c r="B70" s="9" t="s">
        <v>78</v>
      </c>
      <c r="C70" s="65" t="s">
        <v>79</v>
      </c>
      <c r="D70" s="9" t="s">
        <v>33</v>
      </c>
      <c r="E70" s="36">
        <v>5</v>
      </c>
      <c r="F70" s="33">
        <f>SUM(E70)</f>
        <v>5</v>
      </c>
      <c r="G70" s="50">
        <v>53.32</v>
      </c>
      <c r="H70" s="66">
        <f t="shared" si="39"/>
        <v>0.2666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f>G70*5</f>
        <v>266.60000000000002</v>
      </c>
      <c r="R70" s="28">
        <v>0</v>
      </c>
      <c r="S70" s="28">
        <v>0</v>
      </c>
      <c r="T70" s="28">
        <v>0</v>
      </c>
      <c r="U70" s="28">
        <f t="shared" si="38"/>
        <v>266.60000000000002</v>
      </c>
    </row>
    <row r="71" spans="1:21">
      <c r="A71" s="65"/>
      <c r="B71" s="9" t="s">
        <v>129</v>
      </c>
      <c r="C71" s="65" t="s">
        <v>79</v>
      </c>
      <c r="D71" s="9" t="s">
        <v>106</v>
      </c>
      <c r="E71" s="36">
        <v>1</v>
      </c>
      <c r="F71" s="62">
        <v>12</v>
      </c>
      <c r="G71" s="50">
        <v>711</v>
      </c>
      <c r="H71" s="66">
        <v>8.5310000000000006</v>
      </c>
      <c r="I71" s="28">
        <f>F71/12*G71</f>
        <v>711</v>
      </c>
      <c r="J71" s="28">
        <f>F71/12*G71</f>
        <v>711</v>
      </c>
      <c r="K71" s="28">
        <f>F71/12*G71</f>
        <v>711</v>
      </c>
      <c r="L71" s="28">
        <f>F71/12*G71</f>
        <v>711</v>
      </c>
      <c r="M71" s="28">
        <f>F71/12*G71</f>
        <v>711</v>
      </c>
      <c r="N71" s="28">
        <f>F71/12*G71</f>
        <v>711</v>
      </c>
      <c r="O71" s="28">
        <f>F71/12*G71</f>
        <v>711</v>
      </c>
      <c r="P71" s="28">
        <f>F71/12*G71</f>
        <v>711</v>
      </c>
      <c r="Q71" s="28">
        <f>F71/12*G71</f>
        <v>711</v>
      </c>
      <c r="R71" s="28">
        <f>F71/12*G71</f>
        <v>711</v>
      </c>
      <c r="S71" s="28">
        <f>F71/12*G71</f>
        <v>711</v>
      </c>
      <c r="T71" s="28">
        <f>F71/12*G71</f>
        <v>711</v>
      </c>
      <c r="U71" s="28">
        <f t="shared" si="38"/>
        <v>8532</v>
      </c>
    </row>
    <row r="72" spans="1:21">
      <c r="A72" s="65"/>
      <c r="B72" s="18" t="s">
        <v>80</v>
      </c>
      <c r="C72" s="65"/>
      <c r="D72" s="9"/>
      <c r="E72" s="36"/>
      <c r="F72" s="50"/>
      <c r="G72" s="50"/>
      <c r="H72" s="66" t="s">
        <v>44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:21" hidden="1">
      <c r="A73" s="65" t="s">
        <v>81</v>
      </c>
      <c r="B73" s="9" t="s">
        <v>82</v>
      </c>
      <c r="C73" s="65" t="s">
        <v>62</v>
      </c>
      <c r="D73" s="9"/>
      <c r="E73" s="36"/>
      <c r="F73" s="50"/>
      <c r="G73" s="50" t="s">
        <v>44</v>
      </c>
      <c r="H73" s="66">
        <v>0</v>
      </c>
      <c r="I73" s="28"/>
      <c r="J73" s="28"/>
      <c r="K73" s="28"/>
      <c r="L73" s="28"/>
      <c r="M73" s="28"/>
      <c r="N73" s="28"/>
      <c r="O73" s="28"/>
      <c r="P73" s="28"/>
      <c r="Q73" s="28">
        <v>0</v>
      </c>
      <c r="R73" s="28">
        <v>0</v>
      </c>
      <c r="S73" s="28">
        <v>0</v>
      </c>
      <c r="T73" s="28"/>
      <c r="U73" s="28">
        <f t="shared" si="38"/>
        <v>0</v>
      </c>
    </row>
    <row r="74" spans="1:21" hidden="1">
      <c r="A74" s="65" t="s">
        <v>83</v>
      </c>
      <c r="B74" s="9" t="s">
        <v>84</v>
      </c>
      <c r="C74" s="65" t="s">
        <v>62</v>
      </c>
      <c r="D74" s="9"/>
      <c r="E74" s="36"/>
      <c r="F74" s="50"/>
      <c r="G74" s="50">
        <v>65.72</v>
      </c>
      <c r="H74" s="66">
        <f t="shared" si="39"/>
        <v>0</v>
      </c>
      <c r="I74" s="28"/>
      <c r="J74" s="28"/>
      <c r="K74" s="28"/>
      <c r="L74" s="28"/>
      <c r="M74" s="28"/>
      <c r="N74" s="28"/>
      <c r="O74" s="28"/>
      <c r="P74" s="28"/>
      <c r="Q74" s="28">
        <v>0</v>
      </c>
      <c r="R74" s="28">
        <v>0</v>
      </c>
      <c r="S74" s="28">
        <v>0</v>
      </c>
      <c r="T74" s="28"/>
      <c r="U74" s="28">
        <f t="shared" si="38"/>
        <v>0</v>
      </c>
    </row>
    <row r="75" spans="1:21" hidden="1">
      <c r="A75" s="65" t="s">
        <v>85</v>
      </c>
      <c r="B75" s="9" t="s">
        <v>86</v>
      </c>
      <c r="C75" s="65" t="s">
        <v>62</v>
      </c>
      <c r="D75" s="9"/>
      <c r="E75" s="36"/>
      <c r="F75" s="50"/>
      <c r="G75" s="50">
        <v>82.33</v>
      </c>
      <c r="H75" s="66">
        <f t="shared" si="39"/>
        <v>0</v>
      </c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>
        <f t="shared" si="38"/>
        <v>0</v>
      </c>
    </row>
    <row r="76" spans="1:21">
      <c r="A76" s="65" t="s">
        <v>212</v>
      </c>
      <c r="B76" s="9" t="s">
        <v>120</v>
      </c>
      <c r="C76" s="65" t="s">
        <v>119</v>
      </c>
      <c r="D76" s="9" t="s">
        <v>40</v>
      </c>
      <c r="E76" s="36">
        <v>2</v>
      </c>
      <c r="F76" s="62">
        <v>0.2</v>
      </c>
      <c r="G76" s="50">
        <v>536.23</v>
      </c>
      <c r="H76" s="66">
        <v>0.107</v>
      </c>
      <c r="I76" s="28">
        <v>0</v>
      </c>
      <c r="J76" s="28">
        <f>G76*5</f>
        <v>2681.15</v>
      </c>
      <c r="K76" s="28">
        <f>G76*0.4</f>
        <v>214.49200000000002</v>
      </c>
      <c r="L76" s="28">
        <v>0</v>
      </c>
      <c r="M76" s="28">
        <v>0</v>
      </c>
      <c r="N76" s="28">
        <v>0</v>
      </c>
      <c r="O76" s="28">
        <f>G76*0.5</f>
        <v>268.11500000000001</v>
      </c>
      <c r="P76" s="28">
        <v>0</v>
      </c>
      <c r="Q76" s="49">
        <v>0</v>
      </c>
      <c r="R76" s="49">
        <v>0</v>
      </c>
      <c r="S76" s="49">
        <v>0</v>
      </c>
      <c r="T76" s="28">
        <v>0</v>
      </c>
      <c r="U76" s="28">
        <f t="shared" si="38"/>
        <v>3163.7570000000005</v>
      </c>
    </row>
    <row r="77" spans="1:21">
      <c r="A77" s="65" t="s">
        <v>213</v>
      </c>
      <c r="B77" s="9" t="s">
        <v>87</v>
      </c>
      <c r="C77" s="65" t="s">
        <v>35</v>
      </c>
      <c r="D77" s="9"/>
      <c r="E77" s="36">
        <v>1</v>
      </c>
      <c r="F77" s="33">
        <f>SUM(E77)</f>
        <v>1</v>
      </c>
      <c r="G77" s="50">
        <v>383.25</v>
      </c>
      <c r="H77" s="66">
        <f t="shared" si="39"/>
        <v>0.38324999999999998</v>
      </c>
      <c r="I77" s="28">
        <f>G77</f>
        <v>383.25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f t="shared" si="38"/>
        <v>383.25</v>
      </c>
    </row>
    <row r="78" spans="1:21" hidden="1">
      <c r="A78" s="65" t="s">
        <v>214</v>
      </c>
      <c r="B78" s="9" t="s">
        <v>88</v>
      </c>
      <c r="C78" s="65" t="s">
        <v>89</v>
      </c>
      <c r="D78" s="9"/>
      <c r="E78" s="36"/>
      <c r="F78" s="50"/>
      <c r="G78" s="50">
        <v>31.54</v>
      </c>
      <c r="H78" s="66">
        <f t="shared" si="39"/>
        <v>0</v>
      </c>
      <c r="I78" s="28"/>
      <c r="J78" s="28"/>
      <c r="K78" s="28"/>
      <c r="L78" s="28"/>
      <c r="M78" s="28"/>
      <c r="N78" s="28"/>
      <c r="O78" s="28"/>
      <c r="P78" s="28"/>
      <c r="Q78" s="28"/>
      <c r="R78" s="28">
        <v>0</v>
      </c>
      <c r="S78" s="28"/>
      <c r="T78" s="28"/>
      <c r="U78" s="28">
        <f t="shared" si="38"/>
        <v>0</v>
      </c>
    </row>
    <row r="79" spans="1:21">
      <c r="A79" s="65" t="s">
        <v>214</v>
      </c>
      <c r="B79" s="9" t="s">
        <v>110</v>
      </c>
      <c r="C79" s="65" t="s">
        <v>35</v>
      </c>
      <c r="D79" s="9"/>
      <c r="E79" s="36">
        <v>1</v>
      </c>
      <c r="F79" s="50">
        <v>1</v>
      </c>
      <c r="G79" s="50">
        <v>911.85</v>
      </c>
      <c r="H79" s="66">
        <f>F79*G79/1000</f>
        <v>0.91185000000000005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f t="shared" si="38"/>
        <v>0</v>
      </c>
    </row>
    <row r="80" spans="1:21">
      <c r="A80" s="65"/>
      <c r="B80" s="68" t="s">
        <v>90</v>
      </c>
      <c r="C80" s="65"/>
      <c r="D80" s="9"/>
      <c r="E80" s="36"/>
      <c r="F80" s="50"/>
      <c r="G80" s="50" t="s">
        <v>44</v>
      </c>
      <c r="H80" s="66" t="s">
        <v>44</v>
      </c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:21" s="2" customFormat="1">
      <c r="A81" s="67" t="s">
        <v>91</v>
      </c>
      <c r="B81" s="69" t="s">
        <v>92</v>
      </c>
      <c r="C81" s="67" t="s">
        <v>77</v>
      </c>
      <c r="D81" s="16"/>
      <c r="E81" s="70"/>
      <c r="F81" s="51">
        <v>0.6</v>
      </c>
      <c r="G81" s="51">
        <v>2949.85</v>
      </c>
      <c r="H81" s="66">
        <f t="shared" si="39"/>
        <v>1.7699099999999999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28">
        <f t="shared" si="38"/>
        <v>0</v>
      </c>
    </row>
    <row r="82" spans="1:21" s="21" customFormat="1">
      <c r="A82" s="71"/>
      <c r="B82" s="20" t="s">
        <v>27</v>
      </c>
      <c r="C82" s="72"/>
      <c r="D82" s="73"/>
      <c r="E82" s="74"/>
      <c r="F82" s="55"/>
      <c r="G82" s="55"/>
      <c r="H82" s="75">
        <f>SUM(H56:H81)</f>
        <v>204.98845401600005</v>
      </c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>
        <f>SUM(U56:U81)</f>
        <v>200078.78861600003</v>
      </c>
    </row>
    <row r="83" spans="1:21">
      <c r="A83" s="145" t="s">
        <v>128</v>
      </c>
      <c r="B83" s="11" t="s">
        <v>145</v>
      </c>
      <c r="C83" s="77"/>
      <c r="D83" s="78"/>
      <c r="E83" s="127"/>
      <c r="F83" s="79">
        <v>1</v>
      </c>
      <c r="G83" s="80">
        <v>22789.8</v>
      </c>
      <c r="H83" s="66">
        <f>G83*F83/1000</f>
        <v>22.7898</v>
      </c>
      <c r="I83" s="28">
        <v>0</v>
      </c>
      <c r="J83" s="28">
        <v>0</v>
      </c>
      <c r="K83" s="28">
        <v>0</v>
      </c>
      <c r="L83" s="28">
        <v>0</v>
      </c>
      <c r="M83" s="120">
        <v>0</v>
      </c>
      <c r="N83" s="120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f>G83</f>
        <v>22789.8</v>
      </c>
      <c r="U83" s="28">
        <f t="shared" si="38"/>
        <v>22789.8</v>
      </c>
    </row>
    <row r="84" spans="1:21" ht="12.75" customHeight="1">
      <c r="A84" s="146"/>
      <c r="B84" s="76" t="s">
        <v>93</v>
      </c>
      <c r="C84" s="65" t="s">
        <v>94</v>
      </c>
      <c r="D84" s="81"/>
      <c r="E84" s="50">
        <v>5816.5</v>
      </c>
      <c r="F84" s="50">
        <f>SUM(E84*12)</f>
        <v>69798</v>
      </c>
      <c r="G84" s="82">
        <v>2.54</v>
      </c>
      <c r="H84" s="66">
        <f>SUM(F84*G84/1000)</f>
        <v>177.28692000000001</v>
      </c>
      <c r="I84" s="28">
        <f>F84/12*G84</f>
        <v>14773.91</v>
      </c>
      <c r="J84" s="28">
        <f>F84/12*G84</f>
        <v>14773.91</v>
      </c>
      <c r="K84" s="28">
        <f>F84/12*G84</f>
        <v>14773.91</v>
      </c>
      <c r="L84" s="28">
        <f>F84/12*G84</f>
        <v>14773.91</v>
      </c>
      <c r="M84" s="120">
        <f>F84/12*G84</f>
        <v>14773.91</v>
      </c>
      <c r="N84" s="120">
        <f>F84/12*G84</f>
        <v>14773.91</v>
      </c>
      <c r="O84" s="28">
        <f>F84/12*G84</f>
        <v>14773.91</v>
      </c>
      <c r="P84" s="28">
        <f>F84/12*G84</f>
        <v>14773.91</v>
      </c>
      <c r="Q84" s="28">
        <f>F84/12*G84</f>
        <v>14773.91</v>
      </c>
      <c r="R84" s="28">
        <f>F84/12*G84</f>
        <v>14773.91</v>
      </c>
      <c r="S84" s="28">
        <f>F84/12*G84</f>
        <v>14773.91</v>
      </c>
      <c r="T84" s="28">
        <f>F84/12*G84</f>
        <v>14773.91</v>
      </c>
      <c r="U84" s="28">
        <f t="shared" si="38"/>
        <v>177286.92</v>
      </c>
    </row>
    <row r="85" spans="1:21" s="19" customFormat="1">
      <c r="A85" s="83"/>
      <c r="B85" s="20" t="s">
        <v>27</v>
      </c>
      <c r="C85" s="84"/>
      <c r="D85" s="85"/>
      <c r="E85" s="86"/>
      <c r="F85" s="42"/>
      <c r="G85" s="87"/>
      <c r="H85" s="88">
        <f>SUM(H83:H84)</f>
        <v>200.07672000000002</v>
      </c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>
        <f>SUM(U83:U84)</f>
        <v>200076.72</v>
      </c>
    </row>
    <row r="86" spans="1:21" ht="25.5" customHeight="1">
      <c r="A86" s="89"/>
      <c r="B86" s="9" t="s">
        <v>95</v>
      </c>
      <c r="C86" s="65"/>
      <c r="D86" s="90"/>
      <c r="E86" s="32">
        <f>E84</f>
        <v>5816.5</v>
      </c>
      <c r="F86" s="50">
        <f>E86*12</f>
        <v>69798</v>
      </c>
      <c r="G86" s="50">
        <v>2.0499999999999998</v>
      </c>
      <c r="H86" s="66">
        <f>F86*G86/1000</f>
        <v>143.08589999999998</v>
      </c>
      <c r="I86" s="28">
        <f>F86/12*G86</f>
        <v>11923.824999999999</v>
      </c>
      <c r="J86" s="28">
        <f>F86/12*G86</f>
        <v>11923.824999999999</v>
      </c>
      <c r="K86" s="28">
        <f>F86/12*G86</f>
        <v>11923.824999999999</v>
      </c>
      <c r="L86" s="28">
        <f>F86/12*G86</f>
        <v>11923.824999999999</v>
      </c>
      <c r="M86" s="28">
        <f>F86/12*G86</f>
        <v>11923.824999999999</v>
      </c>
      <c r="N86" s="28">
        <f>F86/12*G86</f>
        <v>11923.824999999999</v>
      </c>
      <c r="O86" s="28">
        <f>F86/12*G86</f>
        <v>11923.824999999999</v>
      </c>
      <c r="P86" s="28">
        <f>F86/12*G86</f>
        <v>11923.824999999999</v>
      </c>
      <c r="Q86" s="28">
        <f>F86/12*G86</f>
        <v>11923.824999999999</v>
      </c>
      <c r="R86" s="28">
        <f>F86/12*G86</f>
        <v>11923.824999999999</v>
      </c>
      <c r="S86" s="28">
        <f>F86/12*G86</f>
        <v>11923.824999999999</v>
      </c>
      <c r="T86" s="28">
        <f t="shared" ref="T86" si="41">F86/12*G86</f>
        <v>11923.824999999999</v>
      </c>
      <c r="U86" s="28">
        <f t="shared" si="38"/>
        <v>143085.9</v>
      </c>
    </row>
    <row r="87" spans="1:21" s="19" customFormat="1">
      <c r="A87" s="83"/>
      <c r="B87" s="91" t="s">
        <v>96</v>
      </c>
      <c r="C87" s="92"/>
      <c r="D87" s="91"/>
      <c r="E87" s="42"/>
      <c r="F87" s="42"/>
      <c r="G87" s="42"/>
      <c r="H87" s="75">
        <f>H86</f>
        <v>143.08589999999998</v>
      </c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123">
        <f>U86</f>
        <v>143085.9</v>
      </c>
    </row>
    <row r="88" spans="1:21" s="19" customFormat="1">
      <c r="A88" s="83"/>
      <c r="B88" s="91" t="s">
        <v>97</v>
      </c>
      <c r="C88" s="93"/>
      <c r="D88" s="94"/>
      <c r="E88" s="95"/>
      <c r="F88" s="95"/>
      <c r="G88" s="95"/>
      <c r="H88" s="75">
        <f>SUM(H87+H85+H82+H54+H43+H34+H22)</f>
        <v>1365.3492356478</v>
      </c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123">
        <f>SUM(U87+U85+U82+U54+U43+U34+U22)</f>
        <v>1345408.1166798002</v>
      </c>
    </row>
    <row r="89" spans="1:21">
      <c r="A89" s="89"/>
      <c r="B89" s="90" t="s">
        <v>98</v>
      </c>
      <c r="C89" s="65"/>
      <c r="D89" s="90"/>
      <c r="E89" s="50"/>
      <c r="F89" s="50"/>
      <c r="G89" s="50" t="s">
        <v>99</v>
      </c>
      <c r="H89" s="96">
        <f>E86</f>
        <v>5816.5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:21" s="19" customFormat="1">
      <c r="A90" s="83"/>
      <c r="B90" s="94" t="s">
        <v>100</v>
      </c>
      <c r="C90" s="93"/>
      <c r="D90" s="94"/>
      <c r="E90" s="95"/>
      <c r="F90" s="95"/>
      <c r="G90" s="95"/>
      <c r="H90" s="97">
        <f>SUM(H88/H89/12*1000)</f>
        <v>19.561437801194877</v>
      </c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124"/>
    </row>
    <row r="91" spans="1:21">
      <c r="A91" s="89"/>
      <c r="B91" s="90"/>
      <c r="C91" s="65"/>
      <c r="D91" s="90"/>
      <c r="E91" s="50"/>
      <c r="F91" s="50"/>
      <c r="G91" s="50"/>
      <c r="H91" s="9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125"/>
    </row>
    <row r="92" spans="1:21">
      <c r="A92" s="89"/>
      <c r="B92" s="68" t="s">
        <v>101</v>
      </c>
      <c r="C92" s="65"/>
      <c r="D92" s="90"/>
      <c r="E92" s="50"/>
      <c r="F92" s="50"/>
      <c r="G92" s="50"/>
      <c r="H92" s="50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:21" ht="25.5">
      <c r="A93" s="133" t="s">
        <v>243</v>
      </c>
      <c r="B93" s="134" t="s">
        <v>244</v>
      </c>
      <c r="C93" s="133" t="s">
        <v>154</v>
      </c>
      <c r="D93" s="90"/>
      <c r="E93" s="50"/>
      <c r="F93" s="50">
        <v>1.5</v>
      </c>
      <c r="G93" s="50">
        <v>1183.51</v>
      </c>
      <c r="H93" s="136">
        <f t="shared" ref="H93:H97" si="42">G93*F93/1000</f>
        <v>1.7752649999999999</v>
      </c>
      <c r="I93" s="28">
        <f>G93*1.5</f>
        <v>1775.2649999999999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f t="shared" ref="U93:U137" si="43">SUM(I93:T93)</f>
        <v>1775.2649999999999</v>
      </c>
    </row>
    <row r="94" spans="1:21" ht="25.5">
      <c r="A94" s="133" t="s">
        <v>245</v>
      </c>
      <c r="B94" s="134" t="s">
        <v>246</v>
      </c>
      <c r="C94" s="133" t="s">
        <v>154</v>
      </c>
      <c r="D94" s="90"/>
      <c r="E94" s="50"/>
      <c r="F94" s="50">
        <v>1.5</v>
      </c>
      <c r="G94" s="50">
        <v>897.94</v>
      </c>
      <c r="H94" s="136">
        <f t="shared" si="42"/>
        <v>1.3469100000000001</v>
      </c>
      <c r="I94" s="28">
        <f>G94*1.5</f>
        <v>1346.91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f t="shared" si="43"/>
        <v>1346.91</v>
      </c>
    </row>
    <row r="95" spans="1:21" ht="25.5" customHeight="1">
      <c r="A95" s="133" t="s">
        <v>218</v>
      </c>
      <c r="B95" s="134" t="s">
        <v>170</v>
      </c>
      <c r="C95" s="133" t="s">
        <v>62</v>
      </c>
      <c r="D95" s="131"/>
      <c r="E95" s="135"/>
      <c r="F95" s="135">
        <v>26</v>
      </c>
      <c r="G95" s="135">
        <v>189.88</v>
      </c>
      <c r="H95" s="136">
        <f t="shared" si="42"/>
        <v>4.9368800000000004</v>
      </c>
      <c r="I95" s="28">
        <f>G95</f>
        <v>189.88</v>
      </c>
      <c r="J95" s="28">
        <v>0</v>
      </c>
      <c r="K95" s="28">
        <f>G95*7</f>
        <v>1329.1599999999999</v>
      </c>
      <c r="L95" s="28">
        <f>G95*10</f>
        <v>1898.8</v>
      </c>
      <c r="M95" s="28">
        <v>0</v>
      </c>
      <c r="N95" s="28">
        <f>G95*2</f>
        <v>379.76</v>
      </c>
      <c r="O95" s="28">
        <f>G95</f>
        <v>189.88</v>
      </c>
      <c r="P95" s="28">
        <f>G95*2</f>
        <v>379.76</v>
      </c>
      <c r="Q95" s="28">
        <f>G95*3</f>
        <v>569.64</v>
      </c>
      <c r="R95" s="28">
        <v>0</v>
      </c>
      <c r="S95" s="28">
        <v>0</v>
      </c>
      <c r="T95" s="28">
        <v>0</v>
      </c>
      <c r="U95" s="28">
        <f t="shared" si="43"/>
        <v>4936.880000000001</v>
      </c>
    </row>
    <row r="96" spans="1:21" ht="25.5" customHeight="1">
      <c r="A96" s="128" t="s">
        <v>237</v>
      </c>
      <c r="B96" s="129" t="s">
        <v>238</v>
      </c>
      <c r="C96" s="128" t="s">
        <v>236</v>
      </c>
      <c r="D96" s="131"/>
      <c r="E96" s="135"/>
      <c r="F96" s="135">
        <v>1</v>
      </c>
      <c r="G96" s="135">
        <v>119.65</v>
      </c>
      <c r="H96" s="136">
        <f t="shared" si="42"/>
        <v>0.11965000000000001</v>
      </c>
      <c r="I96" s="28">
        <f>G96</f>
        <v>119.65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f t="shared" si="43"/>
        <v>119.65</v>
      </c>
    </row>
    <row r="97" spans="1:27" ht="12.75" customHeight="1">
      <c r="A97" s="152" t="s">
        <v>232</v>
      </c>
      <c r="B97" s="129" t="s">
        <v>233</v>
      </c>
      <c r="C97" s="128" t="s">
        <v>62</v>
      </c>
      <c r="D97" s="131"/>
      <c r="E97" s="135"/>
      <c r="F97" s="135">
        <v>1</v>
      </c>
      <c r="G97" s="135">
        <v>1102.53</v>
      </c>
      <c r="H97" s="136">
        <f t="shared" si="42"/>
        <v>1.10253</v>
      </c>
      <c r="I97" s="28">
        <v>0</v>
      </c>
      <c r="J97" s="28">
        <f>G97</f>
        <v>1102.53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f t="shared" si="43"/>
        <v>1102.53</v>
      </c>
    </row>
    <row r="98" spans="1:27" ht="12.75" customHeight="1">
      <c r="A98" s="153" t="s">
        <v>248</v>
      </c>
      <c r="B98" s="154" t="s">
        <v>247</v>
      </c>
      <c r="C98" s="153" t="s">
        <v>171</v>
      </c>
      <c r="D98" s="131"/>
      <c r="E98" s="135"/>
      <c r="F98" s="135">
        <f>122/3</f>
        <v>40.666666666666664</v>
      </c>
      <c r="G98" s="135">
        <v>1120.8900000000001</v>
      </c>
      <c r="H98" s="136">
        <f>G98*F98/1000</f>
        <v>45.582860000000004</v>
      </c>
      <c r="I98" s="28">
        <v>0</v>
      </c>
      <c r="J98" s="28">
        <f>G98*((10+10)/3)</f>
        <v>7472.6000000000013</v>
      </c>
      <c r="K98" s="28">
        <f>G98*((15+15+16)/3)</f>
        <v>17186.980000000003</v>
      </c>
      <c r="L98" s="28">
        <v>0</v>
      </c>
      <c r="M98" s="28">
        <f>G98*((15)/3)</f>
        <v>5604.4500000000007</v>
      </c>
      <c r="N98" s="28">
        <f>G98*((5)/3)</f>
        <v>1868.1500000000003</v>
      </c>
      <c r="O98" s="28">
        <f>G98</f>
        <v>1120.8900000000001</v>
      </c>
      <c r="P98" s="28">
        <f>G98</f>
        <v>1120.8900000000001</v>
      </c>
      <c r="Q98" s="28">
        <v>0</v>
      </c>
      <c r="R98" s="28">
        <v>0</v>
      </c>
      <c r="S98" s="28">
        <f>G98*(10/3)</f>
        <v>3736.3000000000006</v>
      </c>
      <c r="T98" s="28">
        <f>G98*((20)/3)</f>
        <v>7472.6000000000013</v>
      </c>
      <c r="U98" s="28">
        <f t="shared" si="43"/>
        <v>45582.860000000008</v>
      </c>
    </row>
    <row r="99" spans="1:27">
      <c r="A99" s="133" t="s">
        <v>216</v>
      </c>
      <c r="B99" s="134" t="s">
        <v>166</v>
      </c>
      <c r="C99" s="133" t="s">
        <v>141</v>
      </c>
      <c r="D99" s="131"/>
      <c r="E99" s="50"/>
      <c r="F99" s="50">
        <v>16</v>
      </c>
      <c r="G99" s="50">
        <v>195.85</v>
      </c>
      <c r="H99" s="66">
        <f>G99*F99/1000</f>
        <v>3.1335999999999999</v>
      </c>
      <c r="I99" s="28">
        <v>0</v>
      </c>
      <c r="J99" s="28">
        <v>0</v>
      </c>
      <c r="K99" s="28">
        <f>G99</f>
        <v>195.85</v>
      </c>
      <c r="L99" s="28">
        <v>0</v>
      </c>
      <c r="M99" s="28">
        <v>0</v>
      </c>
      <c r="N99" s="28">
        <v>0</v>
      </c>
      <c r="O99" s="28">
        <f>G99*3</f>
        <v>587.54999999999995</v>
      </c>
      <c r="P99" s="28">
        <f>G99</f>
        <v>195.85</v>
      </c>
      <c r="Q99" s="28">
        <f>G99*5</f>
        <v>979.25</v>
      </c>
      <c r="R99" s="28">
        <f>G99*2</f>
        <v>391.7</v>
      </c>
      <c r="S99" s="28">
        <f>G99*2</f>
        <v>391.7</v>
      </c>
      <c r="T99" s="28">
        <f>G99*2</f>
        <v>391.7</v>
      </c>
      <c r="U99" s="28">
        <f t="shared" si="43"/>
        <v>3133.5999999999995</v>
      </c>
    </row>
    <row r="100" spans="1:27" s="150" customFormat="1" ht="25.5">
      <c r="A100" s="155" t="s">
        <v>249</v>
      </c>
      <c r="B100" s="134" t="s">
        <v>250</v>
      </c>
      <c r="C100" s="133" t="s">
        <v>143</v>
      </c>
      <c r="D100" s="131"/>
      <c r="E100" s="135"/>
      <c r="F100" s="135">
        <v>2</v>
      </c>
      <c r="G100" s="135">
        <v>803.54</v>
      </c>
      <c r="H100" s="136">
        <f t="shared" ref="H100" si="44">G100*F100/1000</f>
        <v>1.6070799999999998</v>
      </c>
      <c r="I100" s="28">
        <v>0</v>
      </c>
      <c r="J100" s="28">
        <v>0</v>
      </c>
      <c r="K100" s="28">
        <f>G100</f>
        <v>803.54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f>G100</f>
        <v>803.54</v>
      </c>
      <c r="S100" s="28">
        <v>0</v>
      </c>
      <c r="T100" s="28">
        <v>0</v>
      </c>
      <c r="U100" s="28">
        <f t="shared" si="43"/>
        <v>1607.08</v>
      </c>
    </row>
    <row r="101" spans="1:27" ht="25.5">
      <c r="A101" s="155" t="s">
        <v>217</v>
      </c>
      <c r="B101" s="134" t="s">
        <v>142</v>
      </c>
      <c r="C101" s="133" t="s">
        <v>143</v>
      </c>
      <c r="D101" s="131"/>
      <c r="E101" s="50"/>
      <c r="F101" s="50">
        <v>5</v>
      </c>
      <c r="G101" s="50">
        <v>589.84</v>
      </c>
      <c r="H101" s="66">
        <f>G101*F101/1000</f>
        <v>2.9492000000000003</v>
      </c>
      <c r="I101" s="28">
        <v>0</v>
      </c>
      <c r="J101" s="28">
        <v>0</v>
      </c>
      <c r="K101" s="28">
        <f>G101*2</f>
        <v>1179.68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f>G101*2</f>
        <v>1179.68</v>
      </c>
      <c r="T101" s="28">
        <f>G101</f>
        <v>589.84</v>
      </c>
      <c r="U101" s="28">
        <f t="shared" si="43"/>
        <v>2949.2000000000003</v>
      </c>
    </row>
    <row r="102" spans="1:27" ht="25.5" customHeight="1">
      <c r="A102" s="155" t="s">
        <v>297</v>
      </c>
      <c r="B102" s="134" t="s">
        <v>251</v>
      </c>
      <c r="C102" s="133" t="s">
        <v>143</v>
      </c>
      <c r="D102" s="9"/>
      <c r="E102" s="36"/>
      <c r="F102" s="50">
        <v>1</v>
      </c>
      <c r="G102" s="135">
        <v>666.24</v>
      </c>
      <c r="H102" s="66">
        <f t="shared" ref="H102:H112" si="45">G102*F102/1000</f>
        <v>0.66624000000000005</v>
      </c>
      <c r="I102" s="28">
        <v>0</v>
      </c>
      <c r="J102" s="28">
        <v>0</v>
      </c>
      <c r="K102" s="28">
        <f>G102</f>
        <v>666.24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f t="shared" si="43"/>
        <v>666.24</v>
      </c>
      <c r="V102" s="150"/>
      <c r="W102" s="150"/>
      <c r="X102" s="150"/>
      <c r="Y102" s="150"/>
      <c r="Z102" s="150"/>
      <c r="AA102" s="150"/>
    </row>
    <row r="103" spans="1:27" ht="25.5">
      <c r="A103" s="128" t="s">
        <v>219</v>
      </c>
      <c r="B103" s="129" t="s">
        <v>252</v>
      </c>
      <c r="C103" s="128" t="s">
        <v>143</v>
      </c>
      <c r="D103" s="90"/>
      <c r="E103" s="50"/>
      <c r="F103" s="50">
        <v>54</v>
      </c>
      <c r="G103" s="50">
        <v>1046.06</v>
      </c>
      <c r="H103" s="66">
        <f t="shared" si="45"/>
        <v>56.48724</v>
      </c>
      <c r="I103" s="156">
        <v>0</v>
      </c>
      <c r="J103" s="156">
        <v>0</v>
      </c>
      <c r="K103" s="156">
        <f>G103*(7+13+28)</f>
        <v>50210.879999999997</v>
      </c>
      <c r="L103" s="156">
        <v>0</v>
      </c>
      <c r="M103" s="28">
        <v>0</v>
      </c>
      <c r="N103" s="28">
        <v>0</v>
      </c>
      <c r="O103" s="28">
        <f>G103</f>
        <v>1046.06</v>
      </c>
      <c r="P103" s="28">
        <f>G103*5</f>
        <v>5230.2999999999993</v>
      </c>
      <c r="Q103" s="28">
        <v>0</v>
      </c>
      <c r="R103" s="28">
        <v>0</v>
      </c>
      <c r="S103" s="28">
        <v>0</v>
      </c>
      <c r="T103" s="28">
        <v>0</v>
      </c>
      <c r="U103" s="28">
        <f t="shared" si="43"/>
        <v>56487.239999999991</v>
      </c>
    </row>
    <row r="104" spans="1:27" ht="12.75" customHeight="1">
      <c r="A104" s="133" t="s">
        <v>221</v>
      </c>
      <c r="B104" s="134" t="s">
        <v>253</v>
      </c>
      <c r="C104" s="133" t="s">
        <v>62</v>
      </c>
      <c r="D104" s="90"/>
      <c r="E104" s="50"/>
      <c r="F104" s="50">
        <v>2</v>
      </c>
      <c r="G104" s="50">
        <v>22</v>
      </c>
      <c r="H104" s="66">
        <f t="shared" si="45"/>
        <v>4.3999999999999997E-2</v>
      </c>
      <c r="I104" s="28">
        <v>0</v>
      </c>
      <c r="J104" s="28">
        <v>0</v>
      </c>
      <c r="K104" s="28">
        <f>G104*2</f>
        <v>44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f t="shared" si="43"/>
        <v>44</v>
      </c>
    </row>
    <row r="105" spans="1:27" ht="12.75" customHeight="1">
      <c r="A105" s="133" t="s">
        <v>221</v>
      </c>
      <c r="B105" s="134" t="s">
        <v>254</v>
      </c>
      <c r="C105" s="133" t="s">
        <v>62</v>
      </c>
      <c r="D105" s="90"/>
      <c r="E105" s="50"/>
      <c r="F105" s="50">
        <v>3</v>
      </c>
      <c r="G105" s="50">
        <v>62</v>
      </c>
      <c r="H105" s="66">
        <f t="shared" si="45"/>
        <v>0.186</v>
      </c>
      <c r="I105" s="28">
        <v>0</v>
      </c>
      <c r="J105" s="28">
        <v>0</v>
      </c>
      <c r="K105" s="28">
        <f>G105*(1+2)</f>
        <v>186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f t="shared" si="43"/>
        <v>186</v>
      </c>
    </row>
    <row r="106" spans="1:27" ht="12.75" customHeight="1">
      <c r="A106" s="133" t="s">
        <v>221</v>
      </c>
      <c r="B106" s="134" t="s">
        <v>222</v>
      </c>
      <c r="C106" s="133" t="s">
        <v>62</v>
      </c>
      <c r="D106" s="90"/>
      <c r="E106" s="50"/>
      <c r="F106" s="50">
        <v>3</v>
      </c>
      <c r="G106" s="50">
        <v>118</v>
      </c>
      <c r="H106" s="66">
        <f t="shared" si="45"/>
        <v>0.35399999999999998</v>
      </c>
      <c r="I106" s="28">
        <v>0</v>
      </c>
      <c r="J106" s="28">
        <v>0</v>
      </c>
      <c r="K106" s="28">
        <f>G106*2</f>
        <v>236</v>
      </c>
      <c r="L106" s="28">
        <v>0</v>
      </c>
      <c r="M106" s="28">
        <v>0</v>
      </c>
      <c r="N106" s="28">
        <v>0</v>
      </c>
      <c r="O106" s="28">
        <v>0</v>
      </c>
      <c r="P106" s="28">
        <f>G106</f>
        <v>118</v>
      </c>
      <c r="Q106" s="28">
        <v>0</v>
      </c>
      <c r="R106" s="28">
        <v>0</v>
      </c>
      <c r="S106" s="28">
        <v>0</v>
      </c>
      <c r="T106" s="28">
        <v>0</v>
      </c>
      <c r="U106" s="28">
        <f t="shared" si="43"/>
        <v>354</v>
      </c>
    </row>
    <row r="107" spans="1:27">
      <c r="A107" s="133" t="s">
        <v>221</v>
      </c>
      <c r="B107" s="134" t="s">
        <v>260</v>
      </c>
      <c r="C107" s="133" t="s">
        <v>62</v>
      </c>
      <c r="D107" s="9"/>
      <c r="E107" s="36"/>
      <c r="F107" s="50">
        <v>15</v>
      </c>
      <c r="G107" s="50">
        <v>140</v>
      </c>
      <c r="H107" s="66">
        <f t="shared" si="45"/>
        <v>2.1</v>
      </c>
      <c r="I107" s="156">
        <v>0</v>
      </c>
      <c r="J107" s="156">
        <v>0</v>
      </c>
      <c r="K107" s="156">
        <f>G107*(4+3+1+4)</f>
        <v>1680</v>
      </c>
      <c r="L107" s="28">
        <v>0</v>
      </c>
      <c r="M107" s="156">
        <v>0</v>
      </c>
      <c r="N107" s="28">
        <v>0</v>
      </c>
      <c r="O107" s="28">
        <f>G107</f>
        <v>140</v>
      </c>
      <c r="P107" s="28">
        <f>G107*2</f>
        <v>280</v>
      </c>
      <c r="Q107" s="28">
        <v>0</v>
      </c>
      <c r="R107" s="28">
        <v>0</v>
      </c>
      <c r="S107" s="28">
        <v>0</v>
      </c>
      <c r="T107" s="28">
        <v>0</v>
      </c>
      <c r="U107" s="28">
        <f t="shared" si="43"/>
        <v>2100</v>
      </c>
    </row>
    <row r="108" spans="1:27" ht="12.75" customHeight="1">
      <c r="A108" s="133" t="s">
        <v>221</v>
      </c>
      <c r="B108" s="134" t="s">
        <v>256</v>
      </c>
      <c r="C108" s="133" t="s">
        <v>62</v>
      </c>
      <c r="D108" s="90"/>
      <c r="E108" s="50"/>
      <c r="F108" s="50">
        <v>6</v>
      </c>
      <c r="G108" s="50">
        <v>63</v>
      </c>
      <c r="H108" s="66">
        <f t="shared" ref="H108" si="46">G108*F108/1000</f>
        <v>0.378</v>
      </c>
      <c r="I108" s="28">
        <v>0</v>
      </c>
      <c r="J108" s="28">
        <v>0</v>
      </c>
      <c r="K108" s="28">
        <f>G108*(1+2+2)</f>
        <v>315</v>
      </c>
      <c r="L108" s="28">
        <v>0</v>
      </c>
      <c r="M108" s="156">
        <v>0</v>
      </c>
      <c r="N108" s="28">
        <v>0</v>
      </c>
      <c r="O108" s="28">
        <v>0</v>
      </c>
      <c r="P108" s="28">
        <f>G108</f>
        <v>63</v>
      </c>
      <c r="Q108" s="28">
        <v>0</v>
      </c>
      <c r="R108" s="28">
        <v>0</v>
      </c>
      <c r="S108" s="28">
        <v>0</v>
      </c>
      <c r="T108" s="28">
        <v>0</v>
      </c>
      <c r="U108" s="28">
        <f t="shared" si="43"/>
        <v>378</v>
      </c>
    </row>
    <row r="109" spans="1:27" ht="12.75" customHeight="1">
      <c r="A109" s="133" t="s">
        <v>221</v>
      </c>
      <c r="B109" s="134" t="s">
        <v>255</v>
      </c>
      <c r="C109" s="133" t="s">
        <v>62</v>
      </c>
      <c r="D109" s="90"/>
      <c r="E109" s="50"/>
      <c r="F109" s="50">
        <v>11</v>
      </c>
      <c r="G109" s="50">
        <v>61</v>
      </c>
      <c r="H109" s="66">
        <f t="shared" si="45"/>
        <v>0.67100000000000004</v>
      </c>
      <c r="I109" s="28">
        <v>0</v>
      </c>
      <c r="J109" s="28">
        <v>0</v>
      </c>
      <c r="K109" s="28">
        <f>G109*(2+6+3)</f>
        <v>671</v>
      </c>
      <c r="L109" s="28">
        <v>0</v>
      </c>
      <c r="M109" s="156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f t="shared" si="43"/>
        <v>671</v>
      </c>
    </row>
    <row r="110" spans="1:27" ht="25.5" customHeight="1">
      <c r="A110" s="128" t="s">
        <v>259</v>
      </c>
      <c r="B110" s="129" t="s">
        <v>257</v>
      </c>
      <c r="C110" s="128" t="s">
        <v>258</v>
      </c>
      <c r="D110" s="90"/>
      <c r="E110" s="50"/>
      <c r="F110" s="50">
        <v>1</v>
      </c>
      <c r="G110" s="50">
        <v>663.38</v>
      </c>
      <c r="H110" s="66">
        <f t="shared" si="45"/>
        <v>0.66337999999999997</v>
      </c>
      <c r="I110" s="28">
        <v>0</v>
      </c>
      <c r="J110" s="28">
        <v>0</v>
      </c>
      <c r="K110" s="28">
        <f>G110</f>
        <v>663.38</v>
      </c>
      <c r="L110" s="28">
        <v>0</v>
      </c>
      <c r="M110" s="156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28">
        <f t="shared" si="43"/>
        <v>663.38</v>
      </c>
    </row>
    <row r="111" spans="1:27">
      <c r="A111" s="133" t="s">
        <v>221</v>
      </c>
      <c r="B111" s="134" t="s">
        <v>261</v>
      </c>
      <c r="C111" s="133" t="s">
        <v>62</v>
      </c>
      <c r="D111" s="90"/>
      <c r="E111" s="50"/>
      <c r="F111" s="50">
        <v>2</v>
      </c>
      <c r="G111" s="50">
        <v>120</v>
      </c>
      <c r="H111" s="66">
        <f t="shared" si="45"/>
        <v>0.24</v>
      </c>
      <c r="I111" s="28">
        <v>0</v>
      </c>
      <c r="J111" s="28">
        <v>0</v>
      </c>
      <c r="K111" s="28">
        <f>G111*2</f>
        <v>240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0</v>
      </c>
      <c r="U111" s="28">
        <f t="shared" si="43"/>
        <v>240</v>
      </c>
      <c r="V111" s="150"/>
      <c r="W111" s="150"/>
      <c r="X111" s="150"/>
      <c r="Y111" s="150"/>
      <c r="Z111" s="150"/>
      <c r="AA111" s="150"/>
    </row>
    <row r="112" spans="1:27" ht="12.75" customHeight="1">
      <c r="A112" s="133" t="s">
        <v>221</v>
      </c>
      <c r="B112" s="134" t="s">
        <v>262</v>
      </c>
      <c r="C112" s="133" t="s">
        <v>62</v>
      </c>
      <c r="D112" s="90"/>
      <c r="E112" s="50"/>
      <c r="F112" s="50">
        <v>5</v>
      </c>
      <c r="G112" s="50">
        <v>40</v>
      </c>
      <c r="H112" s="66">
        <f t="shared" si="45"/>
        <v>0.2</v>
      </c>
      <c r="I112" s="28">
        <v>0</v>
      </c>
      <c r="J112" s="28">
        <v>0</v>
      </c>
      <c r="K112" s="28">
        <f>G112*3</f>
        <v>120</v>
      </c>
      <c r="L112" s="28">
        <v>0</v>
      </c>
      <c r="M112" s="156">
        <v>0</v>
      </c>
      <c r="N112" s="28">
        <v>0</v>
      </c>
      <c r="O112" s="28">
        <v>0</v>
      </c>
      <c r="P112" s="28">
        <f>G112*2</f>
        <v>80</v>
      </c>
      <c r="Q112" s="28">
        <v>0</v>
      </c>
      <c r="R112" s="28">
        <v>0</v>
      </c>
      <c r="S112" s="28">
        <v>0</v>
      </c>
      <c r="T112" s="28">
        <v>0</v>
      </c>
      <c r="U112" s="28">
        <f t="shared" si="43"/>
        <v>200</v>
      </c>
    </row>
    <row r="113" spans="1:27">
      <c r="A113" s="133" t="s">
        <v>221</v>
      </c>
      <c r="B113" s="134" t="s">
        <v>263</v>
      </c>
      <c r="C113" s="133" t="s">
        <v>62</v>
      </c>
      <c r="D113" s="90"/>
      <c r="E113" s="50"/>
      <c r="F113" s="50">
        <v>7</v>
      </c>
      <c r="G113" s="50">
        <v>112</v>
      </c>
      <c r="H113" s="66">
        <f t="shared" ref="H113:H114" si="47">G113*F113/1000</f>
        <v>0.78400000000000003</v>
      </c>
      <c r="I113" s="28">
        <v>0</v>
      </c>
      <c r="J113" s="28">
        <v>0</v>
      </c>
      <c r="K113" s="28">
        <f>G113*(1+4)</f>
        <v>560</v>
      </c>
      <c r="L113" s="28">
        <v>0</v>
      </c>
      <c r="M113" s="28">
        <v>0</v>
      </c>
      <c r="N113" s="28">
        <v>0</v>
      </c>
      <c r="O113" s="28">
        <v>0</v>
      </c>
      <c r="P113" s="28">
        <f>G113*2</f>
        <v>224</v>
      </c>
      <c r="Q113" s="28">
        <v>0</v>
      </c>
      <c r="R113" s="28">
        <v>0</v>
      </c>
      <c r="S113" s="28">
        <v>0</v>
      </c>
      <c r="T113" s="28">
        <v>0</v>
      </c>
      <c r="U113" s="28">
        <f t="shared" si="43"/>
        <v>784</v>
      </c>
      <c r="V113" s="150"/>
      <c r="W113" s="150"/>
      <c r="X113" s="150"/>
      <c r="Y113" s="150"/>
      <c r="Z113" s="150"/>
      <c r="AA113" s="150"/>
    </row>
    <row r="114" spans="1:27" ht="25.5" customHeight="1">
      <c r="A114" s="128" t="s">
        <v>264</v>
      </c>
      <c r="B114" s="129" t="s">
        <v>265</v>
      </c>
      <c r="C114" s="128" t="s">
        <v>143</v>
      </c>
      <c r="D114" s="90"/>
      <c r="E114" s="50"/>
      <c r="F114" s="50">
        <v>2</v>
      </c>
      <c r="G114" s="50">
        <v>727.73</v>
      </c>
      <c r="H114" s="66">
        <f t="shared" si="47"/>
        <v>1.45546</v>
      </c>
      <c r="I114" s="156">
        <v>0</v>
      </c>
      <c r="J114" s="156">
        <v>0</v>
      </c>
      <c r="K114" s="156">
        <f>G114*2</f>
        <v>1455.46</v>
      </c>
      <c r="L114" s="156">
        <v>0</v>
      </c>
      <c r="M114" s="156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f t="shared" si="43"/>
        <v>1455.46</v>
      </c>
    </row>
    <row r="115" spans="1:27" ht="25.5" customHeight="1">
      <c r="A115" s="128" t="s">
        <v>264</v>
      </c>
      <c r="B115" s="129" t="s">
        <v>266</v>
      </c>
      <c r="C115" s="128" t="s">
        <v>143</v>
      </c>
      <c r="D115" s="90"/>
      <c r="E115" s="50"/>
      <c r="F115" s="50">
        <v>4</v>
      </c>
      <c r="G115" s="50">
        <v>671.73</v>
      </c>
      <c r="H115" s="66">
        <f t="shared" ref="H115:H117" si="48">G115*F115/1000</f>
        <v>2.6869200000000002</v>
      </c>
      <c r="I115" s="156">
        <v>0</v>
      </c>
      <c r="J115" s="156">
        <v>0</v>
      </c>
      <c r="K115" s="156">
        <f>G115*4</f>
        <v>2686.92</v>
      </c>
      <c r="L115" s="156">
        <v>0</v>
      </c>
      <c r="M115" s="156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f t="shared" si="43"/>
        <v>2686.92</v>
      </c>
    </row>
    <row r="116" spans="1:27">
      <c r="A116" s="133" t="s">
        <v>221</v>
      </c>
      <c r="B116" s="134" t="s">
        <v>267</v>
      </c>
      <c r="C116" s="133" t="s">
        <v>62</v>
      </c>
      <c r="D116" s="90"/>
      <c r="E116" s="50"/>
      <c r="F116" s="50">
        <v>1</v>
      </c>
      <c r="G116" s="50">
        <v>82</v>
      </c>
      <c r="H116" s="66">
        <f t="shared" si="48"/>
        <v>8.2000000000000003E-2</v>
      </c>
      <c r="I116" s="28">
        <v>0</v>
      </c>
      <c r="J116" s="28">
        <v>0</v>
      </c>
      <c r="K116" s="28">
        <f>G116</f>
        <v>82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f t="shared" si="43"/>
        <v>82</v>
      </c>
      <c r="V116" s="150"/>
      <c r="W116" s="150"/>
      <c r="X116" s="150"/>
      <c r="Y116" s="150"/>
      <c r="Z116" s="150"/>
      <c r="AA116" s="150"/>
    </row>
    <row r="117" spans="1:27">
      <c r="A117" s="133" t="s">
        <v>221</v>
      </c>
      <c r="B117" s="134" t="s">
        <v>268</v>
      </c>
      <c r="C117" s="133" t="s">
        <v>62</v>
      </c>
      <c r="D117" s="9"/>
      <c r="E117" s="36"/>
      <c r="F117" s="50">
        <v>2</v>
      </c>
      <c r="G117" s="50">
        <v>70</v>
      </c>
      <c r="H117" s="66">
        <f t="shared" si="48"/>
        <v>0.14000000000000001</v>
      </c>
      <c r="I117" s="156">
        <v>0</v>
      </c>
      <c r="J117" s="156">
        <v>0</v>
      </c>
      <c r="K117" s="156">
        <f>G117</f>
        <v>70</v>
      </c>
      <c r="L117" s="156">
        <v>0</v>
      </c>
      <c r="M117" s="156">
        <v>0</v>
      </c>
      <c r="N117" s="28">
        <v>0</v>
      </c>
      <c r="O117" s="28">
        <f>G117</f>
        <v>70</v>
      </c>
      <c r="P117" s="28">
        <v>0</v>
      </c>
      <c r="Q117" s="28">
        <v>0</v>
      </c>
      <c r="R117" s="28">
        <v>0</v>
      </c>
      <c r="S117" s="28">
        <v>0</v>
      </c>
      <c r="T117" s="28">
        <v>0</v>
      </c>
      <c r="U117" s="28">
        <f t="shared" si="43"/>
        <v>140</v>
      </c>
    </row>
    <row r="118" spans="1:27" ht="25.5">
      <c r="A118" s="155" t="s">
        <v>215</v>
      </c>
      <c r="B118" s="134" t="s">
        <v>140</v>
      </c>
      <c r="C118" s="133" t="s">
        <v>62</v>
      </c>
      <c r="D118" s="131"/>
      <c r="E118" s="50"/>
      <c r="F118" s="50">
        <v>7</v>
      </c>
      <c r="G118" s="50">
        <v>83.36</v>
      </c>
      <c r="H118" s="66">
        <f>G118*F118/1000</f>
        <v>0.58351999999999993</v>
      </c>
      <c r="I118" s="28">
        <v>0</v>
      </c>
      <c r="J118" s="28">
        <v>0</v>
      </c>
      <c r="K118" s="28">
        <f>G118</f>
        <v>83.36</v>
      </c>
      <c r="L118" s="28">
        <v>0</v>
      </c>
      <c r="M118" s="28">
        <v>0</v>
      </c>
      <c r="N118" s="28">
        <v>0</v>
      </c>
      <c r="O118" s="28">
        <f>G118</f>
        <v>83.36</v>
      </c>
      <c r="P118" s="28">
        <v>0</v>
      </c>
      <c r="Q118" s="28">
        <f>G118*2</f>
        <v>166.72</v>
      </c>
      <c r="R118" s="28">
        <f>G118</f>
        <v>83.36</v>
      </c>
      <c r="S118" s="28">
        <f>G118</f>
        <v>83.36</v>
      </c>
      <c r="T118" s="28">
        <f>G118</f>
        <v>83.36</v>
      </c>
      <c r="U118" s="28">
        <f t="shared" si="43"/>
        <v>583.52</v>
      </c>
    </row>
    <row r="119" spans="1:27" ht="12.75" customHeight="1">
      <c r="A119" s="152" t="s">
        <v>270</v>
      </c>
      <c r="B119" s="129" t="s">
        <v>86</v>
      </c>
      <c r="C119" s="128" t="s">
        <v>62</v>
      </c>
      <c r="D119" s="131"/>
      <c r="E119" s="50"/>
      <c r="F119" s="50">
        <v>4</v>
      </c>
      <c r="G119" s="50">
        <v>157.72999999999999</v>
      </c>
      <c r="H119" s="66">
        <f>G119*F119/1000</f>
        <v>0.63091999999999993</v>
      </c>
      <c r="I119" s="28">
        <v>0</v>
      </c>
      <c r="J119" s="28">
        <v>0</v>
      </c>
      <c r="K119" s="28">
        <f>G119*4</f>
        <v>630.91999999999996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>
        <v>0</v>
      </c>
      <c r="U119" s="28">
        <f t="shared" si="43"/>
        <v>630.91999999999996</v>
      </c>
    </row>
    <row r="120" spans="1:27" ht="25.5" customHeight="1">
      <c r="A120" s="160" t="s">
        <v>272</v>
      </c>
      <c r="B120" s="161" t="s">
        <v>273</v>
      </c>
      <c r="C120" s="162" t="s">
        <v>274</v>
      </c>
      <c r="D120" s="132"/>
      <c r="E120" s="50"/>
      <c r="F120" s="50">
        <v>1</v>
      </c>
      <c r="G120" s="50">
        <v>402.59</v>
      </c>
      <c r="H120" s="66">
        <f>G120*F120/1000</f>
        <v>0.40258999999999995</v>
      </c>
      <c r="I120" s="28">
        <v>0</v>
      </c>
      <c r="J120" s="28">
        <v>0</v>
      </c>
      <c r="K120" s="28">
        <f>G120</f>
        <v>402.59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28">
        <f t="shared" si="43"/>
        <v>402.59</v>
      </c>
    </row>
    <row r="121" spans="1:27" ht="25.5">
      <c r="A121" s="157" t="s">
        <v>148</v>
      </c>
      <c r="B121" s="158" t="s">
        <v>150</v>
      </c>
      <c r="C121" s="159" t="s">
        <v>149</v>
      </c>
      <c r="D121" s="131"/>
      <c r="E121" s="50"/>
      <c r="F121" s="50">
        <v>2</v>
      </c>
      <c r="G121" s="50">
        <v>1934.94</v>
      </c>
      <c r="H121" s="66">
        <f>G121*F121/1000</f>
        <v>3.8698800000000002</v>
      </c>
      <c r="I121" s="28">
        <v>0</v>
      </c>
      <c r="J121" s="28">
        <v>0</v>
      </c>
      <c r="K121" s="28">
        <v>0</v>
      </c>
      <c r="L121" s="28">
        <f>G121</f>
        <v>1934.94</v>
      </c>
      <c r="M121" s="28">
        <f>G121</f>
        <v>1934.94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>
        <v>0</v>
      </c>
      <c r="U121" s="28">
        <f t="shared" si="43"/>
        <v>3869.88</v>
      </c>
    </row>
    <row r="122" spans="1:27" ht="25.5" customHeight="1">
      <c r="A122" s="155" t="s">
        <v>153</v>
      </c>
      <c r="B122" s="134" t="s">
        <v>269</v>
      </c>
      <c r="C122" s="133" t="s">
        <v>154</v>
      </c>
      <c r="D122" s="131"/>
      <c r="E122" s="50"/>
      <c r="F122" s="50">
        <v>22.5</v>
      </c>
      <c r="G122" s="50">
        <v>1272</v>
      </c>
      <c r="H122" s="66">
        <f t="shared" ref="H122:H123" si="49">G122*F122/1000</f>
        <v>28.62</v>
      </c>
      <c r="I122" s="28">
        <v>0</v>
      </c>
      <c r="J122" s="28">
        <v>0</v>
      </c>
      <c r="K122" s="28">
        <v>0</v>
      </c>
      <c r="L122" s="28">
        <f>G122*0.5</f>
        <v>636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f>G122*2</f>
        <v>2544</v>
      </c>
      <c r="T122" s="28">
        <f>G122*20</f>
        <v>25440</v>
      </c>
      <c r="U122" s="28">
        <f t="shared" si="43"/>
        <v>28620</v>
      </c>
    </row>
    <row r="123" spans="1:27" ht="25.5" customHeight="1">
      <c r="A123" s="133" t="s">
        <v>201</v>
      </c>
      <c r="B123" s="134" t="s">
        <v>271</v>
      </c>
      <c r="C123" s="133" t="s">
        <v>167</v>
      </c>
      <c r="D123" s="131"/>
      <c r="E123" s="50"/>
      <c r="F123" s="50">
        <v>0.02</v>
      </c>
      <c r="G123" s="50">
        <v>7412.92</v>
      </c>
      <c r="H123" s="66">
        <f t="shared" si="49"/>
        <v>0.14825839999999998</v>
      </c>
      <c r="I123" s="28">
        <v>0</v>
      </c>
      <c r="J123" s="28">
        <v>0</v>
      </c>
      <c r="K123" s="28">
        <v>0</v>
      </c>
      <c r="L123" s="28">
        <f>G123*0.01</f>
        <v>74.129199999999997</v>
      </c>
      <c r="M123" s="28">
        <v>0</v>
      </c>
      <c r="N123" s="28">
        <v>0</v>
      </c>
      <c r="O123" s="28">
        <v>0</v>
      </c>
      <c r="P123" s="28">
        <v>0</v>
      </c>
      <c r="Q123" s="28">
        <f>G123*0.01</f>
        <v>74.129199999999997</v>
      </c>
      <c r="R123" s="28">
        <v>0</v>
      </c>
      <c r="S123" s="28">
        <v>0</v>
      </c>
      <c r="T123" s="28">
        <v>0</v>
      </c>
      <c r="U123" s="28">
        <f t="shared" si="43"/>
        <v>148.25839999999999</v>
      </c>
    </row>
    <row r="124" spans="1:27" ht="25.5" customHeight="1">
      <c r="A124" s="133" t="s">
        <v>200</v>
      </c>
      <c r="B124" s="134" t="s">
        <v>156</v>
      </c>
      <c r="C124" s="133" t="s">
        <v>59</v>
      </c>
      <c r="D124" s="132"/>
      <c r="E124" s="50"/>
      <c r="F124" s="50">
        <v>0.12</v>
      </c>
      <c r="G124" s="50">
        <v>3581.13</v>
      </c>
      <c r="H124" s="66">
        <f>G124*F124/1000</f>
        <v>0.4297356</v>
      </c>
      <c r="I124" s="28">
        <v>0</v>
      </c>
      <c r="J124" s="28">
        <v>0</v>
      </c>
      <c r="K124" s="28">
        <v>0</v>
      </c>
      <c r="L124" s="28">
        <f>G124*0.01</f>
        <v>35.811300000000003</v>
      </c>
      <c r="M124" s="28">
        <v>0</v>
      </c>
      <c r="N124" s="28">
        <v>0</v>
      </c>
      <c r="O124" s="28">
        <v>0</v>
      </c>
      <c r="P124" s="28">
        <f>G124*0.02</f>
        <v>71.622600000000006</v>
      </c>
      <c r="Q124" s="28">
        <f>G124*0.04</f>
        <v>143.24520000000001</v>
      </c>
      <c r="R124" s="28">
        <f>G124*0.02</f>
        <v>71.622600000000006</v>
      </c>
      <c r="S124" s="28">
        <f>G124*0.02</f>
        <v>71.622600000000006</v>
      </c>
      <c r="T124" s="28">
        <f>G124*0.01</f>
        <v>35.811300000000003</v>
      </c>
      <c r="U124" s="28">
        <f t="shared" si="43"/>
        <v>429.73560000000003</v>
      </c>
    </row>
    <row r="125" spans="1:27" ht="38.25" customHeight="1">
      <c r="A125" s="160" t="s">
        <v>276</v>
      </c>
      <c r="B125" s="129" t="s">
        <v>302</v>
      </c>
      <c r="C125" s="162" t="s">
        <v>275</v>
      </c>
      <c r="D125" s="132"/>
      <c r="E125" s="50"/>
      <c r="F125" s="50">
        <v>0.5</v>
      </c>
      <c r="G125" s="50">
        <v>6848.69</v>
      </c>
      <c r="H125" s="66">
        <f>G125*F125/1000</f>
        <v>3.4243449999999998</v>
      </c>
      <c r="I125" s="28">
        <v>0</v>
      </c>
      <c r="J125" s="28">
        <v>0</v>
      </c>
      <c r="K125" s="28">
        <v>0</v>
      </c>
      <c r="L125" s="28">
        <f>G125*0.3</f>
        <v>2054.607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f>G125*0.2</f>
        <v>1369.7380000000001</v>
      </c>
      <c r="S125" s="28">
        <v>0</v>
      </c>
      <c r="T125" s="28">
        <v>0</v>
      </c>
      <c r="U125" s="28">
        <f t="shared" si="43"/>
        <v>3424.3450000000003</v>
      </c>
    </row>
    <row r="126" spans="1:27">
      <c r="A126" s="133" t="s">
        <v>148</v>
      </c>
      <c r="B126" s="134" t="s">
        <v>306</v>
      </c>
      <c r="C126" s="133" t="s">
        <v>38</v>
      </c>
      <c r="D126" s="9"/>
      <c r="E126" s="36"/>
      <c r="F126" s="50">
        <f>(222.76+106.76+65.11+124.75+25.49)-(18.15*6)+(((7.4-(18.15*6))*44.31)/G126)</f>
        <v>330.42048110772123</v>
      </c>
      <c r="G126" s="50">
        <v>42.61</v>
      </c>
      <c r="H126" s="50">
        <f t="shared" ref="H126" si="50">G126*F126/1000</f>
        <v>14.079216700000002</v>
      </c>
      <c r="I126" s="156">
        <v>0</v>
      </c>
      <c r="J126" s="156">
        <v>0</v>
      </c>
      <c r="K126" s="156">
        <v>0</v>
      </c>
      <c r="L126" s="156">
        <v>0</v>
      </c>
      <c r="M126" s="156">
        <v>0</v>
      </c>
      <c r="N126" s="28">
        <f>G126*F126</f>
        <v>14079.216700000001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28">
        <f t="shared" si="43"/>
        <v>14079.216700000001</v>
      </c>
    </row>
    <row r="127" spans="1:27" ht="25.5" customHeight="1">
      <c r="A127" s="152" t="s">
        <v>278</v>
      </c>
      <c r="B127" s="129" t="s">
        <v>277</v>
      </c>
      <c r="C127" s="128" t="s">
        <v>275</v>
      </c>
      <c r="D127" s="132"/>
      <c r="E127" s="50"/>
      <c r="F127" s="135">
        <v>5</v>
      </c>
      <c r="G127" s="50">
        <v>141.13</v>
      </c>
      <c r="H127" s="66">
        <f>G127*F127/1000</f>
        <v>0.70565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f>G127*5</f>
        <v>705.65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f t="shared" si="43"/>
        <v>705.65</v>
      </c>
    </row>
    <row r="128" spans="1:27" ht="25.5" customHeight="1">
      <c r="A128" s="133" t="s">
        <v>281</v>
      </c>
      <c r="B128" s="134" t="s">
        <v>279</v>
      </c>
      <c r="C128" s="133" t="s">
        <v>280</v>
      </c>
      <c r="D128" s="132"/>
      <c r="E128" s="50"/>
      <c r="F128" s="135">
        <v>5</v>
      </c>
      <c r="G128" s="50">
        <v>91.45</v>
      </c>
      <c r="H128" s="66">
        <f>G128*F128/1000</f>
        <v>0.45724999999999999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f>G128*5</f>
        <v>457.25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f t="shared" si="43"/>
        <v>457.25</v>
      </c>
    </row>
    <row r="129" spans="1:27">
      <c r="A129" s="152" t="s">
        <v>282</v>
      </c>
      <c r="B129" s="129" t="s">
        <v>283</v>
      </c>
      <c r="C129" s="128" t="s">
        <v>155</v>
      </c>
      <c r="D129" s="90"/>
      <c r="E129" s="50"/>
      <c r="F129" s="50">
        <f>1/10</f>
        <v>0.1</v>
      </c>
      <c r="G129" s="50">
        <v>976.72</v>
      </c>
      <c r="H129" s="66">
        <f t="shared" ref="H129" si="51">G129*F129/1000</f>
        <v>9.7672000000000009E-2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f>G129*0.1</f>
        <v>97.672000000000011</v>
      </c>
      <c r="P129" s="28">
        <v>0</v>
      </c>
      <c r="Q129" s="28">
        <v>0</v>
      </c>
      <c r="R129" s="28">
        <v>0</v>
      </c>
      <c r="S129" s="28">
        <v>0</v>
      </c>
      <c r="T129" s="28">
        <v>0</v>
      </c>
      <c r="U129" s="28">
        <f t="shared" si="43"/>
        <v>97.672000000000011</v>
      </c>
    </row>
    <row r="130" spans="1:27" ht="12.75" customHeight="1">
      <c r="A130" s="153" t="s">
        <v>248</v>
      </c>
      <c r="B130" s="154" t="s">
        <v>284</v>
      </c>
      <c r="C130" s="153" t="s">
        <v>171</v>
      </c>
      <c r="D130" s="131"/>
      <c r="E130" s="135"/>
      <c r="F130" s="135">
        <v>2</v>
      </c>
      <c r="G130" s="135">
        <v>1120.8900000000001</v>
      </c>
      <c r="H130" s="136">
        <f>G130*F130/1000</f>
        <v>2.2417800000000003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f>G130*2</f>
        <v>2241.7800000000002</v>
      </c>
      <c r="P130" s="28">
        <v>0</v>
      </c>
      <c r="Q130" s="28">
        <v>0</v>
      </c>
      <c r="R130" s="28">
        <v>0</v>
      </c>
      <c r="S130" s="28">
        <v>0</v>
      </c>
      <c r="T130" s="28">
        <v>0</v>
      </c>
      <c r="U130" s="28">
        <f t="shared" si="43"/>
        <v>2241.7800000000002</v>
      </c>
    </row>
    <row r="131" spans="1:27" ht="25.5">
      <c r="A131" s="128" t="s">
        <v>219</v>
      </c>
      <c r="B131" s="129" t="s">
        <v>220</v>
      </c>
      <c r="C131" s="128" t="s">
        <v>143</v>
      </c>
      <c r="D131" s="90"/>
      <c r="E131" s="50"/>
      <c r="F131" s="50">
        <v>1</v>
      </c>
      <c r="G131" s="50">
        <v>832.06</v>
      </c>
      <c r="H131" s="66">
        <f t="shared" ref="H131" si="52">G131*F131/1000</f>
        <v>0.83205999999999991</v>
      </c>
      <c r="I131" s="156">
        <v>0</v>
      </c>
      <c r="J131" s="156">
        <v>0</v>
      </c>
      <c r="K131" s="156">
        <v>0</v>
      </c>
      <c r="L131" s="156">
        <v>0</v>
      </c>
      <c r="M131" s="156">
        <v>0</v>
      </c>
      <c r="N131" s="156">
        <v>0</v>
      </c>
      <c r="O131" s="156">
        <v>0</v>
      </c>
      <c r="P131" s="156">
        <f>G131</f>
        <v>832.06</v>
      </c>
      <c r="Q131" s="156">
        <v>0</v>
      </c>
      <c r="R131" s="156">
        <v>0</v>
      </c>
      <c r="S131" s="156">
        <v>0</v>
      </c>
      <c r="T131" s="28">
        <v>0</v>
      </c>
      <c r="U131" s="28">
        <f t="shared" si="43"/>
        <v>832.06</v>
      </c>
    </row>
    <row r="132" spans="1:27" ht="12.75" customHeight="1">
      <c r="A132" s="128" t="s">
        <v>221</v>
      </c>
      <c r="B132" s="129" t="s">
        <v>294</v>
      </c>
      <c r="C132" s="128" t="s">
        <v>62</v>
      </c>
      <c r="D132" s="131"/>
      <c r="E132" s="50"/>
      <c r="F132" s="50">
        <v>1</v>
      </c>
      <c r="G132" s="50">
        <v>108</v>
      </c>
      <c r="H132" s="66">
        <f>G132*F132/1000</f>
        <v>0.108</v>
      </c>
      <c r="I132" s="28">
        <v>0</v>
      </c>
      <c r="J132" s="28">
        <v>0</v>
      </c>
      <c r="K132" s="156">
        <v>0</v>
      </c>
      <c r="L132" s="28">
        <v>0</v>
      </c>
      <c r="M132" s="156">
        <v>0</v>
      </c>
      <c r="N132" s="156">
        <v>0</v>
      </c>
      <c r="O132" s="156">
        <v>0</v>
      </c>
      <c r="P132" s="156">
        <f>G132</f>
        <v>108</v>
      </c>
      <c r="Q132" s="156">
        <v>0</v>
      </c>
      <c r="R132" s="156">
        <v>0</v>
      </c>
      <c r="S132" s="156">
        <v>0</v>
      </c>
      <c r="T132" s="28">
        <v>0</v>
      </c>
      <c r="U132" s="28">
        <f t="shared" si="43"/>
        <v>108</v>
      </c>
    </row>
    <row r="133" spans="1:27" s="163" customFormat="1" ht="25.5" customHeight="1">
      <c r="A133" s="133" t="s">
        <v>285</v>
      </c>
      <c r="B133" s="134" t="s">
        <v>286</v>
      </c>
      <c r="C133" s="133" t="s">
        <v>224</v>
      </c>
      <c r="D133" s="90"/>
      <c r="E133" s="50"/>
      <c r="F133" s="50">
        <f>20/10</f>
        <v>2</v>
      </c>
      <c r="G133" s="50">
        <v>2064.25</v>
      </c>
      <c r="H133" s="136">
        <f t="shared" ref="H133:H139" si="53">G133*F133/1000</f>
        <v>4.1284999999999998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f>G133*2</f>
        <v>4128.5</v>
      </c>
      <c r="Q133" s="28">
        <v>0</v>
      </c>
      <c r="R133" s="28">
        <v>0</v>
      </c>
      <c r="S133" s="28">
        <v>0</v>
      </c>
      <c r="T133" s="28">
        <v>0</v>
      </c>
      <c r="U133" s="28">
        <f t="shared" si="43"/>
        <v>4128.5</v>
      </c>
    </row>
    <row r="134" spans="1:27" s="163" customFormat="1" ht="25.5" customHeight="1">
      <c r="A134" s="133" t="s">
        <v>221</v>
      </c>
      <c r="B134" s="134" t="s">
        <v>287</v>
      </c>
      <c r="C134" s="133" t="s">
        <v>62</v>
      </c>
      <c r="D134" s="90"/>
      <c r="E134" s="50"/>
      <c r="F134" s="50">
        <v>1</v>
      </c>
      <c r="G134" s="50">
        <v>3575.4</v>
      </c>
      <c r="H134" s="136">
        <f t="shared" si="53"/>
        <v>3.5754000000000001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f>G134</f>
        <v>3575.4</v>
      </c>
      <c r="Q134" s="28">
        <v>0</v>
      </c>
      <c r="R134" s="28">
        <v>0</v>
      </c>
      <c r="S134" s="28">
        <v>0</v>
      </c>
      <c r="T134" s="28">
        <v>0</v>
      </c>
      <c r="U134" s="28">
        <f t="shared" si="43"/>
        <v>3575.4</v>
      </c>
    </row>
    <row r="135" spans="1:27" ht="38.25" customHeight="1">
      <c r="A135" s="133" t="s">
        <v>228</v>
      </c>
      <c r="B135" s="134" t="s">
        <v>229</v>
      </c>
      <c r="C135" s="133" t="s">
        <v>230</v>
      </c>
      <c r="D135" s="131"/>
      <c r="E135" s="50"/>
      <c r="F135" s="50">
        <v>2</v>
      </c>
      <c r="G135" s="50">
        <v>54.17</v>
      </c>
      <c r="H135" s="66">
        <f t="shared" si="53"/>
        <v>0.10834000000000001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f>G135</f>
        <v>54.17</v>
      </c>
      <c r="R135" s="28">
        <f>G135</f>
        <v>54.17</v>
      </c>
      <c r="S135" s="28">
        <v>0</v>
      </c>
      <c r="T135" s="28">
        <v>0</v>
      </c>
      <c r="U135" s="28">
        <f t="shared" si="43"/>
        <v>108.34</v>
      </c>
    </row>
    <row r="136" spans="1:27" s="163" customFormat="1" ht="12.75" customHeight="1">
      <c r="A136" s="152" t="s">
        <v>292</v>
      </c>
      <c r="B136" s="129" t="s">
        <v>293</v>
      </c>
      <c r="C136" s="128" t="s">
        <v>62</v>
      </c>
      <c r="D136" s="90"/>
      <c r="E136" s="50"/>
      <c r="F136" s="50">
        <v>1</v>
      </c>
      <c r="G136" s="50">
        <v>1037.95</v>
      </c>
      <c r="H136" s="136">
        <f t="shared" si="53"/>
        <v>1.0379500000000002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f>G136</f>
        <v>1037.95</v>
      </c>
      <c r="R136" s="28">
        <v>0</v>
      </c>
      <c r="S136" s="28">
        <v>0</v>
      </c>
      <c r="T136" s="28">
        <v>0</v>
      </c>
      <c r="U136" s="28">
        <f t="shared" si="43"/>
        <v>1037.95</v>
      </c>
    </row>
    <row r="137" spans="1:27" ht="12.75" customHeight="1">
      <c r="A137" s="152" t="s">
        <v>290</v>
      </c>
      <c r="B137" s="129" t="s">
        <v>288</v>
      </c>
      <c r="C137" s="128" t="s">
        <v>289</v>
      </c>
      <c r="D137" s="131"/>
      <c r="E137" s="50"/>
      <c r="F137" s="50">
        <v>30</v>
      </c>
      <c r="G137" s="50">
        <v>88.14</v>
      </c>
      <c r="H137" s="66">
        <f t="shared" si="53"/>
        <v>2.6441999999999997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f>G137*30</f>
        <v>2644.2</v>
      </c>
      <c r="R137" s="28">
        <v>0</v>
      </c>
      <c r="S137" s="28">
        <v>0</v>
      </c>
      <c r="T137" s="28">
        <v>0</v>
      </c>
      <c r="U137" s="28">
        <f t="shared" si="43"/>
        <v>2644.2</v>
      </c>
    </row>
    <row r="138" spans="1:27" ht="25.5" customHeight="1">
      <c r="A138" s="155" t="s">
        <v>295</v>
      </c>
      <c r="B138" s="134" t="s">
        <v>296</v>
      </c>
      <c r="C138" s="133" t="s">
        <v>143</v>
      </c>
      <c r="D138" s="9"/>
      <c r="E138" s="36"/>
      <c r="F138" s="50">
        <v>1</v>
      </c>
      <c r="G138" s="135">
        <v>506.98</v>
      </c>
      <c r="H138" s="66">
        <f t="shared" si="53"/>
        <v>0.50697999999999999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f t="shared" ref="R138:R143" si="54">G138</f>
        <v>506.98</v>
      </c>
      <c r="S138" s="28">
        <v>0</v>
      </c>
      <c r="T138" s="28">
        <v>0</v>
      </c>
      <c r="U138" s="28">
        <f t="shared" ref="U138:U143" si="55">SUM(I138:T138)</f>
        <v>506.98</v>
      </c>
      <c r="V138" s="150"/>
      <c r="W138" s="150"/>
      <c r="X138" s="150"/>
      <c r="Y138" s="150"/>
      <c r="Z138" s="150"/>
      <c r="AA138" s="150"/>
    </row>
    <row r="139" spans="1:27" ht="25.5" customHeight="1">
      <c r="A139" s="133" t="s">
        <v>300</v>
      </c>
      <c r="B139" s="134" t="s">
        <v>298</v>
      </c>
      <c r="C139" s="133" t="s">
        <v>299</v>
      </c>
      <c r="D139" s="9"/>
      <c r="E139" s="36"/>
      <c r="F139" s="50">
        <v>1</v>
      </c>
      <c r="G139" s="135">
        <v>306.37</v>
      </c>
      <c r="H139" s="66">
        <f t="shared" si="53"/>
        <v>0.30637000000000003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f t="shared" si="54"/>
        <v>306.37</v>
      </c>
      <c r="S139" s="28">
        <v>0</v>
      </c>
      <c r="T139" s="28">
        <v>0</v>
      </c>
      <c r="U139" s="28">
        <f t="shared" si="55"/>
        <v>306.37</v>
      </c>
      <c r="V139" s="150"/>
      <c r="W139" s="150"/>
      <c r="X139" s="150"/>
      <c r="Y139" s="150"/>
      <c r="Z139" s="150"/>
      <c r="AA139" s="150"/>
    </row>
    <row r="140" spans="1:27">
      <c r="A140" s="152" t="s">
        <v>232</v>
      </c>
      <c r="B140" s="129" t="s">
        <v>301</v>
      </c>
      <c r="C140" s="128" t="s">
        <v>62</v>
      </c>
      <c r="D140" s="90"/>
      <c r="E140" s="50"/>
      <c r="F140" s="50">
        <v>1</v>
      </c>
      <c r="G140" s="50">
        <v>1202.53</v>
      </c>
      <c r="H140" s="50">
        <f>G140*F140/1000</f>
        <v>1.2025299999999999</v>
      </c>
      <c r="I140" s="156">
        <v>0</v>
      </c>
      <c r="J140" s="156">
        <v>0</v>
      </c>
      <c r="K140" s="156">
        <v>0</v>
      </c>
      <c r="L140" s="156">
        <v>0</v>
      </c>
      <c r="M140" s="156">
        <v>0</v>
      </c>
      <c r="N140" s="156">
        <v>0</v>
      </c>
      <c r="O140" s="156">
        <v>0</v>
      </c>
      <c r="P140" s="156">
        <v>0</v>
      </c>
      <c r="Q140" s="28">
        <v>0</v>
      </c>
      <c r="R140" s="28">
        <f t="shared" si="54"/>
        <v>1202.53</v>
      </c>
      <c r="S140" s="28">
        <v>0</v>
      </c>
      <c r="T140" s="28">
        <v>0</v>
      </c>
      <c r="U140" s="28">
        <f t="shared" si="55"/>
        <v>1202.53</v>
      </c>
      <c r="V140" s="150"/>
      <c r="W140" s="150"/>
      <c r="X140" s="150"/>
      <c r="Y140" s="150"/>
    </row>
    <row r="141" spans="1:27">
      <c r="A141" s="133" t="s">
        <v>148</v>
      </c>
      <c r="B141" s="134" t="s">
        <v>226</v>
      </c>
      <c r="C141" s="133" t="s">
        <v>227</v>
      </c>
      <c r="D141" s="90"/>
      <c r="E141" s="50"/>
      <c r="F141" s="50">
        <v>1</v>
      </c>
      <c r="G141" s="50">
        <v>1582</v>
      </c>
      <c r="H141" s="66">
        <f t="shared" ref="H141" si="56">G141*F141/1000</f>
        <v>1.5820000000000001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f t="shared" si="54"/>
        <v>1582</v>
      </c>
      <c r="S141" s="28">
        <v>0</v>
      </c>
      <c r="T141" s="28">
        <v>0</v>
      </c>
      <c r="U141" s="28">
        <f t="shared" si="55"/>
        <v>1582</v>
      </c>
      <c r="V141" s="150"/>
      <c r="W141" s="150"/>
      <c r="X141" s="150"/>
      <c r="Y141" s="150"/>
      <c r="Z141" s="150"/>
      <c r="AA141" s="150"/>
    </row>
    <row r="142" spans="1:27" ht="51">
      <c r="A142" s="133" t="s">
        <v>225</v>
      </c>
      <c r="B142" s="134" t="s">
        <v>223</v>
      </c>
      <c r="C142" s="133" t="s">
        <v>224</v>
      </c>
      <c r="D142" s="90"/>
      <c r="E142" s="50"/>
      <c r="F142" s="50">
        <f>10/10</f>
        <v>1</v>
      </c>
      <c r="G142" s="50">
        <v>2166.5300000000002</v>
      </c>
      <c r="H142" s="66">
        <f>G142*F142/1000</f>
        <v>2.1665300000000003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f t="shared" si="54"/>
        <v>2166.5300000000002</v>
      </c>
      <c r="S142" s="28">
        <v>0</v>
      </c>
      <c r="T142" s="28">
        <v>0</v>
      </c>
      <c r="U142" s="28">
        <f>SUM(I142:T142)</f>
        <v>2166.5300000000002</v>
      </c>
      <c r="V142" s="150"/>
      <c r="W142" s="150"/>
      <c r="X142" s="150"/>
      <c r="Y142" s="150"/>
      <c r="Z142" s="150"/>
      <c r="AA142" s="150"/>
    </row>
    <row r="143" spans="1:27" ht="12.75" customHeight="1">
      <c r="A143" s="152" t="s">
        <v>153</v>
      </c>
      <c r="B143" s="129" t="s">
        <v>291</v>
      </c>
      <c r="C143" s="128" t="s">
        <v>169</v>
      </c>
      <c r="D143" s="131"/>
      <c r="E143" s="50"/>
      <c r="F143" s="50">
        <v>1</v>
      </c>
      <c r="G143" s="50">
        <v>627762</v>
      </c>
      <c r="H143" s="66">
        <f>G143*F143/1000</f>
        <v>627.76199999999994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f t="shared" si="54"/>
        <v>627762</v>
      </c>
      <c r="S143" s="28">
        <v>0</v>
      </c>
      <c r="T143" s="28">
        <v>0</v>
      </c>
      <c r="U143" s="28">
        <f t="shared" si="55"/>
        <v>627762</v>
      </c>
    </row>
    <row r="144" spans="1:27" ht="25.5">
      <c r="A144" s="155" t="s">
        <v>153</v>
      </c>
      <c r="B144" s="134" t="s">
        <v>231</v>
      </c>
      <c r="C144" s="133" t="s">
        <v>154</v>
      </c>
      <c r="D144" s="131"/>
      <c r="E144" s="50"/>
      <c r="F144" s="50">
        <v>9</v>
      </c>
      <c r="G144" s="50">
        <v>1187</v>
      </c>
      <c r="H144" s="66">
        <f>G144*F144/1000</f>
        <v>10.683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f>G144*6</f>
        <v>7122</v>
      </c>
      <c r="T144" s="28">
        <f>G144*3</f>
        <v>3561</v>
      </c>
      <c r="U144" s="28">
        <f>SUM(I144:T144)</f>
        <v>10683</v>
      </c>
      <c r="V144" s="150"/>
      <c r="W144" s="150"/>
      <c r="X144" s="150"/>
      <c r="Y144" s="150"/>
      <c r="Z144" s="150"/>
      <c r="AA144" s="150"/>
    </row>
    <row r="145" spans="1:21" s="19" customFormat="1">
      <c r="A145" s="99"/>
      <c r="B145" s="100" t="s">
        <v>102</v>
      </c>
      <c r="C145" s="99"/>
      <c r="D145" s="99"/>
      <c r="E145" s="95"/>
      <c r="F145" s="95"/>
      <c r="G145" s="95"/>
      <c r="H145" s="88">
        <f>SUM(H92:H144)</f>
        <v>842.02689269999985</v>
      </c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42">
        <f>SUM(U92:U144)</f>
        <v>842026.89269999997</v>
      </c>
    </row>
    <row r="146" spans="1:21">
      <c r="A146" s="101"/>
      <c r="B146" s="102"/>
      <c r="C146" s="101"/>
      <c r="D146" s="101"/>
      <c r="E146" s="50"/>
      <c r="F146" s="50"/>
      <c r="G146" s="50"/>
      <c r="H146" s="103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126"/>
    </row>
    <row r="147" spans="1:21" ht="12" customHeight="1">
      <c r="A147" s="89"/>
      <c r="B147" s="18" t="s">
        <v>103</v>
      </c>
      <c r="C147" s="65"/>
      <c r="D147" s="90"/>
      <c r="E147" s="50"/>
      <c r="F147" s="50"/>
      <c r="G147" s="50"/>
      <c r="H147" s="104">
        <f>H145/E148/12*1000</f>
        <v>12.063768198229173</v>
      </c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126"/>
    </row>
    <row r="148" spans="1:21" s="19" customFormat="1">
      <c r="A148" s="105"/>
      <c r="B148" s="106" t="s">
        <v>104</v>
      </c>
      <c r="C148" s="107"/>
      <c r="D148" s="106"/>
      <c r="E148" s="147">
        <v>5816.5</v>
      </c>
      <c r="F148" s="108">
        <f>SUM(E148*12)</f>
        <v>69798</v>
      </c>
      <c r="G148" s="109">
        <f>H90+H147</f>
        <v>31.62520599942405</v>
      </c>
      <c r="H148" s="110">
        <f>SUM(F148*G148/1000)</f>
        <v>2207.3761283477997</v>
      </c>
      <c r="I148" s="95">
        <f t="shared" ref="I148:R148" si="57">SUM(I11:I147)</f>
        <v>107568.93868083332</v>
      </c>
      <c r="J148" s="95">
        <f t="shared" si="57"/>
        <v>114284.83473883332</v>
      </c>
      <c r="K148" s="95">
        <f t="shared" si="57"/>
        <v>183364.85025383334</v>
      </c>
      <c r="L148" s="95">
        <f t="shared" si="57"/>
        <v>120225.49257183333</v>
      </c>
      <c r="M148" s="95">
        <f t="shared" si="57"/>
        <v>248541.68101040003</v>
      </c>
      <c r="N148" s="95">
        <f t="shared" si="57"/>
        <v>105899.94615239998</v>
      </c>
      <c r="O148" s="95">
        <f t="shared" si="57"/>
        <v>95493.6296344</v>
      </c>
      <c r="P148" s="95">
        <f t="shared" si="57"/>
        <v>102977.16205239999</v>
      </c>
      <c r="Q148" s="95">
        <f t="shared" si="57"/>
        <v>102105.6724528</v>
      </c>
      <c r="R148" s="95">
        <f t="shared" si="57"/>
        <v>728954.83799239993</v>
      </c>
      <c r="S148" s="95">
        <f>SUM(S11:S147)</f>
        <v>115490.19204083331</v>
      </c>
      <c r="T148" s="95">
        <f>SUM(T11:T147)</f>
        <v>162527.7717988333</v>
      </c>
      <c r="U148" s="42">
        <f>U88+U145</f>
        <v>2187435.0093798004</v>
      </c>
    </row>
    <row r="149" spans="1:21">
      <c r="A149" s="29"/>
      <c r="B149" s="29"/>
      <c r="C149" s="29"/>
      <c r="D149" s="29"/>
      <c r="E149" s="111"/>
      <c r="F149" s="111"/>
      <c r="G149" s="111"/>
      <c r="H149" s="111"/>
      <c r="I149" s="111"/>
      <c r="J149" s="111"/>
      <c r="K149" s="111"/>
      <c r="L149" s="111"/>
      <c r="M149" s="29"/>
      <c r="N149" s="111"/>
      <c r="O149" s="29"/>
      <c r="P149" s="29"/>
      <c r="Q149" s="29"/>
      <c r="R149" s="29"/>
      <c r="S149" s="29"/>
      <c r="T149" s="29"/>
      <c r="U149" s="29"/>
    </row>
    <row r="150" spans="1:21">
      <c r="A150" s="29"/>
      <c r="B150" s="29"/>
      <c r="C150" s="29"/>
      <c r="D150" s="29"/>
      <c r="E150" s="111"/>
      <c r="F150" s="111"/>
      <c r="G150" s="111"/>
      <c r="H150" s="111"/>
      <c r="I150" s="111"/>
      <c r="J150" s="112"/>
      <c r="K150" s="113"/>
      <c r="L150" s="112"/>
      <c r="M150" s="111"/>
      <c r="N150" s="29"/>
      <c r="O150" s="29"/>
      <c r="P150" s="29"/>
      <c r="Q150" s="29"/>
      <c r="R150" s="29"/>
      <c r="S150" s="29"/>
      <c r="T150" s="29"/>
      <c r="U150" s="29"/>
    </row>
    <row r="151" spans="1:21" ht="45">
      <c r="A151" s="29"/>
      <c r="B151" s="118" t="s">
        <v>234</v>
      </c>
      <c r="C151" s="167">
        <v>-628202.01</v>
      </c>
      <c r="D151" s="168"/>
      <c r="E151" s="168"/>
      <c r="F151" s="169"/>
      <c r="G151" s="111"/>
      <c r="H151" s="111"/>
      <c r="I151" s="111"/>
      <c r="J151" s="112"/>
      <c r="K151" s="113"/>
      <c r="L151" s="112"/>
      <c r="M151" s="111"/>
      <c r="N151" s="29"/>
      <c r="O151" s="29"/>
      <c r="P151" s="29"/>
      <c r="Q151" s="29"/>
      <c r="R151" s="29"/>
      <c r="S151" s="29"/>
      <c r="T151" s="29"/>
      <c r="U151" s="29"/>
    </row>
    <row r="152" spans="1:21" ht="30">
      <c r="A152" s="29"/>
      <c r="B152" s="118" t="s">
        <v>239</v>
      </c>
      <c r="C152" s="171">
        <f>(140058.91*4)+(140058.9*8)</f>
        <v>1680706.8399999999</v>
      </c>
      <c r="D152" s="172"/>
      <c r="E152" s="172"/>
      <c r="F152" s="173"/>
      <c r="G152" s="111"/>
      <c r="H152" s="111"/>
      <c r="I152" s="111"/>
      <c r="J152" s="112"/>
      <c r="K152" s="113"/>
      <c r="L152" s="112"/>
      <c r="M152" s="111"/>
      <c r="N152" s="29"/>
      <c r="O152" s="29"/>
      <c r="P152" s="29"/>
      <c r="Q152" s="29"/>
      <c r="R152" s="29"/>
      <c r="S152" s="29"/>
      <c r="T152" s="29"/>
      <c r="U152" s="29"/>
    </row>
    <row r="153" spans="1:21" ht="30">
      <c r="A153" s="29"/>
      <c r="B153" s="118" t="s">
        <v>240</v>
      </c>
      <c r="C153" s="171">
        <f>SUM(U148-U145)</f>
        <v>1345408.1166798004</v>
      </c>
      <c r="D153" s="172"/>
      <c r="E153" s="172"/>
      <c r="F153" s="173"/>
      <c r="G153" s="111"/>
      <c r="H153" s="111"/>
      <c r="I153" s="111"/>
      <c r="J153" s="112"/>
      <c r="K153" s="113"/>
      <c r="L153" s="112"/>
      <c r="M153" s="111"/>
      <c r="N153" s="29"/>
      <c r="O153" s="29"/>
      <c r="P153" s="29"/>
      <c r="Q153" s="29"/>
      <c r="R153" s="29"/>
      <c r="S153" s="29"/>
      <c r="T153" s="29"/>
      <c r="U153" s="29"/>
    </row>
    <row r="154" spans="1:21" ht="30">
      <c r="A154" s="29"/>
      <c r="B154" s="118" t="s">
        <v>241</v>
      </c>
      <c r="C154" s="171">
        <f>SUM(U145)</f>
        <v>842026.89269999997</v>
      </c>
      <c r="D154" s="172"/>
      <c r="E154" s="172"/>
      <c r="F154" s="173"/>
      <c r="G154" s="111"/>
      <c r="H154" s="111"/>
      <c r="I154" s="111"/>
      <c r="J154" s="112"/>
      <c r="K154" s="113"/>
      <c r="L154" s="112"/>
      <c r="M154" s="111"/>
      <c r="N154" s="29"/>
      <c r="O154" s="29"/>
      <c r="P154" s="29"/>
      <c r="Q154" s="29"/>
      <c r="R154" s="29"/>
      <c r="S154" s="29"/>
      <c r="T154" s="29"/>
      <c r="U154" s="29"/>
    </row>
    <row r="155" spans="1:21" ht="18">
      <c r="A155" s="29"/>
      <c r="B155" s="122" t="s">
        <v>242</v>
      </c>
      <c r="C155" s="171">
        <f>120513.82+102072.06+174239+112455.96+133929.36+109207.69+172313.87+135343.77+130916.13+126907.74+146177.66+158743.15</f>
        <v>1622820.2099999995</v>
      </c>
      <c r="D155" s="172"/>
      <c r="E155" s="172"/>
      <c r="F155" s="173"/>
      <c r="G155" s="29"/>
      <c r="I155" s="114" t="s">
        <v>111</v>
      </c>
      <c r="J155" s="115"/>
      <c r="K155" s="116"/>
      <c r="L155" s="117"/>
      <c r="M155" s="114"/>
      <c r="N155" s="114"/>
      <c r="O155" s="29"/>
      <c r="P155" s="29"/>
      <c r="Q155" s="29"/>
      <c r="R155" s="29"/>
      <c r="S155" s="29"/>
      <c r="T155" s="29"/>
      <c r="U155" s="29"/>
    </row>
    <row r="156" spans="1:21" ht="78.75">
      <c r="A156" s="29"/>
      <c r="B156" s="151" t="s">
        <v>303</v>
      </c>
      <c r="C156" s="174">
        <v>555294.82999999996</v>
      </c>
      <c r="D156" s="175"/>
      <c r="E156" s="175"/>
      <c r="F156" s="176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</row>
    <row r="157" spans="1:21" ht="45">
      <c r="A157" s="29"/>
      <c r="B157" s="118" t="s">
        <v>304</v>
      </c>
      <c r="C157" s="170">
        <f>SUM(U148-C152)+C151</f>
        <v>-121473.84062019945</v>
      </c>
      <c r="D157" s="168"/>
      <c r="E157" s="168"/>
      <c r="F157" s="16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</row>
    <row r="159" spans="1:21">
      <c r="J159" s="4"/>
      <c r="K159" s="5"/>
      <c r="L159" s="5"/>
      <c r="M159" s="3"/>
    </row>
    <row r="160" spans="1:21">
      <c r="G160" s="6"/>
      <c r="H160" s="6"/>
    </row>
    <row r="161" spans="7:7">
      <c r="G161" s="7"/>
    </row>
  </sheetData>
  <mergeCells count="11">
    <mergeCell ref="C157:F157"/>
    <mergeCell ref="C152:F152"/>
    <mergeCell ref="C153:F153"/>
    <mergeCell ref="C154:F154"/>
    <mergeCell ref="C155:F155"/>
    <mergeCell ref="C156:F156"/>
    <mergeCell ref="B3:L3"/>
    <mergeCell ref="B4:L4"/>
    <mergeCell ref="B5:L5"/>
    <mergeCell ref="B6:L6"/>
    <mergeCell ref="C151:F151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Нефт.,10</vt:lpstr>
      <vt:lpstr>'Нефт.,10'!Область_печати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2018-04-02T06:27:10Z</cp:lastPrinted>
  <dcterms:created xsi:type="dcterms:W3CDTF">2014-02-05T12:20:20Z</dcterms:created>
  <dcterms:modified xsi:type="dcterms:W3CDTF">2018-04-02T06:27:47Z</dcterms:modified>
</cp:coreProperties>
</file>