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15975" windowHeight="5565"/>
  </bookViews>
  <sheets>
    <sheet name="Нефт.,4" sheetId="1" r:id="rId1"/>
  </sheets>
  <definedNames>
    <definedName name="_xlnm.Print_Area" localSheetId="0">'Нефт.,4'!$A$1:$U$163</definedName>
  </definedNames>
  <calcPr calcId="124519"/>
</workbook>
</file>

<file path=xl/calcChain.xml><?xml version="1.0" encoding="utf-8"?>
<calcChain xmlns="http://schemas.openxmlformats.org/spreadsheetml/2006/main">
  <c r="Q77" i="1"/>
  <c r="S110"/>
  <c r="S77"/>
  <c r="T129"/>
  <c r="F129"/>
  <c r="R77"/>
  <c r="T141"/>
  <c r="T142"/>
  <c r="T143"/>
  <c r="U140"/>
  <c r="U141"/>
  <c r="U142"/>
  <c r="U143"/>
  <c r="T140"/>
  <c r="H143"/>
  <c r="H142"/>
  <c r="H141"/>
  <c r="H140"/>
  <c r="U139" l="1"/>
  <c r="T139"/>
  <c r="H139"/>
  <c r="H27"/>
  <c r="H67"/>
  <c r="H68"/>
  <c r="H69"/>
  <c r="H70"/>
  <c r="H71"/>
  <c r="H40"/>
  <c r="H41"/>
  <c r="M26"/>
  <c r="N26"/>
  <c r="O26"/>
  <c r="P26"/>
  <c r="Q26"/>
  <c r="R26"/>
  <c r="U26"/>
  <c r="H26"/>
  <c r="F26"/>
  <c r="C161" l="1"/>
  <c r="C158"/>
  <c r="T109"/>
  <c r="T118"/>
  <c r="U138"/>
  <c r="T138"/>
  <c r="H138"/>
  <c r="T38"/>
  <c r="T48"/>
  <c r="T37"/>
  <c r="S37"/>
  <c r="S38"/>
  <c r="T29"/>
  <c r="T30"/>
  <c r="T31"/>
  <c r="F134"/>
  <c r="Q134" s="1"/>
  <c r="F137"/>
  <c r="S137" s="1"/>
  <c r="U137" s="1"/>
  <c r="H137" l="1"/>
  <c r="H136"/>
  <c r="F136"/>
  <c r="S136" s="1"/>
  <c r="U136" s="1"/>
  <c r="S113"/>
  <c r="S109"/>
  <c r="U134"/>
  <c r="R135"/>
  <c r="U135" s="1"/>
  <c r="H134"/>
  <c r="H135"/>
  <c r="R133"/>
  <c r="F133"/>
  <c r="H133" s="1"/>
  <c r="R109"/>
  <c r="Q133"/>
  <c r="U133" s="1"/>
  <c r="Q109"/>
  <c r="G130"/>
  <c r="Q84"/>
  <c r="R59"/>
  <c r="S48"/>
  <c r="L37"/>
  <c r="Q29"/>
  <c r="R29"/>
  <c r="S29"/>
  <c r="Q30"/>
  <c r="R30"/>
  <c r="S30"/>
  <c r="Q31"/>
  <c r="R31"/>
  <c r="S31"/>
  <c r="Q24"/>
  <c r="R24"/>
  <c r="P77"/>
  <c r="P109"/>
  <c r="P120"/>
  <c r="P132"/>
  <c r="U132" s="1"/>
  <c r="H132"/>
  <c r="P60" l="1"/>
  <c r="P24"/>
  <c r="P29"/>
  <c r="P30"/>
  <c r="P31"/>
  <c r="O128" l="1"/>
  <c r="H128"/>
  <c r="O112"/>
  <c r="O116"/>
  <c r="F116"/>
  <c r="O109"/>
  <c r="O113"/>
  <c r="U131"/>
  <c r="O131"/>
  <c r="H131"/>
  <c r="F131"/>
  <c r="O130"/>
  <c r="U130" s="1"/>
  <c r="H130"/>
  <c r="U128"/>
  <c r="O129" l="1"/>
  <c r="U129" s="1"/>
  <c r="O111"/>
  <c r="H129"/>
  <c r="O77"/>
  <c r="O127"/>
  <c r="U127" s="1"/>
  <c r="H127"/>
  <c r="O24"/>
  <c r="O29"/>
  <c r="O30"/>
  <c r="O31"/>
  <c r="N77"/>
  <c r="N111"/>
  <c r="M125"/>
  <c r="U125" s="1"/>
  <c r="H125"/>
  <c r="N108"/>
  <c r="N109"/>
  <c r="N24"/>
  <c r="N29"/>
  <c r="N30"/>
  <c r="N31"/>
  <c r="M126"/>
  <c r="U126" s="1"/>
  <c r="H126"/>
  <c r="L59" l="1"/>
  <c r="M109"/>
  <c r="M124"/>
  <c r="U124" s="1"/>
  <c r="F124"/>
  <c r="H124" s="1"/>
  <c r="M111"/>
  <c r="M110"/>
  <c r="I60"/>
  <c r="M24"/>
  <c r="M29"/>
  <c r="M30"/>
  <c r="M31"/>
  <c r="G122" l="1"/>
  <c r="P122" s="1"/>
  <c r="L117"/>
  <c r="L122"/>
  <c r="L120"/>
  <c r="L77"/>
  <c r="L123"/>
  <c r="H123"/>
  <c r="U122" l="1"/>
  <c r="U123"/>
  <c r="H122"/>
  <c r="L121"/>
  <c r="H121"/>
  <c r="H120"/>
  <c r="U120"/>
  <c r="U121"/>
  <c r="L119"/>
  <c r="U119" s="1"/>
  <c r="H119"/>
  <c r="L118"/>
  <c r="U118" s="1"/>
  <c r="H118"/>
  <c r="L109" l="1"/>
  <c r="L115"/>
  <c r="U117"/>
  <c r="H117"/>
  <c r="L110"/>
  <c r="L60" l="1"/>
  <c r="L38"/>
  <c r="L48"/>
  <c r="L49"/>
  <c r="K37"/>
  <c r="K116" l="1"/>
  <c r="U116" s="1"/>
  <c r="H116"/>
  <c r="K109"/>
  <c r="K78"/>
  <c r="K77"/>
  <c r="K115"/>
  <c r="U115" s="1"/>
  <c r="H115"/>
  <c r="K111"/>
  <c r="K114"/>
  <c r="U114" s="1"/>
  <c r="H114"/>
  <c r="K48" l="1"/>
  <c r="K49"/>
  <c r="K38" l="1"/>
  <c r="J37"/>
  <c r="I77"/>
  <c r="J77"/>
  <c r="J113"/>
  <c r="U113" s="1"/>
  <c r="H113"/>
  <c r="J109" l="1"/>
  <c r="J112"/>
  <c r="U112" s="1"/>
  <c r="H112"/>
  <c r="J111" l="1"/>
  <c r="U111"/>
  <c r="H111"/>
  <c r="I108" l="1"/>
  <c r="I110"/>
  <c r="M95" l="1"/>
  <c r="U95" s="1"/>
  <c r="I109" l="1"/>
  <c r="H109"/>
  <c r="F27" l="1"/>
  <c r="U109"/>
  <c r="H95"/>
  <c r="U110"/>
  <c r="U144" s="1"/>
  <c r="H110"/>
  <c r="H144" s="1"/>
  <c r="J48"/>
  <c r="I107"/>
  <c r="U107" s="1"/>
  <c r="U108"/>
  <c r="U93"/>
  <c r="U91"/>
  <c r="U89"/>
  <c r="U78"/>
  <c r="U77"/>
  <c r="F75"/>
  <c r="U60"/>
  <c r="U33"/>
  <c r="U32"/>
  <c r="I71"/>
  <c r="U71" s="1"/>
  <c r="U59"/>
  <c r="I48"/>
  <c r="U48" s="1"/>
  <c r="I41"/>
  <c r="U41" s="1"/>
  <c r="I37"/>
  <c r="U37" s="1"/>
  <c r="H107"/>
  <c r="H75"/>
  <c r="F66"/>
  <c r="F60"/>
  <c r="F46"/>
  <c r="T66" l="1"/>
  <c r="S66"/>
  <c r="L66"/>
  <c r="R27"/>
  <c r="Q27"/>
  <c r="P27"/>
  <c r="T46"/>
  <c r="S46"/>
  <c r="T75"/>
  <c r="S75"/>
  <c r="Q75"/>
  <c r="R75"/>
  <c r="P75"/>
  <c r="O75"/>
  <c r="N75"/>
  <c r="M75"/>
  <c r="N27"/>
  <c r="O27"/>
  <c r="L75"/>
  <c r="M27"/>
  <c r="I46"/>
  <c r="L46"/>
  <c r="K46"/>
  <c r="H66"/>
  <c r="K66"/>
  <c r="J66"/>
  <c r="I75"/>
  <c r="K75"/>
  <c r="J75"/>
  <c r="J46"/>
  <c r="I66"/>
  <c r="U66" l="1"/>
  <c r="U75"/>
  <c r="U27"/>
  <c r="U46"/>
  <c r="H108"/>
  <c r="H91"/>
  <c r="C160" l="1"/>
  <c r="H146"/>
  <c r="H151"/>
  <c r="H150"/>
  <c r="F147"/>
  <c r="E99"/>
  <c r="H103" s="1"/>
  <c r="F97"/>
  <c r="F96"/>
  <c r="H93"/>
  <c r="H90"/>
  <c r="F89"/>
  <c r="H89" s="1"/>
  <c r="H88"/>
  <c r="H87"/>
  <c r="F84"/>
  <c r="F83"/>
  <c r="M83" s="1"/>
  <c r="F82"/>
  <c r="M82" s="1"/>
  <c r="F81"/>
  <c r="M81" s="1"/>
  <c r="F80"/>
  <c r="M80" s="1"/>
  <c r="F79"/>
  <c r="M79" s="1"/>
  <c r="H78"/>
  <c r="H77"/>
  <c r="H73"/>
  <c r="H72"/>
  <c r="F68"/>
  <c r="H65"/>
  <c r="F64"/>
  <c r="H64" s="1"/>
  <c r="H61"/>
  <c r="H60"/>
  <c r="H59"/>
  <c r="F58"/>
  <c r="F57"/>
  <c r="F56"/>
  <c r="F55"/>
  <c r="F54"/>
  <c r="F53"/>
  <c r="F52"/>
  <c r="H49"/>
  <c r="H48"/>
  <c r="F47"/>
  <c r="H46"/>
  <c r="F45"/>
  <c r="F44"/>
  <c r="F43"/>
  <c r="F42"/>
  <c r="F40"/>
  <c r="F39"/>
  <c r="H38"/>
  <c r="H37"/>
  <c r="F34"/>
  <c r="H33"/>
  <c r="H32"/>
  <c r="H31"/>
  <c r="H30"/>
  <c r="H29"/>
  <c r="F28"/>
  <c r="F25"/>
  <c r="M25" s="1"/>
  <c r="H24"/>
  <c r="F23"/>
  <c r="F22"/>
  <c r="F19"/>
  <c r="M19" s="1"/>
  <c r="F18"/>
  <c r="M18" s="1"/>
  <c r="F17"/>
  <c r="M17" s="1"/>
  <c r="F16"/>
  <c r="F15"/>
  <c r="F14"/>
  <c r="M14" s="1"/>
  <c r="E13"/>
  <c r="F13" s="1"/>
  <c r="F12"/>
  <c r="F11"/>
  <c r="S11" l="1"/>
  <c r="T11"/>
  <c r="Q11"/>
  <c r="R11"/>
  <c r="P11"/>
  <c r="O11"/>
  <c r="T12"/>
  <c r="R12"/>
  <c r="Q12"/>
  <c r="S12"/>
  <c r="P12"/>
  <c r="T16"/>
  <c r="Q16"/>
  <c r="S16"/>
  <c r="R16"/>
  <c r="P16"/>
  <c r="Q22"/>
  <c r="R22"/>
  <c r="P22"/>
  <c r="O22"/>
  <c r="T39"/>
  <c r="S39"/>
  <c r="T42"/>
  <c r="S42"/>
  <c r="T44"/>
  <c r="S44"/>
  <c r="M52"/>
  <c r="Q52"/>
  <c r="M54"/>
  <c r="Q54"/>
  <c r="M56"/>
  <c r="T56"/>
  <c r="Q56"/>
  <c r="L58"/>
  <c r="R58"/>
  <c r="H97"/>
  <c r="T97"/>
  <c r="T13"/>
  <c r="Q13"/>
  <c r="S13"/>
  <c r="R13"/>
  <c r="P13"/>
  <c r="T15"/>
  <c r="R15"/>
  <c r="Q15"/>
  <c r="S15"/>
  <c r="P15"/>
  <c r="R23"/>
  <c r="Q23"/>
  <c r="P23"/>
  <c r="S28"/>
  <c r="T28"/>
  <c r="Q28"/>
  <c r="R28"/>
  <c r="P28"/>
  <c r="L28"/>
  <c r="O28"/>
  <c r="M28"/>
  <c r="N28"/>
  <c r="T34"/>
  <c r="Q34"/>
  <c r="S34"/>
  <c r="R34"/>
  <c r="P34"/>
  <c r="T40"/>
  <c r="S40"/>
  <c r="T43"/>
  <c r="S43"/>
  <c r="T45"/>
  <c r="S45"/>
  <c r="T47"/>
  <c r="S47"/>
  <c r="M53"/>
  <c r="Q53"/>
  <c r="M55"/>
  <c r="Q55"/>
  <c r="R57"/>
  <c r="L57"/>
  <c r="T96"/>
  <c r="S96"/>
  <c r="Q96"/>
  <c r="R96"/>
  <c r="P96"/>
  <c r="O96"/>
  <c r="N11"/>
  <c r="M11"/>
  <c r="M15"/>
  <c r="O15"/>
  <c r="N15"/>
  <c r="M12"/>
  <c r="O12"/>
  <c r="N12"/>
  <c r="M16"/>
  <c r="N16"/>
  <c r="O16"/>
  <c r="N22"/>
  <c r="M22"/>
  <c r="M13"/>
  <c r="N13"/>
  <c r="O13"/>
  <c r="M23"/>
  <c r="N23"/>
  <c r="O23"/>
  <c r="M34"/>
  <c r="O34"/>
  <c r="N34"/>
  <c r="N96"/>
  <c r="M96"/>
  <c r="L11"/>
  <c r="L96"/>
  <c r="L13"/>
  <c r="K13"/>
  <c r="L12"/>
  <c r="K12"/>
  <c r="L16"/>
  <c r="K16"/>
  <c r="L39"/>
  <c r="K39"/>
  <c r="L42"/>
  <c r="J42"/>
  <c r="K42"/>
  <c r="H44"/>
  <c r="L44"/>
  <c r="K44"/>
  <c r="K11"/>
  <c r="J11"/>
  <c r="L15"/>
  <c r="K15"/>
  <c r="J15"/>
  <c r="K28"/>
  <c r="J28"/>
  <c r="L34"/>
  <c r="K34"/>
  <c r="J34"/>
  <c r="L40"/>
  <c r="H43"/>
  <c r="L43"/>
  <c r="K43"/>
  <c r="H45"/>
  <c r="L45"/>
  <c r="K45"/>
  <c r="L47"/>
  <c r="K47"/>
  <c r="K96"/>
  <c r="J96"/>
  <c r="H17"/>
  <c r="U17"/>
  <c r="H19"/>
  <c r="U19"/>
  <c r="H23"/>
  <c r="H25"/>
  <c r="U25"/>
  <c r="H80"/>
  <c r="U80"/>
  <c r="H82"/>
  <c r="U82"/>
  <c r="H84"/>
  <c r="U84"/>
  <c r="H14"/>
  <c r="U14"/>
  <c r="H18"/>
  <c r="U18"/>
  <c r="H22"/>
  <c r="H79"/>
  <c r="U79"/>
  <c r="H81"/>
  <c r="U81"/>
  <c r="H83"/>
  <c r="U83"/>
  <c r="J47"/>
  <c r="H53"/>
  <c r="U53"/>
  <c r="H55"/>
  <c r="U55"/>
  <c r="J39"/>
  <c r="H52"/>
  <c r="U52"/>
  <c r="H54"/>
  <c r="U54"/>
  <c r="I11"/>
  <c r="U11" s="1"/>
  <c r="I13"/>
  <c r="J13"/>
  <c r="I15"/>
  <c r="I28"/>
  <c r="I12"/>
  <c r="J12"/>
  <c r="I16"/>
  <c r="J16"/>
  <c r="I56"/>
  <c r="J56"/>
  <c r="I96"/>
  <c r="H34"/>
  <c r="I34"/>
  <c r="U34" s="1"/>
  <c r="H47"/>
  <c r="I47"/>
  <c r="U47" s="1"/>
  <c r="H57"/>
  <c r="U57"/>
  <c r="H39"/>
  <c r="I39"/>
  <c r="U39" s="1"/>
  <c r="H42"/>
  <c r="I42"/>
  <c r="U42" s="1"/>
  <c r="H58"/>
  <c r="U58"/>
  <c r="H96"/>
  <c r="H98" s="1"/>
  <c r="H28"/>
  <c r="H56"/>
  <c r="H11"/>
  <c r="H12"/>
  <c r="H16"/>
  <c r="H13"/>
  <c r="H15"/>
  <c r="H62"/>
  <c r="F99"/>
  <c r="H50"/>
  <c r="H94"/>
  <c r="U22" l="1"/>
  <c r="T99"/>
  <c r="S99"/>
  <c r="Q99"/>
  <c r="R99"/>
  <c r="P99"/>
  <c r="O99"/>
  <c r="N99"/>
  <c r="M99"/>
  <c r="M147" s="1"/>
  <c r="H35"/>
  <c r="L99"/>
  <c r="K99"/>
  <c r="J99"/>
  <c r="U94"/>
  <c r="P147"/>
  <c r="T147"/>
  <c r="Q147"/>
  <c r="U23"/>
  <c r="O147"/>
  <c r="S147"/>
  <c r="N147"/>
  <c r="R147"/>
  <c r="H20"/>
  <c r="K147"/>
  <c r="L147"/>
  <c r="I99"/>
  <c r="U96"/>
  <c r="U98" s="1"/>
  <c r="U56"/>
  <c r="U62" s="1"/>
  <c r="U16"/>
  <c r="U12"/>
  <c r="U28"/>
  <c r="U35" s="1"/>
  <c r="U15"/>
  <c r="U13"/>
  <c r="J147"/>
  <c r="U50"/>
  <c r="H99"/>
  <c r="H100" s="1"/>
  <c r="H101" s="1"/>
  <c r="H104" s="1"/>
  <c r="G147" s="1"/>
  <c r="H147" s="1"/>
  <c r="I147"/>
  <c r="U20" l="1"/>
  <c r="U99"/>
  <c r="U100" s="1"/>
  <c r="U101" l="1"/>
  <c r="U147" s="1"/>
  <c r="C163" s="1"/>
  <c r="C159" l="1"/>
</calcChain>
</file>

<file path=xl/sharedStrings.xml><?xml version="1.0" encoding="utf-8"?>
<sst xmlns="http://schemas.openxmlformats.org/spreadsheetml/2006/main" count="445" uniqueCount="315">
  <si>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</si>
  <si>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</si>
  <si>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</si>
  <si>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</si>
  <si>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</si>
  <si>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</si>
  <si>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</si>
  <si>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</si>
  <si>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</si>
  <si>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</si>
  <si>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</si>
  <si>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</si>
  <si>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Влажное подметание лестничных клеток 1 этажа</t>
  </si>
  <si>
    <t>100м2</t>
  </si>
  <si>
    <t>3 раза в неделю 156 раз в год</t>
  </si>
  <si>
    <t>Влажное подметание лестничных клеток 2-5 этажа</t>
  </si>
  <si>
    <t>2 раза в неделю 104 раза в год</t>
  </si>
  <si>
    <t>Мытье лестничных  площадок и маршей 1-5 этаж.</t>
  </si>
  <si>
    <t xml:space="preserve">2 раза в месяц   24 раза в год </t>
  </si>
  <si>
    <t>Мытье окон</t>
  </si>
  <si>
    <t>10м2</t>
  </si>
  <si>
    <t>Влажная протирка перил</t>
  </si>
  <si>
    <t>Влажная протирка почтовых ящиков</t>
  </si>
  <si>
    <t xml:space="preserve">Влажная уборка стен </t>
  </si>
  <si>
    <t>100 м2</t>
  </si>
  <si>
    <t>Влажная протирка дверей</t>
  </si>
  <si>
    <t>Влажная протирка отопительных приборов</t>
  </si>
  <si>
    <t>итого:</t>
  </si>
  <si>
    <t>Летняя уборка</t>
  </si>
  <si>
    <t>2 раза в неделю 52 раза в сезон</t>
  </si>
  <si>
    <t>1000м2</t>
  </si>
  <si>
    <t>3 раза в неделю 78 раз за сезон</t>
  </si>
  <si>
    <t>Уборка отмостки</t>
  </si>
  <si>
    <t>4 раза в месяц</t>
  </si>
  <si>
    <t>Уборка газонов сильной загрязненности</t>
  </si>
  <si>
    <t>1 раз в год</t>
  </si>
  <si>
    <t xml:space="preserve"> - Уборка контейнерной площадки (16 кв.м.)</t>
  </si>
  <si>
    <t>шт.</t>
  </si>
  <si>
    <t>155 раз</t>
  </si>
  <si>
    <t>Подборка мусора на контейнерной площадке</t>
  </si>
  <si>
    <t>м3</t>
  </si>
  <si>
    <t>ежедневно 365 раз</t>
  </si>
  <si>
    <t>ТЭР 53-022</t>
  </si>
  <si>
    <t>Выкашивание газонов</t>
  </si>
  <si>
    <t>1 раза в год</t>
  </si>
  <si>
    <t>ТЭР 53-024</t>
  </si>
  <si>
    <t>Уборка с газонов травы</t>
  </si>
  <si>
    <t>ТЭР 24-001</t>
  </si>
  <si>
    <t>Валка деревьев</t>
  </si>
  <si>
    <t>по мере необходимости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</si>
  <si>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</si>
  <si>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</si>
  <si>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</si>
  <si>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</si>
  <si>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</si>
  <si>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</si>
  <si>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ТЭР 54-035</t>
  </si>
  <si>
    <t>Перекидывания снега и скола</t>
  </si>
  <si>
    <t>ТЭР 54-013</t>
  </si>
  <si>
    <t xml:space="preserve">Сдвигание снега в дни снегопада </t>
  </si>
  <si>
    <t>1000 м2</t>
  </si>
  <si>
    <t>50 раз за сезон</t>
  </si>
  <si>
    <t>ТЭР 54-043</t>
  </si>
  <si>
    <t>Зимняя уборка газонов от мусора</t>
  </si>
  <si>
    <t>1 раз внеделю</t>
  </si>
  <si>
    <t>155 раз за сезон</t>
  </si>
  <si>
    <t>Вывоз снега</t>
  </si>
  <si>
    <t>Погрузка снега универсальным погрузчиком</t>
  </si>
  <si>
    <t>ТЭР 54-022</t>
  </si>
  <si>
    <t>Очистка территории 1-го класса с усовершенствованным покрытием под скребок: тротуар,</t>
  </si>
  <si>
    <t xml:space="preserve">2раза в месяц    12 раз за сезон      </t>
  </si>
  <si>
    <t>45 раз за сезон</t>
  </si>
  <si>
    <t>Очистка отмостки от снега</t>
  </si>
  <si>
    <t xml:space="preserve"> II. Плановые осмотры</t>
  </si>
  <si>
    <t>2 раза в год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</si>
  <si>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</si>
  <si>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</si>
  <si>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</si>
  <si>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 xml:space="preserve">Осмотр СО </t>
  </si>
  <si>
    <t>1 раз в месяц (5 раз за сезон)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</si>
  <si>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</si>
  <si>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</si>
  <si>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100 лест.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</si>
  <si>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</si>
  <si>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</si>
  <si>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</si>
  <si>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</si>
  <si>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</si>
  <si>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 xml:space="preserve">Электротехнические измерения </t>
  </si>
  <si>
    <t>1 раза в 3 года</t>
  </si>
  <si>
    <t>Кровля</t>
  </si>
  <si>
    <t>ТЭР 17-071</t>
  </si>
  <si>
    <t>Очистка кровли от мусора</t>
  </si>
  <si>
    <t xml:space="preserve">пр.ТЭР 54-041 </t>
  </si>
  <si>
    <t xml:space="preserve"> -от слежавшегося снега со сбрасыванием сосулек</t>
  </si>
  <si>
    <t>Осмотр и очистка оголовков дымоходов и вентканалов от наледи и снега (по необходимости) зимой</t>
  </si>
  <si>
    <t>Чердак, подвал, технический этаж</t>
  </si>
  <si>
    <t>ТЭР 51-034</t>
  </si>
  <si>
    <t xml:space="preserve"> - очистка от мусора</t>
  </si>
  <si>
    <t xml:space="preserve"> - дератизация</t>
  </si>
  <si>
    <t>м2</t>
  </si>
  <si>
    <t>12 раз в год</t>
  </si>
  <si>
    <t>ТЭР 11-014</t>
  </si>
  <si>
    <t xml:space="preserve"> - закрытие проемов металлическими листами</t>
  </si>
  <si>
    <t>ТЭР 15-028</t>
  </si>
  <si>
    <t xml:space="preserve"> - утепление входных дверей</t>
  </si>
  <si>
    <t>10шт</t>
  </si>
  <si>
    <t>ТЭР 31-057</t>
  </si>
  <si>
    <t xml:space="preserve"> - утепление трубопроводов в тамбуре</t>
  </si>
  <si>
    <t>1м3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</si>
  <si>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</si>
  <si>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</si>
  <si>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</si>
  <si>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</si>
  <si>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100м3</t>
  </si>
  <si>
    <t>Спуск воды и наполнение системы без осмотра</t>
  </si>
  <si>
    <t>1000м3</t>
  </si>
  <si>
    <t>Гидравлическое испытание СО</t>
  </si>
  <si>
    <t>100м</t>
  </si>
  <si>
    <t>Проверка на прогрев отопительных приборов</t>
  </si>
  <si>
    <t>прибор</t>
  </si>
  <si>
    <t>Электроснабжение</t>
  </si>
  <si>
    <t>ТЭР 33-021</t>
  </si>
  <si>
    <t>Смена магнитных пускателей</t>
  </si>
  <si>
    <t>ТЭР 33-025</t>
  </si>
  <si>
    <t>Смена выключателей</t>
  </si>
  <si>
    <t>ТЭР 33-028</t>
  </si>
  <si>
    <t>Смена патронов</t>
  </si>
  <si>
    <t>Замена ламп ДРЛ</t>
  </si>
  <si>
    <t>2-2-1-3-3</t>
  </si>
  <si>
    <t>Мелкий ремонт электропроводки</t>
  </si>
  <si>
    <t>1п.м.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</si>
  <si>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</si>
  <si>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</si>
  <si>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</si>
  <si>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</si>
  <si>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</si>
  <si>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ТЭР 17-013</t>
  </si>
  <si>
    <t>Ремонт рулонной кровли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</si>
  <si>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</si>
  <si>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</si>
  <si>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</si>
  <si>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</si>
  <si>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</si>
  <si>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</si>
  <si>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</si>
  <si>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</si>
  <si>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</si>
  <si>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</si>
  <si>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>Обслуживание внутридомовое газовое оборудование</t>
  </si>
  <si>
    <t>плита</t>
  </si>
  <si>
    <t>водонагреватель</t>
  </si>
  <si>
    <t xml:space="preserve">1 раз в год     </t>
  </si>
  <si>
    <t>1 раз в месяц</t>
  </si>
  <si>
    <t>3 раза в год</t>
  </si>
  <si>
    <t>Вода для промывки СО</t>
  </si>
  <si>
    <t>Спуск воды после промывки СО в канализацию</t>
  </si>
  <si>
    <t>Смена плавкой вставки в электрощите</t>
  </si>
  <si>
    <t>Генеральный директор ООО "Жилсервис"_______Ю.Л.Куканов</t>
  </si>
  <si>
    <t>Вывоз снега с придомовой территории</t>
  </si>
  <si>
    <t>70 раз за сезон</t>
  </si>
  <si>
    <t>Осмотр рулонной  кровли</t>
  </si>
  <si>
    <t>Очистка внутреннего водостока</t>
  </si>
  <si>
    <t>водосток</t>
  </si>
  <si>
    <t>Дератизация</t>
  </si>
  <si>
    <t>Ремонт групповых щитков на лестничной клетке без ремонта автоматов</t>
  </si>
  <si>
    <t>калькуляция</t>
  </si>
  <si>
    <t>Смена пакетных выключателей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</si>
  <si>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</si>
  <si>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</si>
  <si>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</si>
  <si>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</si>
  <si>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</si>
  <si>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</si>
  <si>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</si>
  <si>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</si>
  <si>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</si>
  <si>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</si>
  <si>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</si>
  <si>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Снятие показаний эл.счетчика коммунального назначения</t>
  </si>
  <si>
    <t>Ремонт и регулировка доводчика (со стоимостью доводчика)</t>
  </si>
  <si>
    <t>1шт.</t>
  </si>
  <si>
    <t>5 этажей, 6 подъездов</t>
  </si>
  <si>
    <t>Стоимость (руб.)</t>
  </si>
  <si>
    <t>договор</t>
  </si>
  <si>
    <t>ТО внутридомового газ.оборудования</t>
  </si>
  <si>
    <t>Выполне  ние       май</t>
  </si>
  <si>
    <t>Баланс выполненных работ на 01.01.2016 г. ( -долг за предприятием, +долг за населением)</t>
  </si>
  <si>
    <t>Выполнено работ по содержанию за       2016 г.</t>
  </si>
  <si>
    <t>Выполнено работ по текущему ремонту за 2016 г.</t>
  </si>
  <si>
    <t>Фактически оплачено за 2016 г.</t>
  </si>
  <si>
    <t>место</t>
  </si>
  <si>
    <t>смета</t>
  </si>
  <si>
    <t>1 м</t>
  </si>
  <si>
    <t>Работа автовышки</t>
  </si>
  <si>
    <t>маш/час</t>
  </si>
  <si>
    <r>
      <t xml:space="preserve">по адресу:  </t>
    </r>
    <r>
      <rPr>
        <b/>
        <sz val="14"/>
        <color indexed="10"/>
        <rFont val="Arial"/>
        <family val="2"/>
        <charset val="204"/>
      </rPr>
      <t>ул. Нефтяников, 4</t>
    </r>
    <r>
      <rPr>
        <b/>
        <sz val="14"/>
        <rFont val="Arial"/>
        <family val="2"/>
        <charset val="204"/>
      </rPr>
      <t xml:space="preserve">  (п. Ярега)  </t>
    </r>
    <r>
      <rPr>
        <b/>
        <sz val="14"/>
        <color indexed="10"/>
        <rFont val="Arial"/>
        <family val="2"/>
        <charset val="204"/>
      </rPr>
      <t>за 2016 год</t>
    </r>
  </si>
  <si>
    <t>С учетом показателя инфляции (К=1,094)</t>
  </si>
  <si>
    <t>Смена внутренних трубопроводов из стальных труб диаметром до 40 мм (без стоимости креплений)</t>
  </si>
  <si>
    <t>Подключение и отключение сварочного аппарата</t>
  </si>
  <si>
    <t>Смена ламп накаливания</t>
  </si>
  <si>
    <t>6 раз в год</t>
  </si>
  <si>
    <t>Смена сгонов у трубопроводов диаметром до 32 мм</t>
  </si>
  <si>
    <t>1 сгон</t>
  </si>
  <si>
    <t>Смена светодиодных светильников</t>
  </si>
  <si>
    <t>Смена арматуры - вентилей и клапанов обратных муфтовых диаметром до 20 мм</t>
  </si>
  <si>
    <t>1 шт</t>
  </si>
  <si>
    <t>Смена тройника 20*20*15</t>
  </si>
  <si>
    <t>Смена арматуры - вентилей и клапанов обратных муфтовых диаметром до 32 мм</t>
  </si>
  <si>
    <t>10 м.</t>
  </si>
  <si>
    <t>Герметизация примыканий к фановой трубе</t>
  </si>
  <si>
    <t>Смена внутренних трубопроводов из стальных труб диаметром до 50 мм</t>
  </si>
  <si>
    <t xml:space="preserve"> - Уборка газонов</t>
  </si>
  <si>
    <t xml:space="preserve"> - Подметание территории с усовершенствованным покрытием асф.: крыльца, контейнерн пл., проезд, тротуар</t>
  </si>
  <si>
    <t xml:space="preserve">Погрузка травы, ветвей </t>
  </si>
  <si>
    <t>Вывоз смета, травы, ветвей и т.п.- м/ч</t>
  </si>
  <si>
    <t xml:space="preserve">Подметание снега с тротуара, крылец, конт. площадок 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</si>
  <si>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</si>
  <si>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 xml:space="preserve">Пескопосыпка территории: крыльца и тротуары </t>
  </si>
  <si>
    <t>Стоимость песка -100м2-0,002м3</t>
  </si>
  <si>
    <t>Устройство хомута диаметром до 50мм</t>
  </si>
  <si>
    <t>100шт</t>
  </si>
  <si>
    <t>Настройка таймера освещения ТО-2</t>
  </si>
  <si>
    <t>Ремонт ограждений контейнерной площадки</t>
  </si>
  <si>
    <t>тыс.руб.</t>
  </si>
  <si>
    <t>Начислено за содержание и текущий ремонт за 2016  г.</t>
  </si>
  <si>
    <t xml:space="preserve">Ремонт оголовков 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</si>
  <si>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</si>
  <si>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</si>
  <si>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Прочистка засоров ГВС, XВC</t>
  </si>
  <si>
    <t>3м</t>
  </si>
  <si>
    <t>Ремонт отдельными местами рулонного покрытия, промазка битумными составами отдельными местами рулонного покрытия, замена 2 слоев.</t>
  </si>
  <si>
    <t>10 м2</t>
  </si>
  <si>
    <r>
      <t>Смена внутренних трубопроводов диаметром до 20 мм (материалы - тройник 20, переход 25</t>
    </r>
    <r>
      <rPr>
        <sz val="10"/>
        <rFont val="Calibri"/>
        <family val="2"/>
        <charset val="204"/>
      </rPr>
      <t>×</t>
    </r>
    <r>
      <rPr>
        <sz val="10"/>
        <rFont val="Arial"/>
        <family val="2"/>
        <charset val="204"/>
      </rPr>
      <t>3/4 ВР, остальные мат-лы жильца)</t>
    </r>
  </si>
  <si>
    <t>ТЕР 51-001</t>
  </si>
  <si>
    <t>ТЕР 51-009</t>
  </si>
  <si>
    <t>ТЕР 51-031</t>
  </si>
  <si>
    <t>ТЕР 51-025</t>
  </si>
  <si>
    <t>ТЕР 51-023</t>
  </si>
  <si>
    <t>ТЕР 51-018</t>
  </si>
  <si>
    <t>ТЕР 51-019</t>
  </si>
  <si>
    <t>ТЕР 51-024</t>
  </si>
  <si>
    <t>ТЕР 53-020</t>
  </si>
  <si>
    <t>ТЕР 53-001</t>
  </si>
  <si>
    <t>ТЕР 53-021</t>
  </si>
  <si>
    <t>ТЕР 52-033</t>
  </si>
  <si>
    <t>пр.ТЕР 52-003</t>
  </si>
  <si>
    <t>ТЕР 53-030</t>
  </si>
  <si>
    <t>ТЕР 54-013</t>
  </si>
  <si>
    <t>ТЕР 54-003</t>
  </si>
  <si>
    <t>ТЕР 54-022</t>
  </si>
  <si>
    <t>ТЕР 54-025</t>
  </si>
  <si>
    <t>ТЕР 42-002</t>
  </si>
  <si>
    <t>ТЕР 42-007</t>
  </si>
  <si>
    <t>ТЕР 42-009</t>
  </si>
  <si>
    <t>ТЕР 42-010</t>
  </si>
  <si>
    <t>ТЕР 42-011</t>
  </si>
  <si>
    <t>ТЕР 42-013</t>
  </si>
  <si>
    <t>ТЕР 42-012</t>
  </si>
  <si>
    <t>ТЕР 42-014</t>
  </si>
  <si>
    <t xml:space="preserve">пр.ТЕР 54-041 </t>
  </si>
  <si>
    <t>ТЕР 31-066</t>
  </si>
  <si>
    <t>ТЕР 31-065</t>
  </si>
  <si>
    <t>ТЕР 31-064</t>
  </si>
  <si>
    <t>ТЕР 31-052</t>
  </si>
  <si>
    <t>ТЕР 31-043</t>
  </si>
  <si>
    <t>ТЕР 31-068</t>
  </si>
  <si>
    <t>ТЕР 31-045</t>
  </si>
  <si>
    <t>ТЕР 33-049</t>
  </si>
  <si>
    <t>ТЕР 33-043</t>
  </si>
  <si>
    <t>ТЕР 33-022</t>
  </si>
  <si>
    <t>ТЕР 33-030</t>
  </si>
  <si>
    <t>ТЕР 33-037</t>
  </si>
  <si>
    <t>пр.ТЕР 32-098</t>
  </si>
  <si>
    <t>ТЕР 32-088</t>
  </si>
  <si>
    <t>ТЕР 33-060</t>
  </si>
  <si>
    <t>ТЕР 33-019</t>
  </si>
  <si>
    <t xml:space="preserve">ТЕР 31-010 </t>
  </si>
  <si>
    <t>пр.ТЕР 33-023</t>
  </si>
  <si>
    <t>ТЕР 32-089</t>
  </si>
  <si>
    <t>ТЕР 32-027</t>
  </si>
  <si>
    <t>пр.ТЕР 31-009</t>
  </si>
  <si>
    <t>ТЕР 32-028</t>
  </si>
  <si>
    <t>пр.ТЕР 11-009</t>
  </si>
  <si>
    <t>пр.ТЕР 42-014</t>
  </si>
  <si>
    <t>пр.ТЕР 2-2-1-2-7</t>
  </si>
  <si>
    <t>пр.ТЕР 32-085</t>
  </si>
  <si>
    <t>ТЕР 32-101</t>
  </si>
  <si>
    <t>ТЕР 17-014</t>
  </si>
  <si>
    <t xml:space="preserve">Смена трубопроводов на полипропиленовые трубы PN25 диаметром 25 мм </t>
  </si>
  <si>
    <t>Смена трубопроводов на полипропиленовые трубы PN25 диаметром до 20 мм</t>
  </si>
  <si>
    <t xml:space="preserve">Смена трубопроводов на металл-полимерные трубы диамтром до 25 мм </t>
  </si>
  <si>
    <t>Внеплановый осмотр электросетей, армазуры и электрооборудования на лестничных клетках</t>
  </si>
  <si>
    <t>Смена дверных приборов - пружины</t>
  </si>
  <si>
    <t>ТЕР 15-018</t>
  </si>
  <si>
    <t>100 м шва</t>
  </si>
  <si>
    <t>пр.ТЕР 07-05-039-7</t>
  </si>
  <si>
    <t xml:space="preserve">Устройство герметизации горизонтальных и вертикальных стыков стеновых панелей </t>
  </si>
  <si>
    <t>10м</t>
  </si>
  <si>
    <t>ТЕР 16-036</t>
  </si>
  <si>
    <t>Обработка деревянных перил наждачной бумагой</t>
  </si>
  <si>
    <t>Герметизация фановой трубы</t>
  </si>
  <si>
    <t>пр.ТЕР 31-011</t>
  </si>
  <si>
    <t>Смена отводов у трубопроводов диаметром до 50 мм (без учёта материалов)</t>
  </si>
  <si>
    <t>Просроченная задолженность по Вашему дому по статье "Содержание и текущий ремонт МКД" на конец декабря 2016 г., составляет:</t>
  </si>
  <si>
    <t>Баланс выполненных работ на 01.01.2017 г. ( -долг за предприятием, +долг за населением)</t>
  </si>
  <si>
    <t>ТЕР 55-003</t>
  </si>
  <si>
    <t xml:space="preserve">Очистка урн от мусора </t>
  </si>
  <si>
    <t>пр.ТЕР 32-082</t>
  </si>
  <si>
    <r>
      <t>Смена полиэтиленовых канализационных труб ПП Д</t>
    </r>
    <r>
      <rPr>
        <sz val="8"/>
        <rFont val="Arial"/>
        <family val="2"/>
        <charset val="204"/>
      </rPr>
      <t>у</t>
    </r>
    <r>
      <rPr>
        <sz val="10"/>
        <rFont val="Arial"/>
        <family val="2"/>
        <charset val="204"/>
      </rPr>
      <t>-50 2м</t>
    </r>
  </si>
  <si>
    <t>счёт</t>
  </si>
  <si>
    <t>Переход чугун-пластик Ду 50 с манжетой</t>
  </si>
  <si>
    <t>Компенсатор Ду-50</t>
  </si>
  <si>
    <t>Тройник Ду-50*90°</t>
  </si>
  <si>
    <r>
      <t>Манжета 75</t>
    </r>
    <r>
      <rPr>
        <sz val="10"/>
        <rFont val="Calibri"/>
        <family val="2"/>
        <charset val="204"/>
      </rPr>
      <t>×</t>
    </r>
    <r>
      <rPr>
        <sz val="10"/>
        <rFont val="Arial"/>
        <family val="2"/>
        <charset val="204"/>
      </rPr>
      <t>50 мм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</si>
</sst>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22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name val="Calibri"/>
      <family val="2"/>
      <charset val="204"/>
    </font>
    <font>
      <sz val="8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indexed="21"/>
        <bgColor indexed="30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41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0" fillId="3" borderId="0" xfId="0" applyFont="1" applyFill="1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8" borderId="6" xfId="0" applyFont="1" applyFill="1" applyBorder="1" applyAlignment="1">
      <alignment horizontal="left" vertical="center" wrapText="1"/>
    </xf>
    <xf numFmtId="0" fontId="1" fillId="8" borderId="3" xfId="0" applyFont="1" applyFill="1" applyBorder="1" applyAlignment="1">
      <alignment horizontal="left" vertical="center" wrapText="1"/>
    </xf>
    <xf numFmtId="0" fontId="5" fillId="8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0" fillId="5" borderId="0" xfId="0" applyFill="1"/>
    <xf numFmtId="0" fontId="1" fillId="13" borderId="3" xfId="0" applyNumberFormat="1" applyFont="1" applyFill="1" applyBorder="1" applyAlignment="1" applyProtection="1">
      <alignment horizontal="left" vertical="center" wrapText="1"/>
    </xf>
    <xf numFmtId="0" fontId="7" fillId="0" borderId="3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3" fillId="9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1" fillId="9" borderId="3" xfId="0" applyFont="1" applyFill="1" applyBorder="1" applyAlignment="1">
      <alignment vertical="center"/>
    </xf>
    <xf numFmtId="4" fontId="1" fillId="9" borderId="8" xfId="0" applyNumberFormat="1" applyFont="1" applyFill="1" applyBorder="1" applyAlignment="1">
      <alignment vertical="center"/>
    </xf>
    <xf numFmtId="0" fontId="1" fillId="9" borderId="3" xfId="0" applyFont="1" applyFill="1" applyBorder="1"/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4" fontId="1" fillId="9" borderId="8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1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center" vertical="center" wrapText="1"/>
    </xf>
    <xf numFmtId="4" fontId="1" fillId="8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4" fontId="3" fillId="11" borderId="2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4" fontId="1" fillId="8" borderId="1" xfId="0" applyNumberFormat="1" applyFont="1" applyFill="1" applyBorder="1" applyAlignment="1">
      <alignment horizontal="center" vertical="center"/>
    </xf>
    <xf numFmtId="4" fontId="1" fillId="10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4" fontId="15" fillId="4" borderId="2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4" fontId="14" fillId="4" borderId="3" xfId="0" applyNumberFormat="1" applyFont="1" applyFill="1" applyBorder="1" applyAlignment="1">
      <alignment horizontal="center" vertical="center" wrapText="1"/>
    </xf>
    <xf numFmtId="4" fontId="1" fillId="4" borderId="5" xfId="0" applyNumberFormat="1" applyFont="1" applyFill="1" applyBorder="1" applyAlignment="1">
      <alignment horizontal="center" vertical="center"/>
    </xf>
    <xf numFmtId="4" fontId="1" fillId="4" borderId="15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center" vertical="center" wrapText="1"/>
    </xf>
    <xf numFmtId="4" fontId="1" fillId="4" borderId="6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/>
    </xf>
    <xf numFmtId="4" fontId="1" fillId="4" borderId="7" xfId="0" applyNumberFormat="1" applyFont="1" applyFill="1" applyBorder="1" applyAlignment="1">
      <alignment horizontal="center" vertical="center"/>
    </xf>
    <xf numFmtId="4" fontId="1" fillId="4" borderId="16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/>
    </xf>
    <xf numFmtId="0" fontId="1" fillId="8" borderId="3" xfId="0" applyFont="1" applyFill="1" applyBorder="1" applyAlignment="1">
      <alignment horizontal="left" vertical="center"/>
    </xf>
    <xf numFmtId="4" fontId="1" fillId="8" borderId="3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11" borderId="8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6" fillId="2" borderId="7" xfId="0" applyNumberFormat="1" applyFont="1" applyFill="1" applyBorder="1" applyAlignment="1">
      <alignment horizontal="center" vertical="center"/>
    </xf>
    <xf numFmtId="4" fontId="16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center" vertical="center"/>
    </xf>
    <xf numFmtId="4" fontId="16" fillId="4" borderId="8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4" fontId="1" fillId="2" borderId="9" xfId="0" applyNumberFormat="1" applyFont="1" applyFill="1" applyBorder="1" applyAlignment="1">
      <alignment horizontal="center" vertical="center"/>
    </xf>
    <xf numFmtId="4" fontId="16" fillId="2" borderId="9" xfId="0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 applyProtection="1">
      <alignment horizontal="center" vertical="top" wrapText="1"/>
    </xf>
    <xf numFmtId="0" fontId="1" fillId="0" borderId="10" xfId="0" applyFont="1" applyBorder="1"/>
    <xf numFmtId="4" fontId="1" fillId="0" borderId="10" xfId="0" applyNumberFormat="1" applyFont="1" applyBorder="1" applyAlignment="1">
      <alignment horizontal="center" vertical="top" wrapText="1"/>
    </xf>
    <xf numFmtId="4" fontId="1" fillId="0" borderId="10" xfId="0" applyNumberFormat="1" applyFont="1" applyBorder="1"/>
    <xf numFmtId="4" fontId="1" fillId="0" borderId="10" xfId="0" applyNumberFormat="1" applyFont="1" applyBorder="1" applyAlignment="1">
      <alignment horizontal="center"/>
    </xf>
    <xf numFmtId="4" fontId="1" fillId="0" borderId="0" xfId="0" applyNumberFormat="1" applyFont="1"/>
    <xf numFmtId="0" fontId="1" fillId="0" borderId="0" xfId="0" applyFont="1"/>
    <xf numFmtId="0" fontId="1" fillId="0" borderId="3" xfId="0" applyFont="1" applyFill="1" applyBorder="1" applyAlignment="1" applyProtection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left" vertical="top" wrapText="1"/>
    </xf>
    <xf numFmtId="4" fontId="1" fillId="0" borderId="1" xfId="0" applyNumberFormat="1" applyFont="1" applyBorder="1"/>
    <xf numFmtId="4" fontId="1" fillId="0" borderId="1" xfId="0" applyNumberFormat="1" applyFont="1" applyBorder="1" applyAlignment="1">
      <alignment horizontal="center"/>
    </xf>
    <xf numFmtId="0" fontId="1" fillId="7" borderId="1" xfId="0" applyFont="1" applyFill="1" applyBorder="1"/>
    <xf numFmtId="4" fontId="1" fillId="7" borderId="1" xfId="0" applyNumberFormat="1" applyFont="1" applyFill="1" applyBorder="1"/>
    <xf numFmtId="4" fontId="1" fillId="7" borderId="1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 applyProtection="1">
      <alignment horizontal="left" vertical="top" wrapText="1"/>
      <protection hidden="1"/>
    </xf>
    <xf numFmtId="2" fontId="1" fillId="0" borderId="3" xfId="0" applyNumberFormat="1" applyFont="1" applyFill="1" applyBorder="1" applyAlignment="1" applyProtection="1">
      <alignment horizontal="center" vertical="top" wrapText="1"/>
      <protection hidden="1"/>
    </xf>
    <xf numFmtId="0" fontId="1" fillId="0" borderId="3" xfId="0" applyFont="1" applyBorder="1" applyAlignment="1">
      <alignment horizontal="left" vertical="top" wrapText="1"/>
    </xf>
    <xf numFmtId="4" fontId="1" fillId="0" borderId="3" xfId="0" applyNumberFormat="1" applyFont="1" applyBorder="1" applyAlignment="1">
      <alignment horizontal="left" vertical="top" wrapText="1"/>
    </xf>
    <xf numFmtId="4" fontId="1" fillId="0" borderId="3" xfId="0" applyNumberFormat="1" applyFont="1" applyBorder="1"/>
    <xf numFmtId="4" fontId="1" fillId="0" borderId="3" xfId="0" applyNumberFormat="1" applyFont="1" applyFill="1" applyBorder="1" applyAlignment="1" applyProtection="1">
      <alignment horizontal="left" vertical="top" wrapText="1"/>
      <protection hidden="1"/>
    </xf>
    <xf numFmtId="4" fontId="1" fillId="0" borderId="3" xfId="0" applyNumberFormat="1" applyFont="1" applyBorder="1" applyAlignment="1">
      <alignment horizontal="center"/>
    </xf>
    <xf numFmtId="4" fontId="17" fillId="0" borderId="0" xfId="0" applyNumberFormat="1" applyFont="1"/>
    <xf numFmtId="0" fontId="17" fillId="0" borderId="0" xfId="0" applyFont="1"/>
    <xf numFmtId="0" fontId="7" fillId="0" borderId="3" xfId="0" applyFont="1" applyBorder="1" applyAlignment="1">
      <alignment horizontal="center" wrapText="1"/>
    </xf>
    <xf numFmtId="0" fontId="18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4" fontId="3" fillId="14" borderId="0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0" borderId="14" xfId="0" applyFont="1" applyBorder="1" applyAlignment="1">
      <alignment horizontal="center" vertical="center" wrapText="1"/>
    </xf>
    <xf numFmtId="4" fontId="1" fillId="4" borderId="8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" fontId="3" fillId="11" borderId="3" xfId="0" applyNumberFormat="1" applyFont="1" applyFill="1" applyBorder="1" applyAlignment="1">
      <alignment horizontal="center" vertical="center"/>
    </xf>
    <xf numFmtId="4" fontId="16" fillId="2" borderId="3" xfId="0" applyNumberFormat="1" applyFont="1" applyFill="1" applyBorder="1" applyAlignment="1">
      <alignment horizontal="center" vertical="center"/>
    </xf>
    <xf numFmtId="4" fontId="16" fillId="9" borderId="3" xfId="0" applyNumberFormat="1" applyFont="1" applyFill="1" applyBorder="1" applyAlignment="1">
      <alignment horizontal="center" vertical="center"/>
    </xf>
    <xf numFmtId="4" fontId="3" fillId="9" borderId="3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 wrapText="1"/>
    </xf>
    <xf numFmtId="0" fontId="19" fillId="0" borderId="0" xfId="0" applyFont="1" applyAlignment="1"/>
    <xf numFmtId="0" fontId="1" fillId="4" borderId="2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vertical="center"/>
    </xf>
    <xf numFmtId="4" fontId="1" fillId="4" borderId="3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13" borderId="3" xfId="0" applyNumberFormat="1" applyFont="1" applyFill="1" applyBorder="1" applyAlignment="1" applyProtection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vertical="center"/>
    </xf>
    <xf numFmtId="4" fontId="1" fillId="2" borderId="22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 applyProtection="1">
      <alignment horizontal="center" vertical="center" wrapText="1"/>
    </xf>
    <xf numFmtId="0" fontId="1" fillId="0" borderId="14" xfId="0" applyNumberFormat="1" applyFont="1" applyFill="1" applyBorder="1" applyAlignment="1" applyProtection="1">
      <alignment horizontal="left" vertical="center" wrapText="1"/>
    </xf>
    <xf numFmtId="0" fontId="1" fillId="0" borderId="21" xfId="0" applyFont="1" applyBorder="1"/>
    <xf numFmtId="0" fontId="1" fillId="13" borderId="3" xfId="0" applyNumberFormat="1" applyFont="1" applyFill="1" applyBorder="1" applyAlignment="1" applyProtection="1">
      <alignment horizontal="center" vertical="center"/>
    </xf>
    <xf numFmtId="0" fontId="1" fillId="4" borderId="3" xfId="0" applyNumberFormat="1" applyFont="1" applyFill="1" applyBorder="1" applyAlignment="1" applyProtection="1">
      <alignment horizontal="left" vertical="center"/>
    </xf>
    <xf numFmtId="4" fontId="1" fillId="9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2" fontId="8" fillId="0" borderId="1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Z167"/>
  <sheetViews>
    <sheetView tabSelected="1" view="pageBreakPreview" topLeftCell="E1" zoomScaleNormal="75" zoomScaleSheetLayoutView="100" workbookViewId="0">
      <pane ySplit="7" topLeftCell="A54" activePane="bottomLeft" state="frozen"/>
      <selection activeCell="B1" sqref="B1"/>
      <selection pane="bottomLeft" activeCell="Q78" sqref="Q78"/>
    </sheetView>
  </sheetViews>
  <sheetFormatPr defaultRowHeight="12.75"/>
  <cols>
    <col min="1" max="1" width="14.42578125" customWidth="1"/>
    <col min="2" max="2" width="42.85546875" customWidth="1"/>
    <col min="3" max="3" width="9.140625" customWidth="1"/>
    <col min="4" max="4" width="22" customWidth="1"/>
    <col min="5" max="7" width="10.140625" customWidth="1"/>
    <col min="8" max="8" width="11.5703125" customWidth="1"/>
    <col min="9" max="11" width="9.85546875" customWidth="1"/>
    <col min="12" max="13" width="10.7109375" customWidth="1"/>
    <col min="14" max="14" width="10.42578125" customWidth="1"/>
    <col min="15" max="20" width="9.85546875" customWidth="1"/>
    <col min="21" max="21" width="12.28515625" customWidth="1"/>
  </cols>
  <sheetData>
    <row r="1" spans="1:21" ht="14.25" customHeight="1"/>
    <row r="3" spans="1:21" ht="18">
      <c r="A3" s="160"/>
      <c r="B3" s="190" t="s">
        <v>0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23"/>
      <c r="N3" s="123"/>
      <c r="O3" s="123"/>
      <c r="P3" s="123"/>
      <c r="Q3" s="123"/>
      <c r="R3" s="123"/>
      <c r="S3" s="123"/>
      <c r="T3" s="123"/>
      <c r="U3" s="123"/>
    </row>
    <row r="4" spans="1:21" ht="35.25" customHeight="1">
      <c r="A4" s="123"/>
      <c r="B4" s="191" t="s">
        <v>1</v>
      </c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23"/>
      <c r="N4" s="123"/>
      <c r="O4" s="123"/>
      <c r="P4" s="123"/>
      <c r="Q4" s="123"/>
      <c r="R4" s="123"/>
      <c r="S4" s="123"/>
      <c r="T4" s="123"/>
      <c r="U4" s="123"/>
    </row>
    <row r="5" spans="1:21" ht="18">
      <c r="A5" s="123"/>
      <c r="B5" s="191" t="s">
        <v>196</v>
      </c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23"/>
      <c r="N5" s="123"/>
      <c r="O5" s="123"/>
      <c r="P5" s="123"/>
      <c r="Q5" s="123"/>
      <c r="R5" s="123"/>
      <c r="S5" s="123"/>
      <c r="T5" s="123"/>
      <c r="U5" s="123"/>
    </row>
    <row r="6" spans="1:21" ht="14.25">
      <c r="A6" s="123"/>
      <c r="B6" s="192" t="s">
        <v>182</v>
      </c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23"/>
      <c r="N6" s="123"/>
      <c r="O6" s="123"/>
      <c r="P6" s="123"/>
      <c r="Q6" s="123"/>
      <c r="R6" s="123"/>
      <c r="S6" s="123"/>
      <c r="T6" s="123"/>
      <c r="U6" s="123"/>
    </row>
    <row r="7" spans="1:21" ht="48.75" customHeight="1">
      <c r="A7" s="173" t="s">
        <v>2</v>
      </c>
      <c r="B7" s="174" t="s">
        <v>3</v>
      </c>
      <c r="C7" s="174" t="s">
        <v>4</v>
      </c>
      <c r="D7" s="174" t="s">
        <v>5</v>
      </c>
      <c r="E7" s="174" t="s">
        <v>6</v>
      </c>
      <c r="F7" s="174" t="s">
        <v>7</v>
      </c>
      <c r="G7" s="174" t="s">
        <v>8</v>
      </c>
      <c r="H7" s="175" t="s">
        <v>9</v>
      </c>
      <c r="I7" s="30" t="s">
        <v>168</v>
      </c>
      <c r="J7" s="30" t="s">
        <v>169</v>
      </c>
      <c r="K7" s="30" t="s">
        <v>170</v>
      </c>
      <c r="L7" s="30" t="s">
        <v>171</v>
      </c>
      <c r="M7" s="30" t="s">
        <v>186</v>
      </c>
      <c r="N7" s="30" t="s">
        <v>172</v>
      </c>
      <c r="O7" s="30" t="s">
        <v>173</v>
      </c>
      <c r="P7" s="30" t="s">
        <v>174</v>
      </c>
      <c r="Q7" s="30" t="s">
        <v>175</v>
      </c>
      <c r="R7" s="30" t="s">
        <v>176</v>
      </c>
      <c r="S7" s="30" t="s">
        <v>177</v>
      </c>
      <c r="T7" s="30" t="s">
        <v>178</v>
      </c>
      <c r="U7" s="30" t="s">
        <v>183</v>
      </c>
    </row>
    <row r="8" spans="1:21">
      <c r="A8" s="176">
        <v>1</v>
      </c>
      <c r="B8" s="8">
        <v>2</v>
      </c>
      <c r="C8" s="31">
        <v>3</v>
      </c>
      <c r="D8" s="8">
        <v>4</v>
      </c>
      <c r="E8" s="8">
        <v>5</v>
      </c>
      <c r="F8" s="31">
        <v>6</v>
      </c>
      <c r="G8" s="31">
        <v>7</v>
      </c>
      <c r="H8" s="161">
        <v>8</v>
      </c>
      <c r="I8" s="162">
        <v>9</v>
      </c>
      <c r="J8" s="162">
        <v>10</v>
      </c>
      <c r="K8" s="162">
        <v>11</v>
      </c>
      <c r="L8" s="162">
        <v>12</v>
      </c>
      <c r="M8" s="162">
        <v>13</v>
      </c>
      <c r="N8" s="162">
        <v>14</v>
      </c>
      <c r="O8" s="162">
        <v>15</v>
      </c>
      <c r="P8" s="162">
        <v>16</v>
      </c>
      <c r="Q8" s="162">
        <v>17</v>
      </c>
      <c r="R8" s="162">
        <v>18</v>
      </c>
      <c r="S8" s="162">
        <v>19</v>
      </c>
      <c r="T8" s="162">
        <v>20</v>
      </c>
      <c r="U8" s="162">
        <v>21</v>
      </c>
    </row>
    <row r="9" spans="1:21" ht="38.25">
      <c r="A9" s="176"/>
      <c r="B9" s="10" t="s">
        <v>10</v>
      </c>
      <c r="C9" s="31"/>
      <c r="D9" s="11"/>
      <c r="E9" s="11"/>
      <c r="F9" s="31"/>
      <c r="G9" s="31"/>
      <c r="H9" s="32"/>
      <c r="I9" s="33"/>
      <c r="J9" s="33"/>
      <c r="K9" s="33"/>
      <c r="L9" s="33"/>
      <c r="M9" s="34"/>
      <c r="N9" s="35"/>
      <c r="O9" s="35"/>
      <c r="P9" s="35"/>
      <c r="Q9" s="35"/>
      <c r="R9" s="35"/>
      <c r="S9" s="35"/>
      <c r="T9" s="35"/>
      <c r="U9" s="35"/>
    </row>
    <row r="10" spans="1:21">
      <c r="A10" s="176"/>
      <c r="B10" s="10" t="s">
        <v>11</v>
      </c>
      <c r="C10" s="31"/>
      <c r="D10" s="11"/>
      <c r="E10" s="11"/>
      <c r="F10" s="31"/>
      <c r="G10" s="31"/>
      <c r="H10" s="32"/>
      <c r="I10" s="33"/>
      <c r="J10" s="33"/>
      <c r="K10" s="33"/>
      <c r="L10" s="33"/>
      <c r="M10" s="34"/>
      <c r="N10" s="35"/>
      <c r="O10" s="35"/>
      <c r="P10" s="35"/>
      <c r="Q10" s="35"/>
      <c r="R10" s="35"/>
      <c r="S10" s="35"/>
      <c r="T10" s="35"/>
      <c r="U10" s="35"/>
    </row>
    <row r="11" spans="1:21" ht="25.5">
      <c r="A11" s="176" t="s">
        <v>234</v>
      </c>
      <c r="B11" s="11" t="s">
        <v>12</v>
      </c>
      <c r="C11" s="31" t="s">
        <v>13</v>
      </c>
      <c r="D11" s="11" t="s">
        <v>14</v>
      </c>
      <c r="E11" s="36">
        <v>118.34</v>
      </c>
      <c r="F11" s="37">
        <f>SUM(E11*156/100)</f>
        <v>184.6104</v>
      </c>
      <c r="G11" s="37">
        <v>175.38</v>
      </c>
      <c r="H11" s="38">
        <f t="shared" ref="H11:H19" si="0">SUM(F11*G11/1000)</f>
        <v>32.376971951999998</v>
      </c>
      <c r="I11" s="39">
        <f>F11/12*G11</f>
        <v>2698.0809959999997</v>
      </c>
      <c r="J11" s="39">
        <f>F11/12*G11</f>
        <v>2698.0809959999997</v>
      </c>
      <c r="K11" s="39">
        <f>F11/12*G11</f>
        <v>2698.0809959999997</v>
      </c>
      <c r="L11" s="39">
        <f>F11/12*G11</f>
        <v>2698.0809959999997</v>
      </c>
      <c r="M11" s="39">
        <f>F11/12*G11</f>
        <v>2698.0809959999997</v>
      </c>
      <c r="N11" s="39">
        <f>F11/12*G11</f>
        <v>2698.0809959999997</v>
      </c>
      <c r="O11" s="39">
        <f>F11/12*G11</f>
        <v>2698.0809959999997</v>
      </c>
      <c r="P11" s="39">
        <f>F11/12*G11</f>
        <v>2698.0809959999997</v>
      </c>
      <c r="Q11" s="39">
        <f>F11/12*G11</f>
        <v>2698.0809959999997</v>
      </c>
      <c r="R11" s="39">
        <f>F11/12*G11</f>
        <v>2698.0809959999997</v>
      </c>
      <c r="S11" s="39">
        <f>F11/12*G11</f>
        <v>2698.0809959999997</v>
      </c>
      <c r="T11" s="39">
        <f>F11/12*G11</f>
        <v>2698.0809959999997</v>
      </c>
      <c r="U11" s="39">
        <f>SUM(I11:T11)</f>
        <v>32376.971952000004</v>
      </c>
    </row>
    <row r="12" spans="1:21" ht="25.5">
      <c r="A12" s="176" t="s">
        <v>234</v>
      </c>
      <c r="B12" s="11" t="s">
        <v>15</v>
      </c>
      <c r="C12" s="31" t="s">
        <v>13</v>
      </c>
      <c r="D12" s="11" t="s">
        <v>16</v>
      </c>
      <c r="E12" s="36">
        <v>473.36</v>
      </c>
      <c r="F12" s="37">
        <f>SUM(E12*104/100)</f>
        <v>492.2944</v>
      </c>
      <c r="G12" s="37">
        <v>175.38</v>
      </c>
      <c r="H12" s="38">
        <f t="shared" si="0"/>
        <v>86.338591871999995</v>
      </c>
      <c r="I12" s="39">
        <f>F12/12*G12</f>
        <v>7194.8826559999998</v>
      </c>
      <c r="J12" s="39">
        <f>F12/12*G12</f>
        <v>7194.8826559999998</v>
      </c>
      <c r="K12" s="39">
        <f t="shared" ref="K12:K13" si="1">F12/12*G12</f>
        <v>7194.8826559999998</v>
      </c>
      <c r="L12" s="39">
        <f t="shared" ref="L12:L13" si="2">F12/12*G12</f>
        <v>7194.8826559999998</v>
      </c>
      <c r="M12" s="39">
        <f t="shared" ref="M12:M16" si="3">F12/12*G12</f>
        <v>7194.8826559999998</v>
      </c>
      <c r="N12" s="39">
        <f t="shared" ref="N12:N16" si="4">F12/12*G12</f>
        <v>7194.8826559999998</v>
      </c>
      <c r="O12" s="39">
        <f t="shared" ref="O12:O16" si="5">F12/12*G12</f>
        <v>7194.8826559999998</v>
      </c>
      <c r="P12" s="39">
        <f t="shared" ref="P12:P16" si="6">F12/12*G12</f>
        <v>7194.8826559999998</v>
      </c>
      <c r="Q12" s="39">
        <f t="shared" ref="Q12:Q16" si="7">F12/12*G12</f>
        <v>7194.8826559999998</v>
      </c>
      <c r="R12" s="39">
        <f t="shared" ref="R12:R16" si="8">F12/12*G12</f>
        <v>7194.8826559999998</v>
      </c>
      <c r="S12" s="39">
        <f t="shared" ref="S12:S16" si="9">F12/12*G12</f>
        <v>7194.8826559999998</v>
      </c>
      <c r="T12" s="39">
        <f t="shared" ref="T12:T16" si="10">F12/12*G12</f>
        <v>7194.8826559999998</v>
      </c>
      <c r="U12" s="39">
        <f t="shared" ref="U12:U19" si="11">SUM(I12:T12)</f>
        <v>86338.591872000005</v>
      </c>
    </row>
    <row r="13" spans="1:21" ht="25.5">
      <c r="A13" s="176" t="s">
        <v>235</v>
      </c>
      <c r="B13" s="11" t="s">
        <v>17</v>
      </c>
      <c r="C13" s="31" t="s">
        <v>13</v>
      </c>
      <c r="D13" s="11" t="s">
        <v>18</v>
      </c>
      <c r="E13" s="36">
        <f>SUM(E11+E12)</f>
        <v>591.70000000000005</v>
      </c>
      <c r="F13" s="37">
        <f>SUM(E13*24/100)</f>
        <v>142.00800000000001</v>
      </c>
      <c r="G13" s="37">
        <v>504.5</v>
      </c>
      <c r="H13" s="38">
        <f t="shared" si="0"/>
        <v>71.643036000000009</v>
      </c>
      <c r="I13" s="39">
        <f>F13/12*G13</f>
        <v>5970.2530000000006</v>
      </c>
      <c r="J13" s="39">
        <f>F13/12*G13</f>
        <v>5970.2530000000006</v>
      </c>
      <c r="K13" s="39">
        <f t="shared" si="1"/>
        <v>5970.2530000000006</v>
      </c>
      <c r="L13" s="39">
        <f t="shared" si="2"/>
        <v>5970.2530000000006</v>
      </c>
      <c r="M13" s="39">
        <f t="shared" si="3"/>
        <v>5970.2530000000006</v>
      </c>
      <c r="N13" s="39">
        <f t="shared" si="4"/>
        <v>5970.2530000000006</v>
      </c>
      <c r="O13" s="39">
        <f t="shared" si="5"/>
        <v>5970.2530000000006</v>
      </c>
      <c r="P13" s="39">
        <f t="shared" si="6"/>
        <v>5970.2530000000006</v>
      </c>
      <c r="Q13" s="39">
        <f t="shared" si="7"/>
        <v>5970.2530000000006</v>
      </c>
      <c r="R13" s="39">
        <f t="shared" si="8"/>
        <v>5970.2530000000006</v>
      </c>
      <c r="S13" s="39">
        <f t="shared" si="9"/>
        <v>5970.2530000000006</v>
      </c>
      <c r="T13" s="39">
        <f t="shared" si="10"/>
        <v>5970.2530000000006</v>
      </c>
      <c r="U13" s="39">
        <f t="shared" si="11"/>
        <v>71643.035999999993</v>
      </c>
    </row>
    <row r="14" spans="1:21">
      <c r="A14" s="176" t="s">
        <v>236</v>
      </c>
      <c r="B14" s="11" t="s">
        <v>19</v>
      </c>
      <c r="C14" s="31" t="s">
        <v>20</v>
      </c>
      <c r="D14" s="11" t="s">
        <v>152</v>
      </c>
      <c r="E14" s="36">
        <v>38.4</v>
      </c>
      <c r="F14" s="37">
        <f>SUM(E14/10)</f>
        <v>3.84</v>
      </c>
      <c r="G14" s="37">
        <v>170.16</v>
      </c>
      <c r="H14" s="38">
        <f t="shared" si="0"/>
        <v>0.65341439999999995</v>
      </c>
      <c r="I14" s="39">
        <v>0</v>
      </c>
      <c r="J14" s="39">
        <v>0</v>
      </c>
      <c r="K14" s="39">
        <v>0</v>
      </c>
      <c r="L14" s="39">
        <v>0</v>
      </c>
      <c r="M14" s="39">
        <f>F14/2*G14</f>
        <v>326.7072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f t="shared" si="11"/>
        <v>326.7072</v>
      </c>
    </row>
    <row r="15" spans="1:21">
      <c r="A15" s="176" t="s">
        <v>237</v>
      </c>
      <c r="B15" s="11" t="s">
        <v>21</v>
      </c>
      <c r="C15" s="31" t="s">
        <v>13</v>
      </c>
      <c r="D15" s="11" t="s">
        <v>153</v>
      </c>
      <c r="E15" s="36">
        <v>43.2</v>
      </c>
      <c r="F15" s="37">
        <f>SUM(E15*12/100)</f>
        <v>5.1840000000000011</v>
      </c>
      <c r="G15" s="37">
        <v>217.88</v>
      </c>
      <c r="H15" s="38">
        <f t="shared" si="0"/>
        <v>1.1294899200000001</v>
      </c>
      <c r="I15" s="39">
        <f>F15/12*G15</f>
        <v>94.124160000000018</v>
      </c>
      <c r="J15" s="39">
        <f>F15/12*G15</f>
        <v>94.124160000000018</v>
      </c>
      <c r="K15" s="39">
        <f>F15/12*G15</f>
        <v>94.124160000000018</v>
      </c>
      <c r="L15" s="39">
        <f>F15/12*G15</f>
        <v>94.124160000000018</v>
      </c>
      <c r="M15" s="39">
        <f t="shared" si="3"/>
        <v>94.124160000000018</v>
      </c>
      <c r="N15" s="39">
        <f t="shared" si="4"/>
        <v>94.124160000000018</v>
      </c>
      <c r="O15" s="39">
        <f t="shared" si="5"/>
        <v>94.124160000000018</v>
      </c>
      <c r="P15" s="39">
        <f t="shared" si="6"/>
        <v>94.124160000000018</v>
      </c>
      <c r="Q15" s="39">
        <f t="shared" si="7"/>
        <v>94.124160000000018</v>
      </c>
      <c r="R15" s="39">
        <f t="shared" si="8"/>
        <v>94.124160000000018</v>
      </c>
      <c r="S15" s="39">
        <f t="shared" si="9"/>
        <v>94.124160000000018</v>
      </c>
      <c r="T15" s="39">
        <f t="shared" si="10"/>
        <v>94.124160000000018</v>
      </c>
      <c r="U15" s="39">
        <f t="shared" si="11"/>
        <v>1129.4899200000004</v>
      </c>
    </row>
    <row r="16" spans="1:21">
      <c r="A16" s="176" t="s">
        <v>238</v>
      </c>
      <c r="B16" s="11" t="s">
        <v>22</v>
      </c>
      <c r="C16" s="31" t="s">
        <v>13</v>
      </c>
      <c r="D16" s="11" t="s">
        <v>153</v>
      </c>
      <c r="E16" s="36">
        <v>10.08</v>
      </c>
      <c r="F16" s="37">
        <f>SUM(E16*12/100)</f>
        <v>1.2096</v>
      </c>
      <c r="G16" s="37">
        <v>216.12</v>
      </c>
      <c r="H16" s="38">
        <f t="shared" si="0"/>
        <v>0.26141875199999998</v>
      </c>
      <c r="I16" s="39">
        <f>F16/12*G16</f>
        <v>21.784896</v>
      </c>
      <c r="J16" s="39">
        <f>F16/12*G16</f>
        <v>21.784896</v>
      </c>
      <c r="K16" s="39">
        <f>F16/12*G16</f>
        <v>21.784896</v>
      </c>
      <c r="L16" s="39">
        <f>F16/12*G16</f>
        <v>21.784896</v>
      </c>
      <c r="M16" s="39">
        <f t="shared" si="3"/>
        <v>21.784896</v>
      </c>
      <c r="N16" s="39">
        <f t="shared" si="4"/>
        <v>21.784896</v>
      </c>
      <c r="O16" s="39">
        <f t="shared" si="5"/>
        <v>21.784896</v>
      </c>
      <c r="P16" s="39">
        <f t="shared" si="6"/>
        <v>21.784896</v>
      </c>
      <c r="Q16" s="39">
        <f t="shared" si="7"/>
        <v>21.784896</v>
      </c>
      <c r="R16" s="39">
        <f t="shared" si="8"/>
        <v>21.784896</v>
      </c>
      <c r="S16" s="39">
        <f t="shared" si="9"/>
        <v>21.784896</v>
      </c>
      <c r="T16" s="39">
        <f t="shared" si="10"/>
        <v>21.784896</v>
      </c>
      <c r="U16" s="39">
        <f t="shared" si="11"/>
        <v>261.41875199999998</v>
      </c>
    </row>
    <row r="17" spans="1:21">
      <c r="A17" s="176" t="s">
        <v>239</v>
      </c>
      <c r="B17" s="11" t="s">
        <v>23</v>
      </c>
      <c r="C17" s="31" t="s">
        <v>24</v>
      </c>
      <c r="D17" s="11" t="s">
        <v>152</v>
      </c>
      <c r="E17" s="36">
        <v>771.12</v>
      </c>
      <c r="F17" s="37">
        <f>SUM(E17/100)</f>
        <v>7.7111999999999998</v>
      </c>
      <c r="G17" s="37">
        <v>269.26</v>
      </c>
      <c r="H17" s="38">
        <f t="shared" si="0"/>
        <v>2.0763177119999998</v>
      </c>
      <c r="I17" s="39">
        <v>0</v>
      </c>
      <c r="J17" s="39">
        <v>0</v>
      </c>
      <c r="K17" s="39">
        <v>0</v>
      </c>
      <c r="L17" s="39">
        <v>0</v>
      </c>
      <c r="M17" s="39">
        <f>F17*G17</f>
        <v>2076.317712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f t="shared" si="11"/>
        <v>2076.317712</v>
      </c>
    </row>
    <row r="18" spans="1:21">
      <c r="A18" s="176" t="s">
        <v>240</v>
      </c>
      <c r="B18" s="11" t="s">
        <v>25</v>
      </c>
      <c r="C18" s="31" t="s">
        <v>24</v>
      </c>
      <c r="D18" s="11" t="s">
        <v>152</v>
      </c>
      <c r="E18" s="41">
        <v>70.56</v>
      </c>
      <c r="F18" s="37">
        <f>SUM(E18/100)</f>
        <v>0.7056</v>
      </c>
      <c r="G18" s="37">
        <v>44.29</v>
      </c>
      <c r="H18" s="38">
        <f t="shared" si="0"/>
        <v>3.1251024000000002E-2</v>
      </c>
      <c r="I18" s="39">
        <v>0</v>
      </c>
      <c r="J18" s="39">
        <v>0</v>
      </c>
      <c r="K18" s="39">
        <v>0</v>
      </c>
      <c r="L18" s="39">
        <v>0</v>
      </c>
      <c r="M18" s="39">
        <f>F18*G18</f>
        <v>31.251024000000001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39">
        <f t="shared" si="11"/>
        <v>31.251024000000001</v>
      </c>
    </row>
    <row r="19" spans="1:21">
      <c r="A19" s="176" t="s">
        <v>241</v>
      </c>
      <c r="B19" s="11" t="s">
        <v>26</v>
      </c>
      <c r="C19" s="31" t="s">
        <v>24</v>
      </c>
      <c r="D19" s="11" t="s">
        <v>152</v>
      </c>
      <c r="E19" s="36">
        <v>28.22</v>
      </c>
      <c r="F19" s="37">
        <f>SUM(E19/100)</f>
        <v>0.28220000000000001</v>
      </c>
      <c r="G19" s="37">
        <v>520.79999999999995</v>
      </c>
      <c r="H19" s="38">
        <f t="shared" si="0"/>
        <v>0.14696975999999998</v>
      </c>
      <c r="I19" s="39">
        <v>0</v>
      </c>
      <c r="J19" s="39">
        <v>0</v>
      </c>
      <c r="K19" s="39">
        <v>0</v>
      </c>
      <c r="L19" s="39">
        <v>0</v>
      </c>
      <c r="M19" s="39">
        <f>F19*G19</f>
        <v>146.96975999999998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f t="shared" si="11"/>
        <v>146.96975999999998</v>
      </c>
    </row>
    <row r="20" spans="1:21" s="19" customFormat="1">
      <c r="A20" s="177"/>
      <c r="B20" s="20" t="s">
        <v>27</v>
      </c>
      <c r="C20" s="42"/>
      <c r="D20" s="20"/>
      <c r="E20" s="43"/>
      <c r="F20" s="44"/>
      <c r="G20" s="44"/>
      <c r="H20" s="45">
        <f>SUM(H11:H19)</f>
        <v>194.65746139199999</v>
      </c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>
        <f>SUM(U11:U19)</f>
        <v>194330.75419199999</v>
      </c>
    </row>
    <row r="21" spans="1:21">
      <c r="A21" s="176"/>
      <c r="B21" s="12" t="s">
        <v>28</v>
      </c>
      <c r="C21" s="31"/>
      <c r="D21" s="11"/>
      <c r="E21" s="36"/>
      <c r="F21" s="37"/>
      <c r="G21" s="37"/>
      <c r="H21" s="38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</row>
    <row r="22" spans="1:21" ht="25.5" customHeight="1">
      <c r="A22" s="176" t="s">
        <v>242</v>
      </c>
      <c r="B22" s="11" t="s">
        <v>212</v>
      </c>
      <c r="C22" s="31" t="s">
        <v>30</v>
      </c>
      <c r="D22" s="11" t="s">
        <v>29</v>
      </c>
      <c r="E22" s="37">
        <v>1414.6</v>
      </c>
      <c r="F22" s="37">
        <f>SUM(E22*52/1000)</f>
        <v>73.559200000000004</v>
      </c>
      <c r="G22" s="37">
        <v>155.88999999999999</v>
      </c>
      <c r="H22" s="38">
        <f t="shared" ref="H22:H34" si="12">SUM(F22*G22/1000)</f>
        <v>11.467143688</v>
      </c>
      <c r="I22" s="39">
        <v>0</v>
      </c>
      <c r="J22" s="39">
        <v>0</v>
      </c>
      <c r="K22" s="39">
        <v>0</v>
      </c>
      <c r="L22" s="39">
        <v>0</v>
      </c>
      <c r="M22" s="39">
        <f>F22/6*G22</f>
        <v>1911.1906146666665</v>
      </c>
      <c r="N22" s="39">
        <f>F22/6*G22</f>
        <v>1911.1906146666665</v>
      </c>
      <c r="O22" s="39">
        <f>F22/6*G22</f>
        <v>1911.1906146666665</v>
      </c>
      <c r="P22" s="39">
        <f>F22/6*G22</f>
        <v>1911.1906146666665</v>
      </c>
      <c r="Q22" s="39">
        <f>F22/6*G22</f>
        <v>1911.1906146666665</v>
      </c>
      <c r="R22" s="39">
        <f>F22/6*G22</f>
        <v>1911.1906146666665</v>
      </c>
      <c r="S22" s="39">
        <v>0</v>
      </c>
      <c r="T22" s="39">
        <v>0</v>
      </c>
      <c r="U22" s="39">
        <f>SUM(I22:T22)</f>
        <v>11467.143687999998</v>
      </c>
    </row>
    <row r="23" spans="1:21" ht="38.25" customHeight="1">
      <c r="A23" s="176" t="s">
        <v>243</v>
      </c>
      <c r="B23" s="11" t="s">
        <v>213</v>
      </c>
      <c r="C23" s="31" t="s">
        <v>30</v>
      </c>
      <c r="D23" s="11" t="s">
        <v>31</v>
      </c>
      <c r="E23" s="37">
        <v>632.4</v>
      </c>
      <c r="F23" s="37">
        <f>SUM(E23*78/1000)</f>
        <v>49.327199999999998</v>
      </c>
      <c r="G23" s="37">
        <v>258.63</v>
      </c>
      <c r="H23" s="38">
        <f t="shared" si="12"/>
        <v>12.757493735999999</v>
      </c>
      <c r="I23" s="39">
        <v>0</v>
      </c>
      <c r="J23" s="39">
        <v>0</v>
      </c>
      <c r="K23" s="39">
        <v>0</v>
      </c>
      <c r="L23" s="39">
        <v>0</v>
      </c>
      <c r="M23" s="39">
        <f>F23/6*G23</f>
        <v>2126.2489559999999</v>
      </c>
      <c r="N23" s="39">
        <f t="shared" ref="N23:N31" si="13">F23/6*G23</f>
        <v>2126.2489559999999</v>
      </c>
      <c r="O23" s="39">
        <f t="shared" ref="O23:O31" si="14">F23/6*G23</f>
        <v>2126.2489559999999</v>
      </c>
      <c r="P23" s="39">
        <f t="shared" ref="P23:P31" si="15">F23/6*G23</f>
        <v>2126.2489559999999</v>
      </c>
      <c r="Q23" s="39">
        <f t="shared" ref="Q23:Q27" si="16">F23/6*G23</f>
        <v>2126.2489559999999</v>
      </c>
      <c r="R23" s="39">
        <f t="shared" ref="R23:R27" si="17">F23/6*G23</f>
        <v>2126.2489559999999</v>
      </c>
      <c r="S23" s="39">
        <v>0</v>
      </c>
      <c r="T23" s="39">
        <v>0</v>
      </c>
      <c r="U23" s="39">
        <f>SUM(I23:T23)</f>
        <v>12757.493735999999</v>
      </c>
    </row>
    <row r="24" spans="1:21" hidden="1">
      <c r="A24" s="176" t="s">
        <v>244</v>
      </c>
      <c r="B24" s="11" t="s">
        <v>32</v>
      </c>
      <c r="C24" s="31" t="s">
        <v>30</v>
      </c>
      <c r="D24" s="11" t="s">
        <v>33</v>
      </c>
      <c r="E24" s="36">
        <v>143.20000000000002</v>
      </c>
      <c r="F24" s="37">
        <v>0</v>
      </c>
      <c r="G24" s="37">
        <v>293.27999999999997</v>
      </c>
      <c r="H24" s="38">
        <f t="shared" si="12"/>
        <v>0</v>
      </c>
      <c r="I24" s="39"/>
      <c r="J24" s="39"/>
      <c r="K24" s="39">
        <v>0</v>
      </c>
      <c r="L24" s="39">
        <v>0</v>
      </c>
      <c r="M24" s="39">
        <f t="shared" ref="M24:M31" si="18">F24/6*G24</f>
        <v>0</v>
      </c>
      <c r="N24" s="39">
        <f t="shared" si="13"/>
        <v>0</v>
      </c>
      <c r="O24" s="39">
        <f t="shared" si="14"/>
        <v>0</v>
      </c>
      <c r="P24" s="39">
        <f t="shared" si="15"/>
        <v>0</v>
      </c>
      <c r="Q24" s="39">
        <f t="shared" si="16"/>
        <v>0</v>
      </c>
      <c r="R24" s="39">
        <f t="shared" si="17"/>
        <v>0</v>
      </c>
      <c r="S24" s="39">
        <v>0</v>
      </c>
      <c r="T24" s="39">
        <v>0</v>
      </c>
      <c r="U24" s="39"/>
    </row>
    <row r="25" spans="1:21">
      <c r="A25" s="176" t="s">
        <v>244</v>
      </c>
      <c r="B25" s="11" t="s">
        <v>34</v>
      </c>
      <c r="C25" s="31" t="s">
        <v>30</v>
      </c>
      <c r="D25" s="11" t="s">
        <v>35</v>
      </c>
      <c r="E25" s="37">
        <v>1414.6</v>
      </c>
      <c r="F25" s="37">
        <f>SUM(E25/1000)</f>
        <v>1.4145999999999999</v>
      </c>
      <c r="G25" s="37">
        <v>3020.33</v>
      </c>
      <c r="H25" s="38">
        <f t="shared" si="12"/>
        <v>4.2725588179999994</v>
      </c>
      <c r="I25" s="39">
        <v>0</v>
      </c>
      <c r="J25" s="39">
        <v>0</v>
      </c>
      <c r="K25" s="39">
        <v>0</v>
      </c>
      <c r="L25" s="39">
        <v>0</v>
      </c>
      <c r="M25" s="39">
        <f>F25*G25</f>
        <v>4272.5588179999995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39">
        <v>0</v>
      </c>
      <c r="U25" s="39">
        <f>SUM(I25:T25)</f>
        <v>4272.5588179999995</v>
      </c>
    </row>
    <row r="26" spans="1:21">
      <c r="A26" s="176" t="s">
        <v>306</v>
      </c>
      <c r="B26" s="11" t="s">
        <v>307</v>
      </c>
      <c r="C26" s="31" t="s">
        <v>84</v>
      </c>
      <c r="D26" s="11" t="s">
        <v>38</v>
      </c>
      <c r="E26" s="37">
        <v>6</v>
      </c>
      <c r="F26" s="37">
        <f>SUM(E26*155/100)</f>
        <v>9.3000000000000007</v>
      </c>
      <c r="G26" s="37">
        <v>1302.02</v>
      </c>
      <c r="H26" s="38">
        <f t="shared" si="12"/>
        <v>12.108786</v>
      </c>
      <c r="I26" s="39">
        <v>0</v>
      </c>
      <c r="J26" s="39">
        <v>0</v>
      </c>
      <c r="K26" s="39">
        <v>0</v>
      </c>
      <c r="L26" s="39">
        <v>0</v>
      </c>
      <c r="M26" s="39">
        <f t="shared" ref="M26" si="19">F26/6*G26</f>
        <v>2018.1310000000001</v>
      </c>
      <c r="N26" s="39">
        <f t="shared" ref="N26" si="20">F26/6*G26</f>
        <v>2018.1310000000001</v>
      </c>
      <c r="O26" s="39">
        <f t="shared" ref="O26" si="21">F26/6*G26</f>
        <v>2018.1310000000001</v>
      </c>
      <c r="P26" s="39">
        <f t="shared" ref="P26" si="22">F26/6*G26</f>
        <v>2018.1310000000001</v>
      </c>
      <c r="Q26" s="39">
        <f t="shared" ref="Q26" si="23">F26/6*G26</f>
        <v>2018.1310000000001</v>
      </c>
      <c r="R26" s="39">
        <f t="shared" ref="R26" si="24">F26/6*G26</f>
        <v>2018.1310000000001</v>
      </c>
      <c r="S26" s="39">
        <v>0</v>
      </c>
      <c r="T26" s="39">
        <v>0</v>
      </c>
      <c r="U26" s="39">
        <f>SUM(I26:T26)</f>
        <v>12108.786</v>
      </c>
    </row>
    <row r="27" spans="1:21">
      <c r="A27" s="176" t="s">
        <v>245</v>
      </c>
      <c r="B27" s="11" t="s">
        <v>36</v>
      </c>
      <c r="C27" s="31" t="s">
        <v>37</v>
      </c>
      <c r="D27" s="11" t="s">
        <v>38</v>
      </c>
      <c r="E27" s="48">
        <v>0.33333333333333331</v>
      </c>
      <c r="F27" s="37">
        <f>155/3</f>
        <v>51.666666666666664</v>
      </c>
      <c r="G27" s="37">
        <v>56.69</v>
      </c>
      <c r="H27" s="38">
        <f t="shared" si="12"/>
        <v>2.9289833333333331</v>
      </c>
      <c r="I27" s="39">
        <v>0</v>
      </c>
      <c r="J27" s="39">
        <v>0</v>
      </c>
      <c r="K27" s="39">
        <v>0</v>
      </c>
      <c r="L27" s="39">
        <v>0</v>
      </c>
      <c r="M27" s="39">
        <f t="shared" si="18"/>
        <v>488.16388888888883</v>
      </c>
      <c r="N27" s="39">
        <f t="shared" si="13"/>
        <v>488.16388888888883</v>
      </c>
      <c r="O27" s="39">
        <f t="shared" si="14"/>
        <v>488.16388888888883</v>
      </c>
      <c r="P27" s="39">
        <f t="shared" si="15"/>
        <v>488.16388888888883</v>
      </c>
      <c r="Q27" s="39">
        <f t="shared" si="16"/>
        <v>488.16388888888883</v>
      </c>
      <c r="R27" s="39">
        <f t="shared" si="17"/>
        <v>488.16388888888883</v>
      </c>
      <c r="S27" s="39">
        <v>0</v>
      </c>
      <c r="T27" s="39">
        <v>0</v>
      </c>
      <c r="U27" s="39">
        <f>SUM(I27:T27)</f>
        <v>2928.9833333333331</v>
      </c>
    </row>
    <row r="28" spans="1:21" ht="12.75" customHeight="1">
      <c r="A28" s="176" t="s">
        <v>246</v>
      </c>
      <c r="B28" s="11" t="s">
        <v>39</v>
      </c>
      <c r="C28" s="31" t="s">
        <v>40</v>
      </c>
      <c r="D28" s="11" t="s">
        <v>41</v>
      </c>
      <c r="E28" s="49">
        <v>0.1</v>
      </c>
      <c r="F28" s="37">
        <f>SUM(E28*365)</f>
        <v>36.5</v>
      </c>
      <c r="G28" s="37">
        <v>147.03</v>
      </c>
      <c r="H28" s="38">
        <f t="shared" si="12"/>
        <v>5.3665950000000002</v>
      </c>
      <c r="I28" s="39">
        <f>F28/12*G28</f>
        <v>447.21625</v>
      </c>
      <c r="J28" s="39">
        <f>F28/12*G28</f>
        <v>447.21625</v>
      </c>
      <c r="K28" s="39">
        <f>F28/12*G28</f>
        <v>447.21625</v>
      </c>
      <c r="L28" s="39">
        <f>F28/12*G28</f>
        <v>447.21625</v>
      </c>
      <c r="M28" s="39">
        <f>F28/12*G28</f>
        <v>447.21625</v>
      </c>
      <c r="N28" s="39">
        <f>F28/12*G28</f>
        <v>447.21625</v>
      </c>
      <c r="O28" s="39">
        <f>F28/12*G28</f>
        <v>447.21625</v>
      </c>
      <c r="P28" s="39">
        <f>F28/12*G28</f>
        <v>447.21625</v>
      </c>
      <c r="Q28" s="39">
        <f>F28/12*G28</f>
        <v>447.21625</v>
      </c>
      <c r="R28" s="39">
        <f>F28/12*G28</f>
        <v>447.21625</v>
      </c>
      <c r="S28" s="39">
        <f>F28/12*G28</f>
        <v>447.21625</v>
      </c>
      <c r="T28" s="39">
        <f>F28/12*G28</f>
        <v>447.21625</v>
      </c>
      <c r="U28" s="39">
        <f>SUM(I28:T28)</f>
        <v>5366.5950000000012</v>
      </c>
    </row>
    <row r="29" spans="1:21" hidden="1">
      <c r="A29" s="176" t="s">
        <v>42</v>
      </c>
      <c r="B29" s="11" t="s">
        <v>43</v>
      </c>
      <c r="C29" s="31" t="s">
        <v>30</v>
      </c>
      <c r="D29" s="11" t="s">
        <v>44</v>
      </c>
      <c r="E29" s="36"/>
      <c r="F29" s="37"/>
      <c r="G29" s="37">
        <v>169.95</v>
      </c>
      <c r="H29" s="38">
        <f t="shared" si="12"/>
        <v>0</v>
      </c>
      <c r="I29" s="39"/>
      <c r="J29" s="39"/>
      <c r="K29" s="39">
        <v>0</v>
      </c>
      <c r="L29" s="39">
        <v>0</v>
      </c>
      <c r="M29" s="39">
        <f t="shared" si="18"/>
        <v>0</v>
      </c>
      <c r="N29" s="39">
        <f t="shared" si="13"/>
        <v>0</v>
      </c>
      <c r="O29" s="39">
        <f t="shared" si="14"/>
        <v>0</v>
      </c>
      <c r="P29" s="39">
        <f t="shared" si="15"/>
        <v>0</v>
      </c>
      <c r="Q29" s="39">
        <f t="shared" ref="Q29:Q34" si="25">F29/12*G29</f>
        <v>0</v>
      </c>
      <c r="R29" s="39">
        <f t="shared" ref="R29:R34" si="26">F29/12*G29</f>
        <v>0</v>
      </c>
      <c r="S29" s="39">
        <f t="shared" ref="S29:S34" si="27">F29/12*G29</f>
        <v>0</v>
      </c>
      <c r="T29" s="39">
        <f t="shared" ref="T29:T34" si="28">F29/12*G29</f>
        <v>0</v>
      </c>
      <c r="U29" s="39"/>
    </row>
    <row r="30" spans="1:21" hidden="1">
      <c r="A30" s="176" t="s">
        <v>45</v>
      </c>
      <c r="B30" s="11" t="s">
        <v>46</v>
      </c>
      <c r="C30" s="31" t="s">
        <v>30</v>
      </c>
      <c r="D30" s="11" t="s">
        <v>44</v>
      </c>
      <c r="E30" s="36"/>
      <c r="F30" s="37"/>
      <c r="G30" s="37">
        <v>1009.42</v>
      </c>
      <c r="H30" s="38">
        <f t="shared" si="12"/>
        <v>0</v>
      </c>
      <c r="I30" s="39"/>
      <c r="J30" s="39"/>
      <c r="K30" s="39">
        <v>0</v>
      </c>
      <c r="L30" s="39">
        <v>0</v>
      </c>
      <c r="M30" s="39">
        <f t="shared" si="18"/>
        <v>0</v>
      </c>
      <c r="N30" s="39">
        <f t="shared" si="13"/>
        <v>0</v>
      </c>
      <c r="O30" s="39">
        <f t="shared" si="14"/>
        <v>0</v>
      </c>
      <c r="P30" s="39">
        <f t="shared" si="15"/>
        <v>0</v>
      </c>
      <c r="Q30" s="39">
        <f t="shared" si="25"/>
        <v>0</v>
      </c>
      <c r="R30" s="39">
        <f t="shared" si="26"/>
        <v>0</v>
      </c>
      <c r="S30" s="39">
        <f t="shared" si="27"/>
        <v>0</v>
      </c>
      <c r="T30" s="39">
        <f t="shared" si="28"/>
        <v>0</v>
      </c>
      <c r="U30" s="39"/>
    </row>
    <row r="31" spans="1:21" hidden="1">
      <c r="A31" s="176" t="s">
        <v>47</v>
      </c>
      <c r="B31" s="11" t="s">
        <v>48</v>
      </c>
      <c r="C31" s="31" t="s">
        <v>40</v>
      </c>
      <c r="D31" s="11" t="s">
        <v>49</v>
      </c>
      <c r="E31" s="36"/>
      <c r="F31" s="37"/>
      <c r="G31" s="37">
        <v>1.6</v>
      </c>
      <c r="H31" s="38">
        <f t="shared" si="12"/>
        <v>0</v>
      </c>
      <c r="I31" s="39"/>
      <c r="J31" s="39"/>
      <c r="K31" s="39">
        <v>0</v>
      </c>
      <c r="L31" s="39">
        <v>0</v>
      </c>
      <c r="M31" s="39">
        <f t="shared" si="18"/>
        <v>0</v>
      </c>
      <c r="N31" s="39">
        <f t="shared" si="13"/>
        <v>0</v>
      </c>
      <c r="O31" s="39">
        <f t="shared" si="14"/>
        <v>0</v>
      </c>
      <c r="P31" s="39">
        <f t="shared" si="15"/>
        <v>0</v>
      </c>
      <c r="Q31" s="39">
        <f t="shared" si="25"/>
        <v>0</v>
      </c>
      <c r="R31" s="39">
        <f t="shared" si="26"/>
        <v>0</v>
      </c>
      <c r="S31" s="39">
        <f t="shared" si="27"/>
        <v>0</v>
      </c>
      <c r="T31" s="39">
        <f t="shared" si="28"/>
        <v>0</v>
      </c>
      <c r="U31" s="39"/>
    </row>
    <row r="32" spans="1:21" ht="12.75" customHeight="1">
      <c r="A32" s="176" t="s">
        <v>247</v>
      </c>
      <c r="B32" s="11" t="s">
        <v>214</v>
      </c>
      <c r="C32" s="31" t="s">
        <v>40</v>
      </c>
      <c r="D32" s="11" t="s">
        <v>49</v>
      </c>
      <c r="E32" s="36"/>
      <c r="F32" s="37">
        <v>4</v>
      </c>
      <c r="G32" s="37">
        <v>191.32</v>
      </c>
      <c r="H32" s="38">
        <f t="shared" si="12"/>
        <v>0.76527999999999996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39">
        <v>0</v>
      </c>
      <c r="R32" s="39">
        <v>0</v>
      </c>
      <c r="S32" s="39">
        <v>0</v>
      </c>
      <c r="T32" s="39">
        <v>0</v>
      </c>
      <c r="U32" s="39">
        <f>SUM(I32:T32)</f>
        <v>0</v>
      </c>
    </row>
    <row r="33" spans="1:21" ht="12.75" customHeight="1">
      <c r="A33" s="176" t="s">
        <v>166</v>
      </c>
      <c r="B33" s="11" t="s">
        <v>215</v>
      </c>
      <c r="C33" s="31" t="s">
        <v>50</v>
      </c>
      <c r="D33" s="11" t="s">
        <v>49</v>
      </c>
      <c r="E33" s="36"/>
      <c r="F33" s="37">
        <v>3</v>
      </c>
      <c r="G33" s="37">
        <v>1136.33</v>
      </c>
      <c r="H33" s="38">
        <f t="shared" si="12"/>
        <v>3.4089899999999997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T33" s="39">
        <v>0</v>
      </c>
      <c r="U33" s="39">
        <f>SUM(I33:T33)</f>
        <v>0</v>
      </c>
    </row>
    <row r="34" spans="1:21">
      <c r="A34" s="176"/>
      <c r="B34" s="50" t="s">
        <v>51</v>
      </c>
      <c r="C34" s="31" t="s">
        <v>52</v>
      </c>
      <c r="D34" s="50" t="s">
        <v>41</v>
      </c>
      <c r="E34" s="36">
        <v>4224.3999999999996</v>
      </c>
      <c r="F34" s="37">
        <f>SUM(E34*12)</f>
        <v>50692.799999999996</v>
      </c>
      <c r="G34" s="37">
        <v>4.59</v>
      </c>
      <c r="H34" s="38">
        <f t="shared" si="12"/>
        <v>232.67995199999996</v>
      </c>
      <c r="I34" s="39">
        <f>F34/12*G34</f>
        <v>19389.995999999999</v>
      </c>
      <c r="J34" s="39">
        <f>F34/12*G34</f>
        <v>19389.995999999999</v>
      </c>
      <c r="K34" s="39">
        <f>F34/12*G34</f>
        <v>19389.995999999999</v>
      </c>
      <c r="L34" s="39">
        <f>F34/12*G34</f>
        <v>19389.995999999999</v>
      </c>
      <c r="M34" s="39">
        <f>F34/12*G34</f>
        <v>19389.995999999999</v>
      </c>
      <c r="N34" s="39">
        <f>F34/12*G34</f>
        <v>19389.995999999999</v>
      </c>
      <c r="O34" s="39">
        <f>F34/12*G34</f>
        <v>19389.995999999999</v>
      </c>
      <c r="P34" s="39">
        <f>F34/12*G34</f>
        <v>19389.995999999999</v>
      </c>
      <c r="Q34" s="39">
        <f t="shared" si="25"/>
        <v>19389.995999999999</v>
      </c>
      <c r="R34" s="39">
        <f t="shared" si="26"/>
        <v>19389.995999999999</v>
      </c>
      <c r="S34" s="39">
        <f t="shared" si="27"/>
        <v>19389.995999999999</v>
      </c>
      <c r="T34" s="39">
        <f t="shared" si="28"/>
        <v>19389.995999999999</v>
      </c>
      <c r="U34" s="39">
        <f>SUM(I34:T34)</f>
        <v>232679.95199999993</v>
      </c>
    </row>
    <row r="35" spans="1:21" s="19" customFormat="1">
      <c r="A35" s="177"/>
      <c r="B35" s="20" t="s">
        <v>27</v>
      </c>
      <c r="C35" s="42"/>
      <c r="D35" s="20"/>
      <c r="E35" s="43"/>
      <c r="F35" s="44"/>
      <c r="G35" s="44"/>
      <c r="H35" s="51">
        <f>SUM(H22:H34)</f>
        <v>285.75578257533328</v>
      </c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>
        <f>SUM(U22:U34)</f>
        <v>281581.51257533324</v>
      </c>
    </row>
    <row r="36" spans="1:21">
      <c r="A36" s="176"/>
      <c r="B36" s="12" t="s">
        <v>54</v>
      </c>
      <c r="C36" s="31"/>
      <c r="D36" s="11"/>
      <c r="E36" s="36"/>
      <c r="F36" s="37"/>
      <c r="G36" s="37"/>
      <c r="H36" s="38" t="s">
        <v>53</v>
      </c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</row>
    <row r="37" spans="1:21" ht="12.75" customHeight="1">
      <c r="A37" s="176" t="s">
        <v>166</v>
      </c>
      <c r="B37" s="13" t="s">
        <v>55</v>
      </c>
      <c r="C37" s="31" t="s">
        <v>50</v>
      </c>
      <c r="D37" s="11"/>
      <c r="E37" s="36"/>
      <c r="F37" s="37">
        <v>20</v>
      </c>
      <c r="G37" s="37">
        <v>1527.22</v>
      </c>
      <c r="H37" s="38">
        <f t="shared" ref="H37:H49" si="29">SUM(F37*G37/1000)</f>
        <v>30.544400000000003</v>
      </c>
      <c r="I37" s="39">
        <f>F37/6*G37</f>
        <v>5090.7333333333336</v>
      </c>
      <c r="J37" s="39">
        <f>F37/6*G37</f>
        <v>5090.7333333333336</v>
      </c>
      <c r="K37" s="39">
        <f>F37/6*G37</f>
        <v>5090.7333333333336</v>
      </c>
      <c r="L37" s="39">
        <f>F37/6*G37</f>
        <v>5090.7333333333336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f>F37/6*G37</f>
        <v>5090.7333333333336</v>
      </c>
      <c r="T37" s="39">
        <f>F37/6*G37</f>
        <v>5090.7333333333336</v>
      </c>
      <c r="U37" s="39">
        <f>SUM(I37:T37)</f>
        <v>30544.400000000001</v>
      </c>
    </row>
    <row r="38" spans="1:21" hidden="1">
      <c r="A38" s="176" t="s">
        <v>56</v>
      </c>
      <c r="B38" s="11" t="s">
        <v>57</v>
      </c>
      <c r="C38" s="31" t="s">
        <v>40</v>
      </c>
      <c r="D38" s="11"/>
      <c r="E38" s="36"/>
      <c r="F38" s="37">
        <v>0</v>
      </c>
      <c r="G38" s="37">
        <v>69.239999999999995</v>
      </c>
      <c r="H38" s="38">
        <f t="shared" si="29"/>
        <v>0</v>
      </c>
      <c r="I38" s="39"/>
      <c r="J38" s="39"/>
      <c r="K38" s="39">
        <f t="shared" ref="K38:K39" si="30">F38/6*G38</f>
        <v>0</v>
      </c>
      <c r="L38" s="39">
        <f t="shared" ref="L38:L49" si="31">F38/6*G38</f>
        <v>0</v>
      </c>
      <c r="M38" s="39">
        <v>0</v>
      </c>
      <c r="N38" s="39">
        <v>0</v>
      </c>
      <c r="O38" s="39">
        <v>0</v>
      </c>
      <c r="P38" s="39">
        <v>0</v>
      </c>
      <c r="Q38" s="39">
        <v>0</v>
      </c>
      <c r="R38" s="39">
        <v>0</v>
      </c>
      <c r="S38" s="39">
        <f t="shared" ref="S38:S48" si="32">F38/6*G38</f>
        <v>0</v>
      </c>
      <c r="T38" s="39">
        <f t="shared" ref="T38:T48" si="33">F38/6*G38</f>
        <v>0</v>
      </c>
      <c r="U38" s="39"/>
    </row>
    <row r="39" spans="1:21" s="1" customFormat="1">
      <c r="A39" s="178" t="s">
        <v>248</v>
      </c>
      <c r="B39" s="13" t="s">
        <v>59</v>
      </c>
      <c r="C39" s="52" t="s">
        <v>60</v>
      </c>
      <c r="D39" s="13" t="s">
        <v>61</v>
      </c>
      <c r="E39" s="53">
        <v>632.4</v>
      </c>
      <c r="F39" s="53">
        <f>SUM(E39*50/1000)</f>
        <v>31.62</v>
      </c>
      <c r="G39" s="53">
        <v>2102.71</v>
      </c>
      <c r="H39" s="38">
        <f t="shared" si="29"/>
        <v>66.487690200000003</v>
      </c>
      <c r="I39" s="54">
        <f>F39/6*G39</f>
        <v>11081.281700000001</v>
      </c>
      <c r="J39" s="54">
        <f>F39/6*G39</f>
        <v>11081.281700000001</v>
      </c>
      <c r="K39" s="39">
        <f t="shared" si="30"/>
        <v>11081.281700000001</v>
      </c>
      <c r="L39" s="39">
        <f t="shared" si="31"/>
        <v>11081.281700000001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>
        <v>0</v>
      </c>
      <c r="S39" s="39">
        <f t="shared" si="32"/>
        <v>11081.281700000001</v>
      </c>
      <c r="T39" s="39">
        <f t="shared" si="33"/>
        <v>11081.281700000001</v>
      </c>
      <c r="U39" s="39">
        <f>SUM(I39:T39)</f>
        <v>66487.690200000012</v>
      </c>
    </row>
    <row r="40" spans="1:21" hidden="1">
      <c r="A40" s="176" t="s">
        <v>62</v>
      </c>
      <c r="B40" s="11" t="s">
        <v>63</v>
      </c>
      <c r="C40" s="31" t="s">
        <v>60</v>
      </c>
      <c r="D40" s="11" t="s">
        <v>64</v>
      </c>
      <c r="E40" s="36"/>
      <c r="F40" s="53">
        <f>SUM(E40*50/1000)</f>
        <v>0</v>
      </c>
      <c r="G40" s="37">
        <v>39.340000000000003</v>
      </c>
      <c r="H40" s="38">
        <f t="shared" si="29"/>
        <v>0</v>
      </c>
      <c r="I40" s="39"/>
      <c r="J40" s="39"/>
      <c r="K40" s="39">
        <v>0</v>
      </c>
      <c r="L40" s="39">
        <f t="shared" si="31"/>
        <v>0</v>
      </c>
      <c r="M40" s="39">
        <v>0</v>
      </c>
      <c r="N40" s="39">
        <v>0</v>
      </c>
      <c r="O40" s="39">
        <v>0</v>
      </c>
      <c r="P40" s="39">
        <v>0</v>
      </c>
      <c r="Q40" s="39">
        <v>0</v>
      </c>
      <c r="R40" s="39">
        <v>0</v>
      </c>
      <c r="S40" s="39">
        <f t="shared" si="32"/>
        <v>0</v>
      </c>
      <c r="T40" s="39">
        <f t="shared" si="33"/>
        <v>0</v>
      </c>
      <c r="U40" s="39"/>
    </row>
    <row r="41" spans="1:21">
      <c r="A41" s="176" t="s">
        <v>166</v>
      </c>
      <c r="B41" s="11" t="s">
        <v>159</v>
      </c>
      <c r="C41" s="31" t="s">
        <v>109</v>
      </c>
      <c r="D41" s="11" t="s">
        <v>49</v>
      </c>
      <c r="E41" s="36"/>
      <c r="F41" s="53">
        <v>30</v>
      </c>
      <c r="G41" s="37">
        <v>213.2</v>
      </c>
      <c r="H41" s="38">
        <f t="shared" si="29"/>
        <v>6.3959999999999999</v>
      </c>
      <c r="I41" s="39">
        <f>0</f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Q41" s="39">
        <v>0</v>
      </c>
      <c r="R41" s="39">
        <v>0</v>
      </c>
      <c r="S41" s="39">
        <v>0</v>
      </c>
      <c r="T41" s="39">
        <v>0</v>
      </c>
      <c r="U41" s="39">
        <f>SUM(I41:T41)</f>
        <v>0</v>
      </c>
    </row>
    <row r="42" spans="1:21" ht="25.5" customHeight="1">
      <c r="A42" s="176" t="s">
        <v>249</v>
      </c>
      <c r="B42" s="11" t="s">
        <v>216</v>
      </c>
      <c r="C42" s="31" t="s">
        <v>60</v>
      </c>
      <c r="D42" s="11" t="s">
        <v>65</v>
      </c>
      <c r="E42" s="37">
        <v>106</v>
      </c>
      <c r="F42" s="53">
        <f>SUM(E42*155/1000)</f>
        <v>16.43</v>
      </c>
      <c r="G42" s="37">
        <v>350.75</v>
      </c>
      <c r="H42" s="38">
        <f t="shared" si="29"/>
        <v>5.7628225000000004</v>
      </c>
      <c r="I42" s="39">
        <f>F42/6*G42</f>
        <v>960.47041666666667</v>
      </c>
      <c r="J42" s="39">
        <f>F42/6*G42</f>
        <v>960.47041666666667</v>
      </c>
      <c r="K42" s="39">
        <f>F42/6*G42</f>
        <v>960.47041666666667</v>
      </c>
      <c r="L42" s="39">
        <f t="shared" si="31"/>
        <v>960.47041666666667</v>
      </c>
      <c r="M42" s="39">
        <v>0</v>
      </c>
      <c r="N42" s="39">
        <v>0</v>
      </c>
      <c r="O42" s="39">
        <v>0</v>
      </c>
      <c r="P42" s="39">
        <v>0</v>
      </c>
      <c r="Q42" s="39">
        <v>0</v>
      </c>
      <c r="R42" s="39">
        <v>0</v>
      </c>
      <c r="S42" s="39">
        <f t="shared" si="32"/>
        <v>960.47041666666667</v>
      </c>
      <c r="T42" s="39">
        <f t="shared" si="33"/>
        <v>960.47041666666667</v>
      </c>
      <c r="U42" s="39">
        <f>SUM(I42:T42)</f>
        <v>5762.8225000000002</v>
      </c>
    </row>
    <row r="43" spans="1:21" hidden="1">
      <c r="A43" s="176"/>
      <c r="B43" s="11" t="s">
        <v>66</v>
      </c>
      <c r="C43" s="31" t="s">
        <v>50</v>
      </c>
      <c r="D43" s="11"/>
      <c r="E43" s="36"/>
      <c r="F43" s="53">
        <f>SUM(E43*155/1000)</f>
        <v>0</v>
      </c>
      <c r="G43" s="37">
        <v>707.87</v>
      </c>
      <c r="H43" s="38">
        <f t="shared" si="29"/>
        <v>0</v>
      </c>
      <c r="I43" s="39"/>
      <c r="J43" s="39"/>
      <c r="K43" s="39">
        <f t="shared" ref="K43:K49" si="34">F43/6*G43</f>
        <v>0</v>
      </c>
      <c r="L43" s="39">
        <f t="shared" si="31"/>
        <v>0</v>
      </c>
      <c r="M43" s="39">
        <v>0</v>
      </c>
      <c r="N43" s="39">
        <v>0</v>
      </c>
      <c r="O43" s="39">
        <v>0</v>
      </c>
      <c r="P43" s="39">
        <v>0</v>
      </c>
      <c r="Q43" s="39">
        <v>0</v>
      </c>
      <c r="R43" s="39">
        <v>0</v>
      </c>
      <c r="S43" s="39">
        <f t="shared" si="32"/>
        <v>0</v>
      </c>
      <c r="T43" s="39">
        <f t="shared" si="33"/>
        <v>0</v>
      </c>
      <c r="U43" s="39"/>
    </row>
    <row r="44" spans="1:21" hidden="1">
      <c r="A44" s="176"/>
      <c r="B44" s="11" t="s">
        <v>67</v>
      </c>
      <c r="C44" s="31" t="s">
        <v>50</v>
      </c>
      <c r="D44" s="11"/>
      <c r="E44" s="36"/>
      <c r="F44" s="53">
        <f>SUM(E44*155/1000)</f>
        <v>0</v>
      </c>
      <c r="G44" s="37">
        <v>460</v>
      </c>
      <c r="H44" s="38">
        <f t="shared" si="29"/>
        <v>0</v>
      </c>
      <c r="I44" s="39"/>
      <c r="J44" s="39"/>
      <c r="K44" s="39">
        <f t="shared" si="34"/>
        <v>0</v>
      </c>
      <c r="L44" s="39">
        <f t="shared" si="31"/>
        <v>0</v>
      </c>
      <c r="M44" s="39">
        <v>0</v>
      </c>
      <c r="N44" s="39">
        <v>0</v>
      </c>
      <c r="O44" s="39">
        <v>0</v>
      </c>
      <c r="P44" s="39">
        <v>0</v>
      </c>
      <c r="Q44" s="39">
        <v>0</v>
      </c>
      <c r="R44" s="39">
        <v>0</v>
      </c>
      <c r="S44" s="39">
        <f t="shared" si="32"/>
        <v>0</v>
      </c>
      <c r="T44" s="39">
        <f t="shared" si="33"/>
        <v>0</v>
      </c>
      <c r="U44" s="39"/>
    </row>
    <row r="45" spans="1:21" ht="38.25" hidden="1">
      <c r="A45" s="176" t="s">
        <v>68</v>
      </c>
      <c r="B45" s="11" t="s">
        <v>69</v>
      </c>
      <c r="C45" s="31" t="s">
        <v>30</v>
      </c>
      <c r="D45" s="11" t="s">
        <v>70</v>
      </c>
      <c r="E45" s="36">
        <v>0</v>
      </c>
      <c r="F45" s="53">
        <f>SUM(E45*155/1000)</f>
        <v>0</v>
      </c>
      <c r="G45" s="37">
        <v>5155.17</v>
      </c>
      <c r="H45" s="38">
        <f t="shared" si="29"/>
        <v>0</v>
      </c>
      <c r="I45" s="39"/>
      <c r="J45" s="39"/>
      <c r="K45" s="39">
        <f t="shared" si="34"/>
        <v>0</v>
      </c>
      <c r="L45" s="39">
        <f t="shared" si="31"/>
        <v>0</v>
      </c>
      <c r="M45" s="39">
        <v>0</v>
      </c>
      <c r="N45" s="39">
        <v>0</v>
      </c>
      <c r="O45" s="39">
        <v>0</v>
      </c>
      <c r="P45" s="39">
        <v>0</v>
      </c>
      <c r="Q45" s="39">
        <v>0</v>
      </c>
      <c r="R45" s="39">
        <v>0</v>
      </c>
      <c r="S45" s="39">
        <f t="shared" si="32"/>
        <v>0</v>
      </c>
      <c r="T45" s="39">
        <f t="shared" si="33"/>
        <v>0</v>
      </c>
      <c r="U45" s="39"/>
    </row>
    <row r="46" spans="1:21" ht="51" customHeight="1">
      <c r="A46" s="176" t="s">
        <v>250</v>
      </c>
      <c r="B46" s="11" t="s">
        <v>217</v>
      </c>
      <c r="C46" s="31" t="s">
        <v>30</v>
      </c>
      <c r="D46" s="11" t="s">
        <v>160</v>
      </c>
      <c r="E46" s="37">
        <v>106</v>
      </c>
      <c r="F46" s="53">
        <f>SUM(E46*70/1000)</f>
        <v>7.42</v>
      </c>
      <c r="G46" s="37">
        <v>5803.28</v>
      </c>
      <c r="H46" s="38">
        <f t="shared" si="29"/>
        <v>43.060337599999997</v>
      </c>
      <c r="I46" s="39">
        <f>F46/6*G46</f>
        <v>7176.7229333333325</v>
      </c>
      <c r="J46" s="39">
        <f>F46/6*G46</f>
        <v>7176.7229333333325</v>
      </c>
      <c r="K46" s="39">
        <f t="shared" si="34"/>
        <v>7176.7229333333325</v>
      </c>
      <c r="L46" s="39">
        <f t="shared" si="31"/>
        <v>7176.7229333333325</v>
      </c>
      <c r="M46" s="39">
        <v>0</v>
      </c>
      <c r="N46" s="39">
        <v>0</v>
      </c>
      <c r="O46" s="39">
        <v>0</v>
      </c>
      <c r="P46" s="39">
        <v>0</v>
      </c>
      <c r="Q46" s="39">
        <v>0</v>
      </c>
      <c r="R46" s="39">
        <v>0</v>
      </c>
      <c r="S46" s="39">
        <f t="shared" si="32"/>
        <v>7176.7229333333325</v>
      </c>
      <c r="T46" s="39">
        <f t="shared" si="33"/>
        <v>7176.7229333333325</v>
      </c>
      <c r="U46" s="39">
        <f>SUM(I46:T46)</f>
        <v>43060.337599999992</v>
      </c>
    </row>
    <row r="47" spans="1:21" ht="12.75" customHeight="1">
      <c r="A47" s="176" t="s">
        <v>251</v>
      </c>
      <c r="B47" s="11" t="s">
        <v>218</v>
      </c>
      <c r="C47" s="31" t="s">
        <v>30</v>
      </c>
      <c r="D47" s="11" t="s">
        <v>71</v>
      </c>
      <c r="E47" s="37">
        <v>106</v>
      </c>
      <c r="F47" s="53">
        <f>SUM(E47*45/1000)</f>
        <v>4.7699999999999996</v>
      </c>
      <c r="G47" s="37">
        <v>428.7</v>
      </c>
      <c r="H47" s="38">
        <f t="shared" si="29"/>
        <v>2.0448989999999996</v>
      </c>
      <c r="I47" s="39">
        <f>F47/6*G47</f>
        <v>340.81649999999996</v>
      </c>
      <c r="J47" s="39">
        <f>F47/6*G47</f>
        <v>340.81649999999996</v>
      </c>
      <c r="K47" s="39">
        <f t="shared" si="34"/>
        <v>340.81649999999996</v>
      </c>
      <c r="L47" s="39">
        <f t="shared" si="31"/>
        <v>340.81649999999996</v>
      </c>
      <c r="M47" s="39">
        <v>0</v>
      </c>
      <c r="N47" s="39">
        <v>0</v>
      </c>
      <c r="O47" s="39">
        <v>0</v>
      </c>
      <c r="P47" s="39">
        <v>0</v>
      </c>
      <c r="Q47" s="39">
        <v>0</v>
      </c>
      <c r="R47" s="39">
        <v>0</v>
      </c>
      <c r="S47" s="39">
        <f t="shared" si="32"/>
        <v>340.81649999999996</v>
      </c>
      <c r="T47" s="39">
        <f t="shared" si="33"/>
        <v>340.81649999999996</v>
      </c>
      <c r="U47" s="39">
        <f>SUM(I47:T47)</f>
        <v>2044.8989999999997</v>
      </c>
    </row>
    <row r="48" spans="1:21" s="2" customFormat="1">
      <c r="A48" s="178"/>
      <c r="B48" s="13" t="s">
        <v>219</v>
      </c>
      <c r="C48" s="52" t="s">
        <v>40</v>
      </c>
      <c r="D48" s="13"/>
      <c r="E48" s="49"/>
      <c r="F48" s="53">
        <v>0.9</v>
      </c>
      <c r="G48" s="53">
        <v>798</v>
      </c>
      <c r="H48" s="38">
        <f t="shared" si="29"/>
        <v>0.71820000000000006</v>
      </c>
      <c r="I48" s="54">
        <f>F48/6*G48</f>
        <v>119.69999999999999</v>
      </c>
      <c r="J48" s="54">
        <f>F48/6*G48</f>
        <v>119.69999999999999</v>
      </c>
      <c r="K48" s="39">
        <f t="shared" si="34"/>
        <v>119.69999999999999</v>
      </c>
      <c r="L48" s="39">
        <f t="shared" si="31"/>
        <v>119.69999999999999</v>
      </c>
      <c r="M48" s="39">
        <v>0</v>
      </c>
      <c r="N48" s="39">
        <v>0</v>
      </c>
      <c r="O48" s="39">
        <v>0</v>
      </c>
      <c r="P48" s="39">
        <v>0</v>
      </c>
      <c r="Q48" s="39">
        <v>0</v>
      </c>
      <c r="R48" s="39">
        <v>0</v>
      </c>
      <c r="S48" s="39">
        <f t="shared" si="32"/>
        <v>119.69999999999999</v>
      </c>
      <c r="T48" s="39">
        <f t="shared" si="33"/>
        <v>119.69999999999999</v>
      </c>
      <c r="U48" s="39">
        <f>SUM(I48:T48)</f>
        <v>718.2</v>
      </c>
    </row>
    <row r="49" spans="1:21" hidden="1">
      <c r="A49" s="176" t="s">
        <v>58</v>
      </c>
      <c r="B49" s="11" t="s">
        <v>72</v>
      </c>
      <c r="C49" s="31" t="s">
        <v>30</v>
      </c>
      <c r="D49" s="11"/>
      <c r="E49" s="36"/>
      <c r="F49" s="37"/>
      <c r="G49" s="37">
        <v>1481.29</v>
      </c>
      <c r="H49" s="38">
        <f t="shared" si="29"/>
        <v>0</v>
      </c>
      <c r="I49" s="39"/>
      <c r="J49" s="39"/>
      <c r="K49" s="39">
        <f t="shared" si="34"/>
        <v>0</v>
      </c>
      <c r="L49" s="39">
        <f t="shared" si="31"/>
        <v>0</v>
      </c>
      <c r="M49" s="39"/>
      <c r="N49" s="39"/>
      <c r="O49" s="39"/>
      <c r="P49" s="39"/>
      <c r="Q49" s="39"/>
      <c r="R49" s="39"/>
      <c r="S49" s="39"/>
      <c r="T49" s="39"/>
      <c r="U49" s="39"/>
    </row>
    <row r="50" spans="1:21" s="19" customFormat="1">
      <c r="A50" s="177"/>
      <c r="B50" s="20" t="s">
        <v>27</v>
      </c>
      <c r="C50" s="42"/>
      <c r="D50" s="20"/>
      <c r="E50" s="43"/>
      <c r="F50" s="44" t="s">
        <v>53</v>
      </c>
      <c r="G50" s="44"/>
      <c r="H50" s="51">
        <f>SUM(H37:H49)</f>
        <v>155.01434929999996</v>
      </c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>
        <f>SUM(U37:U48)</f>
        <v>148618.3493</v>
      </c>
    </row>
    <row r="51" spans="1:21">
      <c r="A51" s="176"/>
      <c r="B51" s="14" t="s">
        <v>73</v>
      </c>
      <c r="C51" s="31"/>
      <c r="D51" s="11"/>
      <c r="E51" s="36"/>
      <c r="F51" s="37"/>
      <c r="G51" s="37"/>
      <c r="H51" s="38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</row>
    <row r="52" spans="1:21">
      <c r="A52" s="176" t="s">
        <v>252</v>
      </c>
      <c r="B52" s="11" t="s">
        <v>161</v>
      </c>
      <c r="C52" s="31" t="s">
        <v>30</v>
      </c>
      <c r="D52" s="11" t="s">
        <v>74</v>
      </c>
      <c r="E52" s="36">
        <v>1150.5999999999999</v>
      </c>
      <c r="F52" s="37">
        <f>SUM(E52*2/1000)</f>
        <v>2.3011999999999997</v>
      </c>
      <c r="G52" s="55">
        <v>849.49</v>
      </c>
      <c r="H52" s="38">
        <f t="shared" ref="H52:H61" si="35">SUM(F52*G52/1000)</f>
        <v>1.9548463879999998</v>
      </c>
      <c r="I52" s="39">
        <v>0</v>
      </c>
      <c r="J52" s="39">
        <v>0</v>
      </c>
      <c r="K52" s="39">
        <v>0</v>
      </c>
      <c r="L52" s="39">
        <v>0</v>
      </c>
      <c r="M52" s="39">
        <f>F52/2*G52</f>
        <v>977.42319399999985</v>
      </c>
      <c r="N52" s="39">
        <v>0</v>
      </c>
      <c r="O52" s="39">
        <v>0</v>
      </c>
      <c r="P52" s="39">
        <v>0</v>
      </c>
      <c r="Q52" s="39">
        <f>F52/2*G52</f>
        <v>977.42319399999985</v>
      </c>
      <c r="R52" s="39">
        <v>0</v>
      </c>
      <c r="S52" s="39">
        <v>0</v>
      </c>
      <c r="T52" s="39">
        <v>0</v>
      </c>
      <c r="U52" s="39">
        <f t="shared" ref="U52:U59" si="36">SUM(I52:T52)</f>
        <v>1954.8463879999997</v>
      </c>
    </row>
    <row r="53" spans="1:21">
      <c r="A53" s="176" t="s">
        <v>253</v>
      </c>
      <c r="B53" s="11" t="s">
        <v>75</v>
      </c>
      <c r="C53" s="31" t="s">
        <v>30</v>
      </c>
      <c r="D53" s="11" t="s">
        <v>74</v>
      </c>
      <c r="E53" s="36">
        <v>108.96</v>
      </c>
      <c r="F53" s="37">
        <f>SUM(E53*2/1000)</f>
        <v>0.21791999999999997</v>
      </c>
      <c r="G53" s="55">
        <v>579.48</v>
      </c>
      <c r="H53" s="38">
        <f t="shared" si="35"/>
        <v>0.12628028159999999</v>
      </c>
      <c r="I53" s="39">
        <v>0</v>
      </c>
      <c r="J53" s="39">
        <v>0</v>
      </c>
      <c r="K53" s="39">
        <v>0</v>
      </c>
      <c r="L53" s="39">
        <v>0</v>
      </c>
      <c r="M53" s="39">
        <f t="shared" ref="M53:M55" si="37">F53/2*G53</f>
        <v>63.140140799999998</v>
      </c>
      <c r="N53" s="39">
        <v>0</v>
      </c>
      <c r="O53" s="39">
        <v>0</v>
      </c>
      <c r="P53" s="39">
        <v>0</v>
      </c>
      <c r="Q53" s="39">
        <f t="shared" ref="Q53:Q55" si="38">F53/2*G53</f>
        <v>63.140140799999998</v>
      </c>
      <c r="R53" s="39">
        <v>0</v>
      </c>
      <c r="S53" s="39">
        <v>0</v>
      </c>
      <c r="T53" s="39">
        <v>0</v>
      </c>
      <c r="U53" s="39">
        <f t="shared" si="36"/>
        <v>126.2802816</v>
      </c>
    </row>
    <row r="54" spans="1:21" ht="12.75" customHeight="1">
      <c r="A54" s="176" t="s">
        <v>254</v>
      </c>
      <c r="B54" s="11" t="s">
        <v>76</v>
      </c>
      <c r="C54" s="31" t="s">
        <v>30</v>
      </c>
      <c r="D54" s="11" t="s">
        <v>74</v>
      </c>
      <c r="E54" s="36">
        <v>4224.3999999999996</v>
      </c>
      <c r="F54" s="37">
        <f>SUM(E54*2/1000)</f>
        <v>8.4487999999999985</v>
      </c>
      <c r="G54" s="55">
        <v>579.48</v>
      </c>
      <c r="H54" s="38">
        <f t="shared" si="35"/>
        <v>4.895910623999999</v>
      </c>
      <c r="I54" s="39">
        <v>0</v>
      </c>
      <c r="J54" s="39">
        <v>0</v>
      </c>
      <c r="K54" s="39">
        <v>0</v>
      </c>
      <c r="L54" s="39">
        <v>0</v>
      </c>
      <c r="M54" s="39">
        <f t="shared" si="37"/>
        <v>2447.9553119999996</v>
      </c>
      <c r="N54" s="39">
        <v>0</v>
      </c>
      <c r="O54" s="39">
        <v>0</v>
      </c>
      <c r="P54" s="39">
        <v>0</v>
      </c>
      <c r="Q54" s="39">
        <f t="shared" si="38"/>
        <v>2447.9553119999996</v>
      </c>
      <c r="R54" s="39">
        <v>0</v>
      </c>
      <c r="S54" s="39">
        <v>0</v>
      </c>
      <c r="T54" s="39">
        <v>0</v>
      </c>
      <c r="U54" s="39">
        <f t="shared" si="36"/>
        <v>4895.9106239999992</v>
      </c>
    </row>
    <row r="55" spans="1:21">
      <c r="A55" s="176" t="s">
        <v>255</v>
      </c>
      <c r="B55" s="11" t="s">
        <v>77</v>
      </c>
      <c r="C55" s="31" t="s">
        <v>30</v>
      </c>
      <c r="D55" s="11" t="s">
        <v>74</v>
      </c>
      <c r="E55" s="36">
        <v>3059.7</v>
      </c>
      <c r="F55" s="37">
        <f>SUM(E55*2/1000)</f>
        <v>6.1193999999999997</v>
      </c>
      <c r="G55" s="55">
        <v>606.77</v>
      </c>
      <c r="H55" s="38">
        <f t="shared" si="35"/>
        <v>3.7130683379999998</v>
      </c>
      <c r="I55" s="39">
        <v>0</v>
      </c>
      <c r="J55" s="39">
        <v>0</v>
      </c>
      <c r="K55" s="39">
        <v>0</v>
      </c>
      <c r="L55" s="39">
        <v>0</v>
      </c>
      <c r="M55" s="39">
        <f t="shared" si="37"/>
        <v>1856.5341689999998</v>
      </c>
      <c r="N55" s="39">
        <v>0</v>
      </c>
      <c r="O55" s="39">
        <v>0</v>
      </c>
      <c r="P55" s="39">
        <v>0</v>
      </c>
      <c r="Q55" s="39">
        <f t="shared" si="38"/>
        <v>1856.5341689999998</v>
      </c>
      <c r="R55" s="39">
        <v>0</v>
      </c>
      <c r="S55" s="39">
        <v>0</v>
      </c>
      <c r="T55" s="39">
        <v>0</v>
      </c>
      <c r="U55" s="39">
        <f t="shared" si="36"/>
        <v>3713.0683379999996</v>
      </c>
    </row>
    <row r="56" spans="1:21" ht="25.5">
      <c r="A56" s="176" t="s">
        <v>256</v>
      </c>
      <c r="B56" s="11" t="s">
        <v>78</v>
      </c>
      <c r="C56" s="31" t="s">
        <v>30</v>
      </c>
      <c r="D56" s="11" t="s">
        <v>79</v>
      </c>
      <c r="E56" s="36">
        <v>1150.5999999999999</v>
      </c>
      <c r="F56" s="37">
        <f>SUM(E56*5/1000)</f>
        <v>5.7530000000000001</v>
      </c>
      <c r="G56" s="55">
        <v>1213.55</v>
      </c>
      <c r="H56" s="38">
        <f t="shared" si="35"/>
        <v>6.9815531499999999</v>
      </c>
      <c r="I56" s="39">
        <f>F56/5*G56</f>
        <v>1396.3106299999999</v>
      </c>
      <c r="J56" s="39">
        <f>F56/5*G56</f>
        <v>1396.3106299999999</v>
      </c>
      <c r="K56" s="39">
        <v>0</v>
      </c>
      <c r="L56" s="39">
        <v>0</v>
      </c>
      <c r="M56" s="39">
        <f>F56/5*G56</f>
        <v>1396.3106299999999</v>
      </c>
      <c r="N56" s="39">
        <v>0</v>
      </c>
      <c r="O56" s="39">
        <v>0</v>
      </c>
      <c r="P56" s="39">
        <v>0</v>
      </c>
      <c r="Q56" s="39">
        <f>F56/5*G56</f>
        <v>1396.3106299999999</v>
      </c>
      <c r="R56" s="39">
        <v>0</v>
      </c>
      <c r="S56" s="39">
        <v>0</v>
      </c>
      <c r="T56" s="39">
        <f>F56/5*G56</f>
        <v>1396.3106299999999</v>
      </c>
      <c r="U56" s="39">
        <f t="shared" si="36"/>
        <v>6981.5531499999997</v>
      </c>
    </row>
    <row r="57" spans="1:21" ht="38.25" customHeight="1">
      <c r="A57" s="176" t="s">
        <v>257</v>
      </c>
      <c r="B57" s="11" t="s">
        <v>80</v>
      </c>
      <c r="C57" s="31" t="s">
        <v>30</v>
      </c>
      <c r="D57" s="11" t="s">
        <v>74</v>
      </c>
      <c r="E57" s="36">
        <v>1150.5999999999999</v>
      </c>
      <c r="F57" s="37">
        <f>SUM(E57*2/1000)</f>
        <v>2.3011999999999997</v>
      </c>
      <c r="G57" s="55">
        <v>1213.55</v>
      </c>
      <c r="H57" s="38">
        <f t="shared" si="35"/>
        <v>2.7926212599999993</v>
      </c>
      <c r="I57" s="39">
        <v>0</v>
      </c>
      <c r="J57" s="39">
        <v>0</v>
      </c>
      <c r="K57" s="39">
        <v>0</v>
      </c>
      <c r="L57" s="39">
        <f>F57/2*G57</f>
        <v>1396.3106299999997</v>
      </c>
      <c r="M57" s="39">
        <v>0</v>
      </c>
      <c r="N57" s="39">
        <v>0</v>
      </c>
      <c r="O57" s="39">
        <v>0</v>
      </c>
      <c r="P57" s="39">
        <v>0</v>
      </c>
      <c r="Q57" s="39">
        <v>0</v>
      </c>
      <c r="R57" s="39">
        <f>F57/2*G57</f>
        <v>1396.3106299999997</v>
      </c>
      <c r="S57" s="39">
        <v>0</v>
      </c>
      <c r="T57" s="39">
        <v>0</v>
      </c>
      <c r="U57" s="39">
        <f t="shared" si="36"/>
        <v>2792.6212599999994</v>
      </c>
    </row>
    <row r="58" spans="1:21" ht="25.5" customHeight="1">
      <c r="A58" s="176" t="s">
        <v>258</v>
      </c>
      <c r="B58" s="11" t="s">
        <v>81</v>
      </c>
      <c r="C58" s="31" t="s">
        <v>82</v>
      </c>
      <c r="D58" s="11" t="s">
        <v>74</v>
      </c>
      <c r="E58" s="36">
        <v>30</v>
      </c>
      <c r="F58" s="37">
        <f>SUM(E58*2/100)</f>
        <v>0.6</v>
      </c>
      <c r="G58" s="55">
        <v>2730.49</v>
      </c>
      <c r="H58" s="38">
        <f t="shared" si="35"/>
        <v>1.6382939999999999</v>
      </c>
      <c r="I58" s="39">
        <v>0</v>
      </c>
      <c r="J58" s="39">
        <v>0</v>
      </c>
      <c r="K58" s="39">
        <v>0</v>
      </c>
      <c r="L58" s="39">
        <f>F58/2*G58</f>
        <v>819.14699999999993</v>
      </c>
      <c r="M58" s="39">
        <v>0</v>
      </c>
      <c r="N58" s="39">
        <v>0</v>
      </c>
      <c r="O58" s="39">
        <v>0</v>
      </c>
      <c r="P58" s="39">
        <v>0</v>
      </c>
      <c r="Q58" s="39">
        <v>0</v>
      </c>
      <c r="R58" s="39">
        <f t="shared" ref="R58:R59" si="39">F58/2*G58</f>
        <v>819.14699999999993</v>
      </c>
      <c r="S58" s="39">
        <v>0</v>
      </c>
      <c r="T58" s="39">
        <v>0</v>
      </c>
      <c r="U58" s="39">
        <f t="shared" si="36"/>
        <v>1638.2939999999999</v>
      </c>
    </row>
    <row r="59" spans="1:21">
      <c r="A59" s="176" t="s">
        <v>259</v>
      </c>
      <c r="B59" s="11" t="s">
        <v>83</v>
      </c>
      <c r="C59" s="31" t="s">
        <v>84</v>
      </c>
      <c r="D59" s="11" t="s">
        <v>74</v>
      </c>
      <c r="E59" s="36">
        <v>1</v>
      </c>
      <c r="F59" s="37">
        <v>0.02</v>
      </c>
      <c r="G59" s="55">
        <v>5652.13</v>
      </c>
      <c r="H59" s="38">
        <f t="shared" si="35"/>
        <v>0.11304260000000001</v>
      </c>
      <c r="I59" s="39">
        <v>0</v>
      </c>
      <c r="J59" s="39">
        <v>0</v>
      </c>
      <c r="K59" s="39">
        <v>0</v>
      </c>
      <c r="L59" s="39">
        <f>F59/2*G59</f>
        <v>56.521300000000004</v>
      </c>
      <c r="M59" s="39">
        <v>0</v>
      </c>
      <c r="N59" s="39">
        <v>0</v>
      </c>
      <c r="O59" s="39">
        <v>0</v>
      </c>
      <c r="P59" s="39">
        <v>0</v>
      </c>
      <c r="Q59" s="39">
        <v>0</v>
      </c>
      <c r="R59" s="39">
        <f t="shared" si="39"/>
        <v>56.521300000000004</v>
      </c>
      <c r="S59" s="39">
        <v>0</v>
      </c>
      <c r="T59" s="39">
        <v>0</v>
      </c>
      <c r="U59" s="39">
        <f t="shared" si="36"/>
        <v>113.04260000000001</v>
      </c>
    </row>
    <row r="60" spans="1:21" ht="13.5" customHeight="1">
      <c r="A60" s="176" t="s">
        <v>86</v>
      </c>
      <c r="B60" s="11" t="s">
        <v>87</v>
      </c>
      <c r="C60" s="31" t="s">
        <v>85</v>
      </c>
      <c r="D60" s="11" t="s">
        <v>154</v>
      </c>
      <c r="E60" s="36">
        <v>158</v>
      </c>
      <c r="F60" s="37">
        <f>SUM(E60)*3</f>
        <v>474</v>
      </c>
      <c r="G60" s="56">
        <v>65.67</v>
      </c>
      <c r="H60" s="38">
        <f t="shared" si="35"/>
        <v>31.127580000000002</v>
      </c>
      <c r="I60" s="39">
        <f>E60*G60</f>
        <v>10375.86</v>
      </c>
      <c r="J60" s="39">
        <v>0</v>
      </c>
      <c r="K60" s="39">
        <v>0</v>
      </c>
      <c r="L60" s="39">
        <f>E60*G60</f>
        <v>10375.86</v>
      </c>
      <c r="M60" s="39">
        <v>0</v>
      </c>
      <c r="N60" s="39">
        <v>0</v>
      </c>
      <c r="O60" s="39">
        <v>0</v>
      </c>
      <c r="P60" s="39">
        <f>E60*G60</f>
        <v>10375.86</v>
      </c>
      <c r="Q60" s="39">
        <v>0</v>
      </c>
      <c r="R60" s="39">
        <v>0</v>
      </c>
      <c r="S60" s="39">
        <v>0</v>
      </c>
      <c r="T60" s="39">
        <v>0</v>
      </c>
      <c r="U60" s="39">
        <f>SUM(I60:T61)</f>
        <v>31127.58</v>
      </c>
    </row>
    <row r="61" spans="1:21" s="2" customFormat="1" hidden="1">
      <c r="A61" s="178"/>
      <c r="B61" s="13" t="s">
        <v>88</v>
      </c>
      <c r="C61" s="52"/>
      <c r="D61" s="11" t="s">
        <v>89</v>
      </c>
      <c r="E61" s="49"/>
      <c r="F61" s="53"/>
      <c r="G61" s="53">
        <v>5750</v>
      </c>
      <c r="H61" s="57">
        <f t="shared" si="35"/>
        <v>0</v>
      </c>
      <c r="I61" s="54"/>
      <c r="J61" s="54"/>
      <c r="K61" s="39">
        <v>0</v>
      </c>
      <c r="L61" s="39">
        <v>0</v>
      </c>
      <c r="M61" s="39">
        <v>0</v>
      </c>
      <c r="N61" s="39">
        <v>0</v>
      </c>
      <c r="O61" s="39">
        <v>0</v>
      </c>
      <c r="P61" s="39">
        <v>0</v>
      </c>
      <c r="Q61" s="39">
        <v>0</v>
      </c>
      <c r="R61" s="39">
        <v>0</v>
      </c>
      <c r="S61" s="39">
        <v>0</v>
      </c>
      <c r="T61" s="39">
        <v>0</v>
      </c>
      <c r="U61" s="54"/>
    </row>
    <row r="62" spans="1:21" s="21" customFormat="1">
      <c r="A62" s="179"/>
      <c r="B62" s="20" t="s">
        <v>27</v>
      </c>
      <c r="C62" s="58"/>
      <c r="D62" s="20"/>
      <c r="E62" s="59"/>
      <c r="F62" s="60"/>
      <c r="G62" s="60"/>
      <c r="H62" s="51">
        <f>SUM(H52:H60)</f>
        <v>53.343196641600002</v>
      </c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>
        <f>SUM(U52:U60)</f>
        <v>53343.1966416</v>
      </c>
    </row>
    <row r="63" spans="1:21">
      <c r="A63" s="176"/>
      <c r="B63" s="12" t="s">
        <v>90</v>
      </c>
      <c r="C63" s="31"/>
      <c r="D63" s="11"/>
      <c r="E63" s="36"/>
      <c r="F63" s="37"/>
      <c r="G63" s="37"/>
      <c r="H63" s="38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</row>
    <row r="64" spans="1:21" hidden="1">
      <c r="A64" s="176" t="s">
        <v>91</v>
      </c>
      <c r="B64" s="11" t="s">
        <v>92</v>
      </c>
      <c r="C64" s="31" t="s">
        <v>13</v>
      </c>
      <c r="D64" s="11" t="s">
        <v>74</v>
      </c>
      <c r="E64" s="36">
        <v>946</v>
      </c>
      <c r="F64" s="37">
        <f>SUM(E64*2/100)</f>
        <v>18.920000000000002</v>
      </c>
      <c r="G64" s="55">
        <v>0</v>
      </c>
      <c r="H64" s="38">
        <f>SUM(F64*G64/1000)</f>
        <v>0</v>
      </c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</row>
    <row r="65" spans="1:21" ht="24.75" hidden="1" customHeight="1">
      <c r="A65" s="176" t="s">
        <v>93</v>
      </c>
      <c r="B65" s="11" t="s">
        <v>94</v>
      </c>
      <c r="C65" s="31" t="s">
        <v>13</v>
      </c>
      <c r="D65" s="11" t="s">
        <v>49</v>
      </c>
      <c r="E65" s="36"/>
      <c r="F65" s="37"/>
      <c r="G65" s="37">
        <v>1090.82</v>
      </c>
      <c r="H65" s="38">
        <f>SUM(F65*G65/1000)</f>
        <v>0</v>
      </c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</row>
    <row r="66" spans="1:21" ht="38.25">
      <c r="A66" s="176" t="s">
        <v>260</v>
      </c>
      <c r="B66" s="11" t="s">
        <v>95</v>
      </c>
      <c r="C66" s="31" t="s">
        <v>13</v>
      </c>
      <c r="D66" s="11" t="s">
        <v>201</v>
      </c>
      <c r="E66" s="62">
        <v>6</v>
      </c>
      <c r="F66" s="55">
        <f>E66*8/100</f>
        <v>0.48</v>
      </c>
      <c r="G66" s="53">
        <v>1547.28</v>
      </c>
      <c r="H66" s="38">
        <f>SUM(F66*G66/1000)</f>
        <v>0.74269439999999998</v>
      </c>
      <c r="I66" s="39">
        <f>F66/6*G66</f>
        <v>123.7824</v>
      </c>
      <c r="J66" s="39">
        <f>F66/6*G66</f>
        <v>123.7824</v>
      </c>
      <c r="K66" s="39">
        <f>F66/6*G66</f>
        <v>123.7824</v>
      </c>
      <c r="L66" s="39">
        <f>F66/6*G66</f>
        <v>123.7824</v>
      </c>
      <c r="M66" s="39">
        <v>0</v>
      </c>
      <c r="N66" s="39">
        <v>0</v>
      </c>
      <c r="O66" s="39">
        <v>0</v>
      </c>
      <c r="P66" s="39">
        <v>0</v>
      </c>
      <c r="Q66" s="39">
        <v>0</v>
      </c>
      <c r="R66" s="39">
        <v>0</v>
      </c>
      <c r="S66" s="39">
        <f>F66/6*G66</f>
        <v>123.7824</v>
      </c>
      <c r="T66" s="39">
        <f>F66/6*G66</f>
        <v>123.7824</v>
      </c>
      <c r="U66" s="39">
        <f>SUM(I66:T66)</f>
        <v>742.69440000000009</v>
      </c>
    </row>
    <row r="67" spans="1:21" hidden="1">
      <c r="A67" s="176"/>
      <c r="B67" s="12" t="s">
        <v>96</v>
      </c>
      <c r="C67" s="31"/>
      <c r="D67" s="11"/>
      <c r="E67" s="36"/>
      <c r="F67" s="37"/>
      <c r="G67" s="37"/>
      <c r="H67" s="38">
        <f t="shared" ref="H67:H71" si="40">SUM(F67*G67/1000)</f>
        <v>0</v>
      </c>
      <c r="I67" s="39"/>
      <c r="J67" s="39"/>
      <c r="K67" s="39">
        <v>0</v>
      </c>
      <c r="L67" s="39">
        <v>0</v>
      </c>
      <c r="M67" s="39">
        <v>0</v>
      </c>
      <c r="N67" s="39">
        <v>0</v>
      </c>
      <c r="O67" s="39">
        <v>0</v>
      </c>
      <c r="P67" s="39">
        <v>0</v>
      </c>
      <c r="Q67" s="39">
        <v>0</v>
      </c>
      <c r="R67" s="39">
        <v>0</v>
      </c>
      <c r="S67" s="39">
        <v>0</v>
      </c>
      <c r="T67" s="39">
        <v>0</v>
      </c>
      <c r="U67" s="39"/>
    </row>
    <row r="68" spans="1:21" hidden="1">
      <c r="A68" s="176" t="s">
        <v>97</v>
      </c>
      <c r="B68" s="11" t="s">
        <v>98</v>
      </c>
      <c r="C68" s="31" t="s">
        <v>13</v>
      </c>
      <c r="D68" s="11" t="s">
        <v>35</v>
      </c>
      <c r="E68" s="36">
        <v>938</v>
      </c>
      <c r="F68" s="37">
        <f>SUM(E68/100)</f>
        <v>9.3800000000000008</v>
      </c>
      <c r="G68" s="55">
        <v>0</v>
      </c>
      <c r="H68" s="38">
        <f t="shared" si="40"/>
        <v>0</v>
      </c>
      <c r="I68" s="39"/>
      <c r="J68" s="39"/>
      <c r="K68" s="39">
        <v>0</v>
      </c>
      <c r="L68" s="39">
        <v>0</v>
      </c>
      <c r="M68" s="39">
        <v>0</v>
      </c>
      <c r="N68" s="39">
        <v>0</v>
      </c>
      <c r="O68" s="39">
        <v>0</v>
      </c>
      <c r="P68" s="39">
        <v>0</v>
      </c>
      <c r="Q68" s="39">
        <v>0</v>
      </c>
      <c r="R68" s="39">
        <v>0</v>
      </c>
      <c r="S68" s="39">
        <v>0</v>
      </c>
      <c r="T68" s="39">
        <v>0</v>
      </c>
      <c r="U68" s="39"/>
    </row>
    <row r="69" spans="1:21" hidden="1">
      <c r="A69" s="176"/>
      <c r="B69" s="11" t="s">
        <v>99</v>
      </c>
      <c r="C69" s="31" t="s">
        <v>100</v>
      </c>
      <c r="D69" s="11" t="s">
        <v>101</v>
      </c>
      <c r="E69" s="49"/>
      <c r="F69" s="37"/>
      <c r="G69" s="55">
        <v>0</v>
      </c>
      <c r="H69" s="38">
        <f t="shared" si="40"/>
        <v>0</v>
      </c>
      <c r="I69" s="39"/>
      <c r="J69" s="39"/>
      <c r="K69" s="39">
        <v>0</v>
      </c>
      <c r="L69" s="39">
        <v>0</v>
      </c>
      <c r="M69" s="39">
        <v>0</v>
      </c>
      <c r="N69" s="39">
        <v>0</v>
      </c>
      <c r="O69" s="39">
        <v>0</v>
      </c>
      <c r="P69" s="39">
        <v>0</v>
      </c>
      <c r="Q69" s="39">
        <v>0</v>
      </c>
      <c r="R69" s="39">
        <v>0</v>
      </c>
      <c r="S69" s="39">
        <v>0</v>
      </c>
      <c r="T69" s="39">
        <v>0</v>
      </c>
      <c r="U69" s="39"/>
    </row>
    <row r="70" spans="1:21" hidden="1">
      <c r="A70" s="176" t="s">
        <v>102</v>
      </c>
      <c r="B70" s="11" t="s">
        <v>103</v>
      </c>
      <c r="C70" s="31" t="s">
        <v>20</v>
      </c>
      <c r="D70" s="11" t="s">
        <v>35</v>
      </c>
      <c r="E70" s="36"/>
      <c r="F70" s="37"/>
      <c r="G70" s="63">
        <v>1863.87</v>
      </c>
      <c r="H70" s="38">
        <f t="shared" si="40"/>
        <v>0</v>
      </c>
      <c r="I70" s="39"/>
      <c r="J70" s="39"/>
      <c r="K70" s="39">
        <v>0</v>
      </c>
      <c r="L70" s="39">
        <v>0</v>
      </c>
      <c r="M70" s="39">
        <v>0</v>
      </c>
      <c r="N70" s="39">
        <v>0</v>
      </c>
      <c r="O70" s="39">
        <v>0</v>
      </c>
      <c r="P70" s="39">
        <v>0</v>
      </c>
      <c r="Q70" s="39">
        <v>0</v>
      </c>
      <c r="R70" s="39">
        <v>0</v>
      </c>
      <c r="S70" s="39">
        <v>0</v>
      </c>
      <c r="T70" s="39">
        <v>0</v>
      </c>
      <c r="U70" s="39"/>
    </row>
    <row r="71" spans="1:21">
      <c r="A71" s="176" t="s">
        <v>261</v>
      </c>
      <c r="B71" s="11" t="s">
        <v>162</v>
      </c>
      <c r="C71" s="31" t="s">
        <v>163</v>
      </c>
      <c r="D71" s="11" t="s">
        <v>74</v>
      </c>
      <c r="E71" s="36">
        <v>6</v>
      </c>
      <c r="F71" s="37">
        <v>12</v>
      </c>
      <c r="G71" s="64">
        <v>180.78</v>
      </c>
      <c r="H71" s="38">
        <f t="shared" si="40"/>
        <v>2.1693600000000002</v>
      </c>
      <c r="I71" s="39">
        <f>F71/6*G71</f>
        <v>361.56</v>
      </c>
      <c r="J71" s="39">
        <v>0</v>
      </c>
      <c r="K71" s="39">
        <v>0</v>
      </c>
      <c r="L71" s="39">
        <v>0</v>
      </c>
      <c r="M71" s="39">
        <v>0</v>
      </c>
      <c r="N71" s="39">
        <v>0</v>
      </c>
      <c r="O71" s="39">
        <v>0</v>
      </c>
      <c r="P71" s="39">
        <v>0</v>
      </c>
      <c r="Q71" s="39">
        <v>0</v>
      </c>
      <c r="R71" s="39">
        <v>0</v>
      </c>
      <c r="S71" s="39">
        <v>0</v>
      </c>
      <c r="T71" s="39">
        <v>0</v>
      </c>
      <c r="U71" s="39">
        <f>SUM(I71:T71)</f>
        <v>361.56</v>
      </c>
    </row>
    <row r="72" spans="1:21" ht="12.75" hidden="1" customHeight="1">
      <c r="A72" s="176" t="s">
        <v>104</v>
      </c>
      <c r="B72" s="11" t="s">
        <v>105</v>
      </c>
      <c r="C72" s="31" t="s">
        <v>106</v>
      </c>
      <c r="D72" s="11" t="s">
        <v>35</v>
      </c>
      <c r="E72" s="36"/>
      <c r="F72" s="37"/>
      <c r="G72" s="63">
        <v>10305.030000000001</v>
      </c>
      <c r="H72" s="38">
        <f t="shared" ref="H72:H93" si="41">SUM(F72*G72/1000)</f>
        <v>0</v>
      </c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</row>
    <row r="73" spans="1:21" ht="12.75" hidden="1" customHeight="1">
      <c r="A73" s="176" t="s">
        <v>107</v>
      </c>
      <c r="B73" s="11" t="s">
        <v>108</v>
      </c>
      <c r="C73" s="31" t="s">
        <v>109</v>
      </c>
      <c r="D73" s="11" t="s">
        <v>35</v>
      </c>
      <c r="E73" s="36"/>
      <c r="F73" s="37"/>
      <c r="G73" s="63">
        <v>1854.76</v>
      </c>
      <c r="H73" s="38">
        <f t="shared" si="41"/>
        <v>0</v>
      </c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</row>
    <row r="74" spans="1:21" ht="12.75" customHeight="1">
      <c r="A74" s="180"/>
      <c r="B74" s="27" t="s">
        <v>96</v>
      </c>
      <c r="C74" s="65"/>
      <c r="D74" s="26"/>
      <c r="E74" s="66"/>
      <c r="F74" s="67"/>
      <c r="G74" s="68"/>
      <c r="H74" s="6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</row>
    <row r="75" spans="1:21" ht="12.75" customHeight="1">
      <c r="A75" s="180"/>
      <c r="B75" s="26" t="s">
        <v>164</v>
      </c>
      <c r="C75" s="65" t="s">
        <v>100</v>
      </c>
      <c r="D75" s="26"/>
      <c r="E75" s="66">
        <v>232.6</v>
      </c>
      <c r="F75" s="67">
        <f>E75*12</f>
        <v>2791.2</v>
      </c>
      <c r="G75" s="70">
        <v>2.5960000000000001</v>
      </c>
      <c r="H75" s="69">
        <f>G75*F75</f>
        <v>7245.9551999999994</v>
      </c>
      <c r="I75" s="39">
        <f>F75/12*G75</f>
        <v>603.82960000000003</v>
      </c>
      <c r="J75" s="39">
        <f>F75/12*G75</f>
        <v>603.82960000000003</v>
      </c>
      <c r="K75" s="39">
        <f>F75/12*G75</f>
        <v>603.82960000000003</v>
      </c>
      <c r="L75" s="39">
        <f>F75/12*G75</f>
        <v>603.82960000000003</v>
      </c>
      <c r="M75" s="39">
        <f>F75/12*G75</f>
        <v>603.82960000000003</v>
      </c>
      <c r="N75" s="39">
        <f>F75/12*G75</f>
        <v>603.82960000000003</v>
      </c>
      <c r="O75" s="39">
        <f>F75/12*G75</f>
        <v>603.82960000000003</v>
      </c>
      <c r="P75" s="39">
        <f>F75/12*G75</f>
        <v>603.82960000000003</v>
      </c>
      <c r="Q75" s="39">
        <f>F75/12*G75</f>
        <v>603.82960000000003</v>
      </c>
      <c r="R75" s="39">
        <f>F75/12*G75</f>
        <v>603.82960000000003</v>
      </c>
      <c r="S75" s="39">
        <f>F75/12*G75</f>
        <v>603.82960000000003</v>
      </c>
      <c r="T75" s="39">
        <f>F75/12*G75</f>
        <v>603.82960000000003</v>
      </c>
      <c r="U75" s="39">
        <f>SUM(I75:T75)</f>
        <v>7245.9552000000003</v>
      </c>
    </row>
    <row r="76" spans="1:21">
      <c r="A76" s="180"/>
      <c r="B76" s="15" t="s">
        <v>110</v>
      </c>
      <c r="C76" s="65"/>
      <c r="D76" s="26"/>
      <c r="E76" s="66"/>
      <c r="F76" s="67"/>
      <c r="G76" s="67"/>
      <c r="H76" s="69" t="s">
        <v>53</v>
      </c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</row>
    <row r="77" spans="1:21" ht="12.75" customHeight="1">
      <c r="A77" s="71" t="s">
        <v>262</v>
      </c>
      <c r="B77" s="16" t="s">
        <v>111</v>
      </c>
      <c r="C77" s="71" t="s">
        <v>85</v>
      </c>
      <c r="D77" s="9" t="s">
        <v>49</v>
      </c>
      <c r="E77" s="72">
        <v>15</v>
      </c>
      <c r="F77" s="37">
        <v>15</v>
      </c>
      <c r="G77" s="55">
        <v>209.41</v>
      </c>
      <c r="H77" s="153">
        <f t="shared" si="41"/>
        <v>3.1411500000000001</v>
      </c>
      <c r="I77" s="39">
        <f>G77</f>
        <v>209.41</v>
      </c>
      <c r="J77" s="39">
        <f>G77*7</f>
        <v>1465.87</v>
      </c>
      <c r="K77" s="39">
        <f>G77*2</f>
        <v>418.82</v>
      </c>
      <c r="L77" s="39">
        <f>G77*3</f>
        <v>628.23</v>
      </c>
      <c r="M77" s="39">
        <v>0</v>
      </c>
      <c r="N77" s="39">
        <f>G77*4</f>
        <v>837.64</v>
      </c>
      <c r="O77" s="39">
        <f>G77*3</f>
        <v>628.23</v>
      </c>
      <c r="P77" s="39">
        <f>G77*3</f>
        <v>628.23</v>
      </c>
      <c r="Q77" s="39">
        <f>G77*9</f>
        <v>1884.69</v>
      </c>
      <c r="R77" s="39">
        <f>G77*4</f>
        <v>837.64</v>
      </c>
      <c r="S77" s="39">
        <f>G77*3</f>
        <v>628.23</v>
      </c>
      <c r="T77" s="39">
        <v>0</v>
      </c>
      <c r="U77" s="39">
        <f t="shared" ref="U77:U84" si="42">SUM(I77:T77)</f>
        <v>8166.9900000000016</v>
      </c>
    </row>
    <row r="78" spans="1:21" ht="12.75" customHeight="1">
      <c r="A78" s="71" t="s">
        <v>263</v>
      </c>
      <c r="B78" s="16" t="s">
        <v>112</v>
      </c>
      <c r="C78" s="71" t="s">
        <v>85</v>
      </c>
      <c r="D78" s="9" t="s">
        <v>49</v>
      </c>
      <c r="E78" s="72">
        <v>5</v>
      </c>
      <c r="F78" s="37">
        <v>5</v>
      </c>
      <c r="G78" s="55">
        <v>71.790000000000006</v>
      </c>
      <c r="H78" s="153">
        <f t="shared" si="41"/>
        <v>0.35895000000000005</v>
      </c>
      <c r="I78" s="39">
        <v>0</v>
      </c>
      <c r="J78" s="39">
        <v>0</v>
      </c>
      <c r="K78" s="39">
        <f>G78*2</f>
        <v>143.58000000000001</v>
      </c>
      <c r="L78" s="39">
        <v>0</v>
      </c>
      <c r="M78" s="39">
        <v>0</v>
      </c>
      <c r="N78" s="39">
        <v>0</v>
      </c>
      <c r="O78" s="39">
        <v>0</v>
      </c>
      <c r="P78" s="39">
        <v>0</v>
      </c>
      <c r="Q78" s="39">
        <v>0</v>
      </c>
      <c r="R78" s="39">
        <v>0</v>
      </c>
      <c r="S78" s="39">
        <v>0</v>
      </c>
      <c r="T78" s="39">
        <v>0</v>
      </c>
      <c r="U78" s="39">
        <f t="shared" si="42"/>
        <v>143.58000000000001</v>
      </c>
    </row>
    <row r="79" spans="1:21" s="2" customFormat="1">
      <c r="A79" s="73" t="s">
        <v>264</v>
      </c>
      <c r="B79" s="16" t="s">
        <v>113</v>
      </c>
      <c r="C79" s="73" t="s">
        <v>114</v>
      </c>
      <c r="D79" s="9" t="s">
        <v>35</v>
      </c>
      <c r="E79" s="36">
        <v>18281</v>
      </c>
      <c r="F79" s="56">
        <f>SUM(E79/100)</f>
        <v>182.81</v>
      </c>
      <c r="G79" s="55">
        <v>199.77</v>
      </c>
      <c r="H79" s="153">
        <f t="shared" si="41"/>
        <v>36.519953700000002</v>
      </c>
      <c r="I79" s="54">
        <v>0</v>
      </c>
      <c r="J79" s="54">
        <v>0</v>
      </c>
      <c r="K79" s="39">
        <v>0</v>
      </c>
      <c r="L79" s="39">
        <v>0</v>
      </c>
      <c r="M79" s="39">
        <f>F79*G79</f>
        <v>36519.953700000005</v>
      </c>
      <c r="N79" s="39">
        <v>0</v>
      </c>
      <c r="O79" s="39">
        <v>0</v>
      </c>
      <c r="P79" s="39">
        <v>0</v>
      </c>
      <c r="Q79" s="39">
        <v>0</v>
      </c>
      <c r="R79" s="39">
        <v>0</v>
      </c>
      <c r="S79" s="39">
        <v>0</v>
      </c>
      <c r="T79" s="39">
        <v>0</v>
      </c>
      <c r="U79" s="39">
        <f t="shared" si="42"/>
        <v>36519.953700000005</v>
      </c>
    </row>
    <row r="80" spans="1:21" ht="12.75" customHeight="1">
      <c r="A80" s="71" t="s">
        <v>265</v>
      </c>
      <c r="B80" s="16" t="s">
        <v>115</v>
      </c>
      <c r="C80" s="71" t="s">
        <v>116</v>
      </c>
      <c r="D80" s="9"/>
      <c r="E80" s="36">
        <v>18281</v>
      </c>
      <c r="F80" s="55">
        <f>SUM(E80/1000)</f>
        <v>18.280999999999999</v>
      </c>
      <c r="G80" s="55">
        <v>155.57</v>
      </c>
      <c r="H80" s="153">
        <f t="shared" si="41"/>
        <v>2.8439751699999998</v>
      </c>
      <c r="I80" s="39">
        <v>0</v>
      </c>
      <c r="J80" s="39">
        <v>0</v>
      </c>
      <c r="K80" s="39">
        <v>0</v>
      </c>
      <c r="L80" s="39">
        <v>0</v>
      </c>
      <c r="M80" s="39">
        <f>F80*G80</f>
        <v>2843.9751699999997</v>
      </c>
      <c r="N80" s="39">
        <v>0</v>
      </c>
      <c r="O80" s="39">
        <v>0</v>
      </c>
      <c r="P80" s="39">
        <v>0</v>
      </c>
      <c r="Q80" s="39">
        <v>0</v>
      </c>
      <c r="R80" s="39">
        <v>0</v>
      </c>
      <c r="S80" s="39">
        <v>0</v>
      </c>
      <c r="T80" s="39">
        <v>0</v>
      </c>
      <c r="U80" s="39">
        <f t="shared" si="42"/>
        <v>2843.9751699999997</v>
      </c>
    </row>
    <row r="81" spans="1:21">
      <c r="A81" s="71" t="s">
        <v>266</v>
      </c>
      <c r="B81" s="16" t="s">
        <v>117</v>
      </c>
      <c r="C81" s="71" t="s">
        <v>118</v>
      </c>
      <c r="D81" s="9" t="s">
        <v>35</v>
      </c>
      <c r="E81" s="36">
        <v>2730</v>
      </c>
      <c r="F81" s="55">
        <f>SUM(E81/100)</f>
        <v>27.3</v>
      </c>
      <c r="G81" s="55">
        <v>1953.52</v>
      </c>
      <c r="H81" s="153">
        <f t="shared" si="41"/>
        <v>53.331095999999995</v>
      </c>
      <c r="I81" s="39">
        <v>0</v>
      </c>
      <c r="J81" s="39">
        <v>0</v>
      </c>
      <c r="K81" s="39">
        <v>0</v>
      </c>
      <c r="L81" s="39">
        <v>0</v>
      </c>
      <c r="M81" s="39">
        <f>F81*G81</f>
        <v>53331.095999999998</v>
      </c>
      <c r="N81" s="39">
        <v>0</v>
      </c>
      <c r="O81" s="39">
        <v>0</v>
      </c>
      <c r="P81" s="39">
        <v>0</v>
      </c>
      <c r="Q81" s="39">
        <v>0</v>
      </c>
      <c r="R81" s="39">
        <v>0</v>
      </c>
      <c r="S81" s="39">
        <v>0</v>
      </c>
      <c r="T81" s="39">
        <v>0</v>
      </c>
      <c r="U81" s="39">
        <f t="shared" si="42"/>
        <v>53331.095999999998</v>
      </c>
    </row>
    <row r="82" spans="1:21">
      <c r="A82" s="71"/>
      <c r="B82" s="17" t="s">
        <v>155</v>
      </c>
      <c r="C82" s="71" t="s">
        <v>40</v>
      </c>
      <c r="D82" s="9"/>
      <c r="E82" s="36">
        <v>16.399999999999999</v>
      </c>
      <c r="F82" s="55">
        <f>SUM(E82)</f>
        <v>16.399999999999999</v>
      </c>
      <c r="G82" s="55">
        <v>40.270000000000003</v>
      </c>
      <c r="H82" s="153">
        <f t="shared" si="41"/>
        <v>0.66042800000000002</v>
      </c>
      <c r="I82" s="39">
        <v>0</v>
      </c>
      <c r="J82" s="39">
        <v>0</v>
      </c>
      <c r="K82" s="39">
        <v>0</v>
      </c>
      <c r="L82" s="39">
        <v>0</v>
      </c>
      <c r="M82" s="39">
        <f>F82*G82</f>
        <v>660.428</v>
      </c>
      <c r="N82" s="39">
        <v>0</v>
      </c>
      <c r="O82" s="39">
        <v>0</v>
      </c>
      <c r="P82" s="39">
        <v>0</v>
      </c>
      <c r="Q82" s="39">
        <v>0</v>
      </c>
      <c r="R82" s="39">
        <v>0</v>
      </c>
      <c r="S82" s="39">
        <v>0</v>
      </c>
      <c r="T82" s="39">
        <v>0</v>
      </c>
      <c r="U82" s="39">
        <f t="shared" si="42"/>
        <v>660.428</v>
      </c>
    </row>
    <row r="83" spans="1:21" ht="12.75" customHeight="1">
      <c r="A83" s="186"/>
      <c r="B83" s="17" t="s">
        <v>156</v>
      </c>
      <c r="C83" s="71" t="s">
        <v>40</v>
      </c>
      <c r="D83" s="9"/>
      <c r="E83" s="36">
        <v>16.399999999999999</v>
      </c>
      <c r="F83" s="55">
        <f>SUM(E83)</f>
        <v>16.399999999999999</v>
      </c>
      <c r="G83" s="55">
        <v>37.71</v>
      </c>
      <c r="H83" s="153">
        <f t="shared" si="41"/>
        <v>0.61844399999999999</v>
      </c>
      <c r="I83" s="39">
        <v>0</v>
      </c>
      <c r="J83" s="39">
        <v>0</v>
      </c>
      <c r="K83" s="39">
        <v>0</v>
      </c>
      <c r="L83" s="39">
        <v>0</v>
      </c>
      <c r="M83" s="39">
        <f>F83*G83</f>
        <v>618.44399999999996</v>
      </c>
      <c r="N83" s="39">
        <v>0</v>
      </c>
      <c r="O83" s="39">
        <v>0</v>
      </c>
      <c r="P83" s="39">
        <v>0</v>
      </c>
      <c r="Q83" s="39">
        <v>0</v>
      </c>
      <c r="R83" s="39">
        <v>0</v>
      </c>
      <c r="S83" s="39">
        <v>0</v>
      </c>
      <c r="T83" s="39">
        <v>0</v>
      </c>
      <c r="U83" s="39">
        <f t="shared" si="42"/>
        <v>618.44399999999996</v>
      </c>
    </row>
    <row r="84" spans="1:21">
      <c r="A84" s="71" t="s">
        <v>267</v>
      </c>
      <c r="B84" s="9" t="s">
        <v>119</v>
      </c>
      <c r="C84" s="71" t="s">
        <v>120</v>
      </c>
      <c r="D84" s="9" t="s">
        <v>35</v>
      </c>
      <c r="E84" s="72">
        <v>7</v>
      </c>
      <c r="F84" s="37">
        <f>SUM(E84)</f>
        <v>7</v>
      </c>
      <c r="G84" s="55">
        <v>46.97</v>
      </c>
      <c r="H84" s="153">
        <f t="shared" si="41"/>
        <v>0.32878999999999997</v>
      </c>
      <c r="I84" s="39">
        <v>0</v>
      </c>
      <c r="J84" s="39">
        <v>0</v>
      </c>
      <c r="K84" s="39">
        <v>0</v>
      </c>
      <c r="L84" s="39">
        <v>0</v>
      </c>
      <c r="M84" s="39">
        <v>0</v>
      </c>
      <c r="N84" s="39">
        <v>0</v>
      </c>
      <c r="O84" s="39">
        <v>0</v>
      </c>
      <c r="P84" s="39">
        <v>0</v>
      </c>
      <c r="Q84" s="39">
        <f>G84*7</f>
        <v>328.78999999999996</v>
      </c>
      <c r="R84" s="39">
        <v>0</v>
      </c>
      <c r="S84" s="39">
        <v>0</v>
      </c>
      <c r="T84" s="39">
        <v>0</v>
      </c>
      <c r="U84" s="39">
        <f t="shared" si="42"/>
        <v>328.78999999999996</v>
      </c>
    </row>
    <row r="85" spans="1:21">
      <c r="A85" s="71"/>
      <c r="B85" s="18" t="s">
        <v>121</v>
      </c>
      <c r="C85" s="71"/>
      <c r="D85" s="9"/>
      <c r="E85" s="72"/>
      <c r="F85" s="55"/>
      <c r="G85" s="55"/>
      <c r="H85" s="153" t="s">
        <v>53</v>
      </c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</row>
    <row r="86" spans="1:21" hidden="1">
      <c r="A86" s="71" t="s">
        <v>122</v>
      </c>
      <c r="B86" s="9" t="s">
        <v>123</v>
      </c>
      <c r="C86" s="71" t="s">
        <v>85</v>
      </c>
      <c r="D86" s="9"/>
      <c r="E86" s="72"/>
      <c r="F86" s="55"/>
      <c r="G86" s="55" t="s">
        <v>53</v>
      </c>
      <c r="H86" s="153">
        <v>0</v>
      </c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</row>
    <row r="87" spans="1:21" hidden="1">
      <c r="A87" s="71" t="s">
        <v>124</v>
      </c>
      <c r="B87" s="9" t="s">
        <v>125</v>
      </c>
      <c r="C87" s="71" t="s">
        <v>85</v>
      </c>
      <c r="D87" s="9"/>
      <c r="E87" s="72"/>
      <c r="F87" s="55"/>
      <c r="G87" s="55">
        <v>65.72</v>
      </c>
      <c r="H87" s="153">
        <f t="shared" si="41"/>
        <v>0</v>
      </c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</row>
    <row r="88" spans="1:21" hidden="1">
      <c r="A88" s="71" t="s">
        <v>126</v>
      </c>
      <c r="B88" s="9" t="s">
        <v>127</v>
      </c>
      <c r="C88" s="71" t="s">
        <v>85</v>
      </c>
      <c r="D88" s="9"/>
      <c r="E88" s="72"/>
      <c r="F88" s="55"/>
      <c r="G88" s="55">
        <v>82.33</v>
      </c>
      <c r="H88" s="153">
        <f t="shared" si="41"/>
        <v>0</v>
      </c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</row>
    <row r="89" spans="1:21">
      <c r="A89" s="71" t="s">
        <v>268</v>
      </c>
      <c r="B89" s="9" t="s">
        <v>128</v>
      </c>
      <c r="C89" s="71" t="s">
        <v>37</v>
      </c>
      <c r="D89" s="9"/>
      <c r="E89" s="72">
        <v>1</v>
      </c>
      <c r="F89" s="37">
        <f>SUM(E89)</f>
        <v>1</v>
      </c>
      <c r="G89" s="55">
        <v>337.58</v>
      </c>
      <c r="H89" s="153">
        <f t="shared" si="41"/>
        <v>0.33757999999999999</v>
      </c>
      <c r="I89" s="39">
        <v>0</v>
      </c>
      <c r="J89" s="39">
        <v>0</v>
      </c>
      <c r="K89" s="39">
        <v>0</v>
      </c>
      <c r="L89" s="39">
        <v>0</v>
      </c>
      <c r="M89" s="39">
        <v>0</v>
      </c>
      <c r="N89" s="39">
        <v>0</v>
      </c>
      <c r="O89" s="39">
        <v>0</v>
      </c>
      <c r="P89" s="39">
        <v>0</v>
      </c>
      <c r="Q89" s="39">
        <v>0</v>
      </c>
      <c r="R89" s="39">
        <v>0</v>
      </c>
      <c r="S89" s="39">
        <v>0</v>
      </c>
      <c r="T89" s="39">
        <v>0</v>
      </c>
      <c r="U89" s="39">
        <f>SUM(I89:T89)</f>
        <v>0</v>
      </c>
    </row>
    <row r="90" spans="1:21" hidden="1">
      <c r="A90" s="71" t="s">
        <v>129</v>
      </c>
      <c r="B90" s="9" t="s">
        <v>130</v>
      </c>
      <c r="C90" s="71" t="s">
        <v>131</v>
      </c>
      <c r="D90" s="9"/>
      <c r="E90" s="72"/>
      <c r="F90" s="55"/>
      <c r="G90" s="55">
        <v>31.54</v>
      </c>
      <c r="H90" s="153">
        <f t="shared" si="41"/>
        <v>0</v>
      </c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</row>
    <row r="91" spans="1:21">
      <c r="A91" s="71" t="s">
        <v>269</v>
      </c>
      <c r="B91" s="9" t="s">
        <v>157</v>
      </c>
      <c r="C91" s="71" t="s">
        <v>37</v>
      </c>
      <c r="D91" s="9"/>
      <c r="E91" s="72">
        <v>2</v>
      </c>
      <c r="F91" s="55">
        <v>2</v>
      </c>
      <c r="G91" s="55">
        <v>803.19</v>
      </c>
      <c r="H91" s="153">
        <f>F91*G91/1000</f>
        <v>1.6063800000000001</v>
      </c>
      <c r="I91" s="39">
        <v>0</v>
      </c>
      <c r="J91" s="39">
        <v>0</v>
      </c>
      <c r="K91" s="39">
        <v>0</v>
      </c>
      <c r="L91" s="39">
        <v>0</v>
      </c>
      <c r="M91" s="39">
        <v>0</v>
      </c>
      <c r="N91" s="39">
        <v>0</v>
      </c>
      <c r="O91" s="39">
        <v>0</v>
      </c>
      <c r="P91" s="39">
        <v>0</v>
      </c>
      <c r="Q91" s="39">
        <v>0</v>
      </c>
      <c r="R91" s="39">
        <v>0</v>
      </c>
      <c r="S91" s="39">
        <v>0</v>
      </c>
      <c r="T91" s="39">
        <v>0</v>
      </c>
      <c r="U91" s="39">
        <f>SUM(I91:T91)</f>
        <v>0</v>
      </c>
    </row>
    <row r="92" spans="1:21">
      <c r="A92" s="71"/>
      <c r="B92" s="74" t="s">
        <v>132</v>
      </c>
      <c r="C92" s="71"/>
      <c r="D92" s="9"/>
      <c r="E92" s="72"/>
      <c r="F92" s="55"/>
      <c r="G92" s="55" t="s">
        <v>53</v>
      </c>
      <c r="H92" s="153" t="s">
        <v>53</v>
      </c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</row>
    <row r="93" spans="1:21" s="2" customFormat="1">
      <c r="A93" s="73" t="s">
        <v>133</v>
      </c>
      <c r="B93" s="75" t="s">
        <v>134</v>
      </c>
      <c r="C93" s="73" t="s">
        <v>118</v>
      </c>
      <c r="D93" s="16"/>
      <c r="E93" s="76"/>
      <c r="F93" s="56">
        <v>1.35</v>
      </c>
      <c r="G93" s="56">
        <v>2494</v>
      </c>
      <c r="H93" s="153">
        <f t="shared" si="41"/>
        <v>3.3669000000000002</v>
      </c>
      <c r="I93" s="54">
        <v>0</v>
      </c>
      <c r="J93" s="54">
        <v>0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39">
        <f>SUM(I93:T93)</f>
        <v>0</v>
      </c>
    </row>
    <row r="94" spans="1:21" s="21" customFormat="1">
      <c r="A94" s="77"/>
      <c r="B94" s="20" t="s">
        <v>27</v>
      </c>
      <c r="C94" s="78"/>
      <c r="D94" s="79"/>
      <c r="E94" s="80"/>
      <c r="F94" s="61"/>
      <c r="G94" s="61"/>
      <c r="H94" s="81">
        <f>SUM(H65:H93)</f>
        <v>7351.9809012699989</v>
      </c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>
        <f>SUM(U65:U93)</f>
        <v>110963.46647</v>
      </c>
    </row>
    <row r="95" spans="1:21">
      <c r="A95" s="181" t="s">
        <v>184</v>
      </c>
      <c r="B95" s="11" t="s">
        <v>185</v>
      </c>
      <c r="C95" s="83"/>
      <c r="D95" s="84"/>
      <c r="E95" s="159"/>
      <c r="F95" s="85">
        <v>1</v>
      </c>
      <c r="G95" s="86">
        <v>15921.8</v>
      </c>
      <c r="H95" s="153">
        <f>G95*F95/1000</f>
        <v>15.921799999999999</v>
      </c>
      <c r="I95" s="39">
        <v>0</v>
      </c>
      <c r="J95" s="39">
        <v>0</v>
      </c>
      <c r="K95" s="39">
        <v>0</v>
      </c>
      <c r="L95" s="39">
        <v>0</v>
      </c>
      <c r="M95" s="40">
        <f>G95</f>
        <v>15921.8</v>
      </c>
      <c r="N95" s="40">
        <v>0</v>
      </c>
      <c r="O95" s="39">
        <v>0</v>
      </c>
      <c r="P95" s="39">
        <v>0</v>
      </c>
      <c r="Q95" s="39">
        <v>0</v>
      </c>
      <c r="R95" s="39">
        <v>0</v>
      </c>
      <c r="S95" s="39">
        <v>0</v>
      </c>
      <c r="T95" s="39">
        <v>0</v>
      </c>
      <c r="U95" s="39">
        <f>SUM(I95:T95)</f>
        <v>15921.8</v>
      </c>
    </row>
    <row r="96" spans="1:21" ht="12.75" customHeight="1">
      <c r="A96" s="182"/>
      <c r="B96" s="82" t="s">
        <v>135</v>
      </c>
      <c r="C96" s="71" t="s">
        <v>136</v>
      </c>
      <c r="D96" s="87"/>
      <c r="E96" s="55">
        <v>4224.3999999999996</v>
      </c>
      <c r="F96" s="55">
        <f>SUM(E96*12)</f>
        <v>50692.799999999996</v>
      </c>
      <c r="G96" s="88">
        <v>2.1</v>
      </c>
      <c r="H96" s="153">
        <f>SUM(F96*G96/1000)</f>
        <v>106.45487999999999</v>
      </c>
      <c r="I96" s="39">
        <f>F96/12*G96</f>
        <v>8871.24</v>
      </c>
      <c r="J96" s="39">
        <f>F96/12*G96</f>
        <v>8871.24</v>
      </c>
      <c r="K96" s="39">
        <f>F96/12*G96</f>
        <v>8871.24</v>
      </c>
      <c r="L96" s="39">
        <f>F96/12*G96</f>
        <v>8871.24</v>
      </c>
      <c r="M96" s="40">
        <f>F96/12*G96</f>
        <v>8871.24</v>
      </c>
      <c r="N96" s="40">
        <f>F96/12*G96</f>
        <v>8871.24</v>
      </c>
      <c r="O96" s="39">
        <f>F96/12*G96</f>
        <v>8871.24</v>
      </c>
      <c r="P96" s="39">
        <f>F96/12*G96</f>
        <v>8871.24</v>
      </c>
      <c r="Q96" s="39">
        <f>F96/12*G96</f>
        <v>8871.24</v>
      </c>
      <c r="R96" s="39">
        <f>F96/12*G96</f>
        <v>8871.24</v>
      </c>
      <c r="S96" s="39">
        <f>F96/12*G96</f>
        <v>8871.24</v>
      </c>
      <c r="T96" s="39">
        <f>F96/12*G96</f>
        <v>8871.24</v>
      </c>
      <c r="U96" s="39">
        <f>SUM(I96:T96)</f>
        <v>106454.88000000002</v>
      </c>
    </row>
    <row r="97" spans="1:26" hidden="1">
      <c r="A97" s="71" t="s">
        <v>137</v>
      </c>
      <c r="B97" s="9" t="s">
        <v>138</v>
      </c>
      <c r="C97" s="65" t="s">
        <v>13</v>
      </c>
      <c r="D97" s="9"/>
      <c r="E97" s="72">
        <v>30</v>
      </c>
      <c r="F97" s="55">
        <f>E97/100</f>
        <v>0.3</v>
      </c>
      <c r="G97" s="55">
        <v>0</v>
      </c>
      <c r="H97" s="153">
        <f>F97*G97/1000</f>
        <v>0</v>
      </c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>
        <f t="shared" ref="T97:T99" si="43">F97/12*G97</f>
        <v>0</v>
      </c>
      <c r="U97" s="39"/>
    </row>
    <row r="98" spans="1:26" s="19" customFormat="1">
      <c r="A98" s="89"/>
      <c r="B98" s="20" t="s">
        <v>27</v>
      </c>
      <c r="C98" s="90"/>
      <c r="D98" s="91"/>
      <c r="E98" s="92"/>
      <c r="F98" s="46"/>
      <c r="G98" s="93"/>
      <c r="H98" s="47">
        <f>SUM(H95:H97)</f>
        <v>122.37667999999999</v>
      </c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>
        <f>SUM(U95:U97)</f>
        <v>122376.68000000002</v>
      </c>
    </row>
    <row r="99" spans="1:26" ht="25.5" customHeight="1">
      <c r="A99" s="94"/>
      <c r="B99" s="9" t="s">
        <v>139</v>
      </c>
      <c r="C99" s="71"/>
      <c r="D99" s="95"/>
      <c r="E99" s="36">
        <f>E96</f>
        <v>4224.3999999999996</v>
      </c>
      <c r="F99" s="55">
        <f>E99*12</f>
        <v>50692.799999999996</v>
      </c>
      <c r="G99" s="55">
        <v>1.63</v>
      </c>
      <c r="H99" s="153">
        <f>F99*G99/1000</f>
        <v>82.629263999999978</v>
      </c>
      <c r="I99" s="39">
        <f>F99/12*G99</f>
        <v>6885.771999999999</v>
      </c>
      <c r="J99" s="39">
        <f>F99/12*G99</f>
        <v>6885.771999999999</v>
      </c>
      <c r="K99" s="39">
        <f>F99/12*G99</f>
        <v>6885.771999999999</v>
      </c>
      <c r="L99" s="39">
        <f>F99/12*G99</f>
        <v>6885.771999999999</v>
      </c>
      <c r="M99" s="39">
        <f>F99/12*G99</f>
        <v>6885.771999999999</v>
      </c>
      <c r="N99" s="39">
        <f>F99/12*G99</f>
        <v>6885.771999999999</v>
      </c>
      <c r="O99" s="39">
        <f>F99/12*G99</f>
        <v>6885.771999999999</v>
      </c>
      <c r="P99" s="39">
        <f>F99/12*G99</f>
        <v>6885.771999999999</v>
      </c>
      <c r="Q99" s="39">
        <f>F99/12*G99</f>
        <v>6885.771999999999</v>
      </c>
      <c r="R99" s="39">
        <f>F99/12*G99</f>
        <v>6885.771999999999</v>
      </c>
      <c r="S99" s="39">
        <f>F99/12*G99</f>
        <v>6885.771999999999</v>
      </c>
      <c r="T99" s="39">
        <f t="shared" si="43"/>
        <v>6885.771999999999</v>
      </c>
      <c r="U99" s="39">
        <f>SUM(I99:T99)</f>
        <v>82629.263999999981</v>
      </c>
    </row>
    <row r="100" spans="1:26" s="19" customFormat="1">
      <c r="A100" s="89"/>
      <c r="B100" s="96" t="s">
        <v>140</v>
      </c>
      <c r="C100" s="97"/>
      <c r="D100" s="96"/>
      <c r="E100" s="46"/>
      <c r="F100" s="46"/>
      <c r="G100" s="46"/>
      <c r="H100" s="81">
        <f>H99</f>
        <v>82.629263999999978</v>
      </c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155">
        <f>U99</f>
        <v>82629.263999999981</v>
      </c>
    </row>
    <row r="101" spans="1:26" s="19" customFormat="1">
      <c r="A101" s="89"/>
      <c r="B101" s="96" t="s">
        <v>141</v>
      </c>
      <c r="C101" s="98"/>
      <c r="D101" s="99"/>
      <c r="E101" s="100"/>
      <c r="F101" s="100"/>
      <c r="G101" s="100"/>
      <c r="H101" s="81">
        <f>SUM(H100+H98+H94+H62+H50+H35+H20)</f>
        <v>8245.7576351789303</v>
      </c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55">
        <f>SUM(U100+U98+U94+U62+U50+U35+U20)*1.094</f>
        <v>1087264.486157753</v>
      </c>
      <c r="W101" s="189"/>
      <c r="X101" s="189"/>
      <c r="Y101" s="189"/>
      <c r="Z101" s="189"/>
    </row>
    <row r="102" spans="1:26" s="151" customFormat="1" ht="51" customHeight="1">
      <c r="A102" s="94"/>
      <c r="B102" s="74"/>
      <c r="C102" s="71"/>
      <c r="D102" s="95"/>
      <c r="E102" s="55"/>
      <c r="F102" s="55"/>
      <c r="G102" s="55"/>
      <c r="H102" s="150"/>
      <c r="I102" s="55"/>
      <c r="J102" s="55"/>
      <c r="K102" s="55"/>
      <c r="L102" s="55"/>
      <c r="M102" s="55"/>
      <c r="N102" s="55"/>
      <c r="O102" s="55"/>
      <c r="P102" s="55"/>
      <c r="Q102" s="55"/>
      <c r="R102" s="163"/>
      <c r="S102" s="163"/>
      <c r="T102" s="163"/>
      <c r="U102" s="164" t="s">
        <v>197</v>
      </c>
    </row>
    <row r="103" spans="1:26">
      <c r="A103" s="94"/>
      <c r="B103" s="95" t="s">
        <v>142</v>
      </c>
      <c r="C103" s="71"/>
      <c r="D103" s="95"/>
      <c r="E103" s="55"/>
      <c r="F103" s="55"/>
      <c r="G103" s="55" t="s">
        <v>143</v>
      </c>
      <c r="H103" s="101">
        <f>E99</f>
        <v>4224.3999999999996</v>
      </c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</row>
    <row r="104" spans="1:26" s="19" customFormat="1">
      <c r="A104" s="89"/>
      <c r="B104" s="99" t="s">
        <v>144</v>
      </c>
      <c r="C104" s="98"/>
      <c r="D104" s="99"/>
      <c r="E104" s="100"/>
      <c r="F104" s="100"/>
      <c r="G104" s="100"/>
      <c r="H104" s="102">
        <f>SUM(H101/H103/12*1000)</f>
        <v>162.66131748845856</v>
      </c>
      <c r="I104" s="100"/>
      <c r="J104" s="100"/>
      <c r="K104" s="100"/>
      <c r="L104" s="100"/>
      <c r="M104" s="100"/>
      <c r="N104" s="100"/>
      <c r="O104" s="100"/>
      <c r="P104" s="100"/>
      <c r="Q104" s="100"/>
      <c r="R104" s="100"/>
      <c r="S104" s="100"/>
      <c r="T104" s="100"/>
      <c r="U104" s="156"/>
    </row>
    <row r="105" spans="1:26">
      <c r="A105" s="94"/>
      <c r="B105" s="95"/>
      <c r="C105" s="71"/>
      <c r="D105" s="95"/>
      <c r="E105" s="55"/>
      <c r="F105" s="55"/>
      <c r="G105" s="55"/>
      <c r="H105" s="103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157"/>
    </row>
    <row r="106" spans="1:26">
      <c r="A106" s="94"/>
      <c r="B106" s="74" t="s">
        <v>145</v>
      </c>
      <c r="C106" s="71"/>
      <c r="D106" s="95"/>
      <c r="E106" s="55"/>
      <c r="F106" s="55"/>
      <c r="G106" s="55"/>
      <c r="H106" s="55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</row>
    <row r="107" spans="1:26">
      <c r="A107" s="104" t="s">
        <v>270</v>
      </c>
      <c r="B107" s="22" t="s">
        <v>167</v>
      </c>
      <c r="C107" s="71" t="s">
        <v>37</v>
      </c>
      <c r="D107" s="165"/>
      <c r="E107" s="55"/>
      <c r="F107" s="55">
        <v>1</v>
      </c>
      <c r="G107" s="55">
        <v>484.67</v>
      </c>
      <c r="H107" s="55">
        <f t="shared" ref="H107:H122" si="44">G107*F107/1000</f>
        <v>0.48466999999999999</v>
      </c>
      <c r="I107" s="39">
        <f>G107*1</f>
        <v>484.67</v>
      </c>
      <c r="J107" s="39">
        <v>0</v>
      </c>
      <c r="K107" s="39">
        <v>0</v>
      </c>
      <c r="L107" s="39">
        <v>0</v>
      </c>
      <c r="M107" s="39">
        <v>0</v>
      </c>
      <c r="N107" s="39">
        <v>0</v>
      </c>
      <c r="O107" s="39">
        <v>0</v>
      </c>
      <c r="P107" s="39">
        <v>0</v>
      </c>
      <c r="Q107" s="39">
        <v>0</v>
      </c>
      <c r="R107" s="39">
        <v>0</v>
      </c>
      <c r="S107" s="39">
        <v>0</v>
      </c>
      <c r="T107" s="39">
        <v>0</v>
      </c>
      <c r="U107" s="39">
        <f>SUM(I107:T107)</f>
        <v>484.67</v>
      </c>
    </row>
    <row r="108" spans="1:26" ht="25.5">
      <c r="A108" s="104" t="s">
        <v>271</v>
      </c>
      <c r="B108" s="22" t="s">
        <v>165</v>
      </c>
      <c r="C108" s="71" t="s">
        <v>37</v>
      </c>
      <c r="D108" s="165"/>
      <c r="E108" s="55"/>
      <c r="F108" s="55">
        <v>2</v>
      </c>
      <c r="G108" s="55">
        <v>79.09</v>
      </c>
      <c r="H108" s="55">
        <f t="shared" si="44"/>
        <v>0.15818000000000002</v>
      </c>
      <c r="I108" s="39">
        <f>G108*1</f>
        <v>79.09</v>
      </c>
      <c r="J108" s="39">
        <v>0</v>
      </c>
      <c r="K108" s="39">
        <v>0</v>
      </c>
      <c r="L108" s="39">
        <v>0</v>
      </c>
      <c r="M108" s="39">
        <v>0</v>
      </c>
      <c r="N108" s="39">
        <f>G108</f>
        <v>79.09</v>
      </c>
      <c r="O108" s="39">
        <v>0</v>
      </c>
      <c r="P108" s="39">
        <v>0</v>
      </c>
      <c r="Q108" s="39">
        <v>0</v>
      </c>
      <c r="R108" s="39">
        <v>0</v>
      </c>
      <c r="S108" s="39">
        <v>0</v>
      </c>
      <c r="T108" s="39">
        <v>0</v>
      </c>
      <c r="U108" s="39">
        <f>SUM(I108:T108)</f>
        <v>158.18</v>
      </c>
    </row>
    <row r="109" spans="1:26" ht="25.5">
      <c r="A109" s="149" t="s">
        <v>272</v>
      </c>
      <c r="B109" s="25" t="s">
        <v>179</v>
      </c>
      <c r="C109" s="149" t="s">
        <v>85</v>
      </c>
      <c r="D109" s="165"/>
      <c r="E109" s="55"/>
      <c r="F109" s="55">
        <v>960</v>
      </c>
      <c r="G109" s="55">
        <v>50.68</v>
      </c>
      <c r="H109" s="153">
        <f>G109*F109/1000</f>
        <v>48.652800000000006</v>
      </c>
      <c r="I109" s="39">
        <f>G109*80</f>
        <v>4054.4</v>
      </c>
      <c r="J109" s="39">
        <f>G109*80</f>
        <v>4054.4</v>
      </c>
      <c r="K109" s="39">
        <f>G109*80</f>
        <v>4054.4</v>
      </c>
      <c r="L109" s="39">
        <f>G109*80</f>
        <v>4054.4</v>
      </c>
      <c r="M109" s="39">
        <f>G109*80</f>
        <v>4054.4</v>
      </c>
      <c r="N109" s="39">
        <f>G109*80</f>
        <v>4054.4</v>
      </c>
      <c r="O109" s="39">
        <f>G109*80</f>
        <v>4054.4</v>
      </c>
      <c r="P109" s="39">
        <f>G109*80</f>
        <v>4054.4</v>
      </c>
      <c r="Q109" s="39">
        <f>G109*80</f>
        <v>4054.4</v>
      </c>
      <c r="R109" s="39">
        <f>G109*80</f>
        <v>4054.4</v>
      </c>
      <c r="S109" s="39">
        <f>G109*80</f>
        <v>4054.4</v>
      </c>
      <c r="T109" s="39">
        <f>G109*80</f>
        <v>4054.4</v>
      </c>
      <c r="U109" s="39">
        <f t="shared" ref="U109:U111" si="45">SUM(I109:T109)</f>
        <v>48652.80000000001</v>
      </c>
    </row>
    <row r="110" spans="1:26" ht="25.5">
      <c r="A110" s="29" t="s">
        <v>166</v>
      </c>
      <c r="B110" s="28" t="s">
        <v>180</v>
      </c>
      <c r="C110" s="154" t="s">
        <v>181</v>
      </c>
      <c r="D110" s="165"/>
      <c r="E110" s="55"/>
      <c r="F110" s="55">
        <v>6</v>
      </c>
      <c r="G110" s="55">
        <v>1835.8</v>
      </c>
      <c r="H110" s="153">
        <f t="shared" si="44"/>
        <v>11.014799999999999</v>
      </c>
      <c r="I110" s="39">
        <f>G110*2</f>
        <v>3671.6</v>
      </c>
      <c r="J110" s="39">
        <v>0</v>
      </c>
      <c r="K110" s="39">
        <v>0</v>
      </c>
      <c r="L110" s="39">
        <f>G110</f>
        <v>1835.8</v>
      </c>
      <c r="M110" s="39">
        <f>G110</f>
        <v>1835.8</v>
      </c>
      <c r="N110" s="39">
        <v>0</v>
      </c>
      <c r="O110" s="39">
        <v>0</v>
      </c>
      <c r="P110" s="39">
        <v>0</v>
      </c>
      <c r="Q110" s="39">
        <v>0</v>
      </c>
      <c r="R110" s="39">
        <v>0</v>
      </c>
      <c r="S110" s="39">
        <f>G110*2</f>
        <v>3671.6</v>
      </c>
      <c r="T110" s="39">
        <v>0</v>
      </c>
      <c r="U110" s="39">
        <f t="shared" si="45"/>
        <v>11014.8</v>
      </c>
    </row>
    <row r="111" spans="1:26" ht="12.75" customHeight="1">
      <c r="A111" s="166" t="s">
        <v>273</v>
      </c>
      <c r="B111" s="22" t="s">
        <v>220</v>
      </c>
      <c r="C111" s="166" t="s">
        <v>191</v>
      </c>
      <c r="D111" s="95"/>
      <c r="E111" s="55"/>
      <c r="F111" s="55">
        <v>7</v>
      </c>
      <c r="G111" s="55">
        <v>185.81</v>
      </c>
      <c r="H111" s="153">
        <f t="shared" si="44"/>
        <v>1.30067</v>
      </c>
      <c r="I111" s="39">
        <v>0</v>
      </c>
      <c r="J111" s="39">
        <f>G111*2</f>
        <v>371.62</v>
      </c>
      <c r="K111" s="39">
        <f>G111</f>
        <v>185.81</v>
      </c>
      <c r="L111" s="39">
        <v>0</v>
      </c>
      <c r="M111" s="39">
        <f>G111</f>
        <v>185.81</v>
      </c>
      <c r="N111" s="39">
        <f>G111*2</f>
        <v>371.62</v>
      </c>
      <c r="O111" s="39">
        <f>G111</f>
        <v>185.81</v>
      </c>
      <c r="P111" s="39">
        <v>0</v>
      </c>
      <c r="Q111" s="39">
        <v>0</v>
      </c>
      <c r="R111" s="39">
        <v>0</v>
      </c>
      <c r="S111" s="39">
        <v>0</v>
      </c>
      <c r="T111" s="39">
        <v>0</v>
      </c>
      <c r="U111" s="39">
        <f t="shared" si="45"/>
        <v>1300.67</v>
      </c>
    </row>
    <row r="112" spans="1:26" ht="25.5">
      <c r="A112" s="170" t="s">
        <v>192</v>
      </c>
      <c r="B112" s="22" t="s">
        <v>289</v>
      </c>
      <c r="C112" s="166" t="s">
        <v>193</v>
      </c>
      <c r="D112" s="165"/>
      <c r="E112" s="55"/>
      <c r="F112" s="55">
        <v>8</v>
      </c>
      <c r="G112" s="55">
        <v>1272</v>
      </c>
      <c r="H112" s="153">
        <f t="shared" si="44"/>
        <v>10.176</v>
      </c>
      <c r="I112" s="39">
        <v>0</v>
      </c>
      <c r="J112" s="39">
        <f>G112*6</f>
        <v>7632</v>
      </c>
      <c r="K112" s="39">
        <v>0</v>
      </c>
      <c r="L112" s="39">
        <v>0</v>
      </c>
      <c r="M112" s="39">
        <v>0</v>
      </c>
      <c r="N112" s="39">
        <v>0</v>
      </c>
      <c r="O112" s="39">
        <f>G112*2</f>
        <v>2544</v>
      </c>
      <c r="P112" s="39">
        <v>0</v>
      </c>
      <c r="Q112" s="39">
        <v>0</v>
      </c>
      <c r="R112" s="39">
        <v>0</v>
      </c>
      <c r="S112" s="39">
        <v>0</v>
      </c>
      <c r="T112" s="39">
        <v>0</v>
      </c>
      <c r="U112" s="39">
        <f t="shared" ref="U112" si="46">SUM(I112:T112)</f>
        <v>10176</v>
      </c>
    </row>
    <row r="113" spans="1:21">
      <c r="A113" s="94" t="s">
        <v>166</v>
      </c>
      <c r="B113" s="95" t="s">
        <v>194</v>
      </c>
      <c r="C113" s="71" t="s">
        <v>195</v>
      </c>
      <c r="D113" s="95"/>
      <c r="E113" s="55"/>
      <c r="F113" s="55">
        <v>8</v>
      </c>
      <c r="G113" s="55">
        <v>1501</v>
      </c>
      <c r="H113" s="153">
        <f t="shared" si="44"/>
        <v>12.007999999999999</v>
      </c>
      <c r="I113" s="39">
        <v>0</v>
      </c>
      <c r="J113" s="39">
        <f>G113</f>
        <v>1501</v>
      </c>
      <c r="K113" s="39">
        <v>0</v>
      </c>
      <c r="L113" s="39">
        <v>0</v>
      </c>
      <c r="M113" s="39">
        <v>0</v>
      </c>
      <c r="N113" s="39">
        <v>0</v>
      </c>
      <c r="O113" s="39">
        <f>G113*4</f>
        <v>6004</v>
      </c>
      <c r="P113" s="39">
        <v>0</v>
      </c>
      <c r="Q113" s="39">
        <v>0</v>
      </c>
      <c r="R113" s="39">
        <v>0</v>
      </c>
      <c r="S113" s="39">
        <f>G113*3</f>
        <v>4503</v>
      </c>
      <c r="T113" s="39">
        <v>0</v>
      </c>
      <c r="U113" s="39">
        <f t="shared" ref="U113:U136" si="47">SUM(I113:T113)</f>
        <v>12008</v>
      </c>
    </row>
    <row r="114" spans="1:21" ht="38.25">
      <c r="A114" s="149" t="s">
        <v>274</v>
      </c>
      <c r="B114" s="25" t="s">
        <v>198</v>
      </c>
      <c r="C114" s="149" t="s">
        <v>193</v>
      </c>
      <c r="D114" s="95"/>
      <c r="E114" s="55"/>
      <c r="F114" s="55">
        <v>3.8</v>
      </c>
      <c r="G114" s="55">
        <v>1122.8699999999999</v>
      </c>
      <c r="H114" s="153">
        <f t="shared" si="44"/>
        <v>4.2669059999999988</v>
      </c>
      <c r="I114" s="39">
        <v>0</v>
      </c>
      <c r="J114" s="39">
        <v>0</v>
      </c>
      <c r="K114" s="39">
        <f>G114*3.8</f>
        <v>4266.905999999999</v>
      </c>
      <c r="L114" s="39">
        <v>0</v>
      </c>
      <c r="M114" s="39">
        <v>0</v>
      </c>
      <c r="N114" s="39">
        <v>0</v>
      </c>
      <c r="O114" s="39">
        <v>0</v>
      </c>
      <c r="P114" s="39">
        <v>0</v>
      </c>
      <c r="Q114" s="39">
        <v>0</v>
      </c>
      <c r="R114" s="39">
        <v>0</v>
      </c>
      <c r="S114" s="39">
        <v>0</v>
      </c>
      <c r="T114" s="39">
        <v>0</v>
      </c>
      <c r="U114" s="39">
        <f t="shared" si="47"/>
        <v>4266.905999999999</v>
      </c>
    </row>
    <row r="115" spans="1:21" ht="25.5">
      <c r="A115" s="149" t="s">
        <v>275</v>
      </c>
      <c r="B115" s="25" t="s">
        <v>199</v>
      </c>
      <c r="C115" s="149" t="s">
        <v>85</v>
      </c>
      <c r="D115" s="95"/>
      <c r="E115" s="55"/>
      <c r="F115" s="55">
        <v>2</v>
      </c>
      <c r="G115" s="55">
        <v>180.15</v>
      </c>
      <c r="H115" s="153">
        <f t="shared" si="44"/>
        <v>0.36030000000000001</v>
      </c>
      <c r="I115" s="39">
        <v>0</v>
      </c>
      <c r="J115" s="39">
        <v>0</v>
      </c>
      <c r="K115" s="39">
        <f>G115</f>
        <v>180.15</v>
      </c>
      <c r="L115" s="39">
        <f>G115</f>
        <v>180.15</v>
      </c>
      <c r="M115" s="39">
        <v>0</v>
      </c>
      <c r="N115" s="39">
        <v>0</v>
      </c>
      <c r="O115" s="39">
        <v>0</v>
      </c>
      <c r="P115" s="39">
        <v>0</v>
      </c>
      <c r="Q115" s="39">
        <v>0</v>
      </c>
      <c r="R115" s="39">
        <v>0</v>
      </c>
      <c r="S115" s="39">
        <v>0</v>
      </c>
      <c r="T115" s="39">
        <v>0</v>
      </c>
      <c r="U115" s="39">
        <f t="shared" si="47"/>
        <v>360.3</v>
      </c>
    </row>
    <row r="116" spans="1:21">
      <c r="A116" s="167" t="s">
        <v>276</v>
      </c>
      <c r="B116" s="25" t="s">
        <v>200</v>
      </c>
      <c r="C116" s="149" t="s">
        <v>106</v>
      </c>
      <c r="D116" s="95"/>
      <c r="E116" s="55"/>
      <c r="F116" s="55">
        <f>10/10</f>
        <v>1</v>
      </c>
      <c r="G116" s="55">
        <v>624.16999999999996</v>
      </c>
      <c r="H116" s="153">
        <f t="shared" si="44"/>
        <v>0.62417</v>
      </c>
      <c r="I116" s="39">
        <v>0</v>
      </c>
      <c r="J116" s="39">
        <v>0</v>
      </c>
      <c r="K116" s="39">
        <f>G116*0.2</f>
        <v>124.834</v>
      </c>
      <c r="L116" s="39">
        <v>0</v>
      </c>
      <c r="M116" s="39">
        <v>0</v>
      </c>
      <c r="N116" s="39">
        <v>0</v>
      </c>
      <c r="O116" s="39">
        <f>G116*0.8</f>
        <v>499.33600000000001</v>
      </c>
      <c r="P116" s="39">
        <v>0</v>
      </c>
      <c r="Q116" s="39">
        <v>0</v>
      </c>
      <c r="R116" s="39">
        <v>0</v>
      </c>
      <c r="S116" s="39">
        <v>0</v>
      </c>
      <c r="T116" s="39">
        <v>0</v>
      </c>
      <c r="U116" s="39">
        <f t="shared" si="47"/>
        <v>624.17000000000007</v>
      </c>
    </row>
    <row r="117" spans="1:21" ht="25.5">
      <c r="A117" s="168" t="s">
        <v>277</v>
      </c>
      <c r="B117" s="169" t="s">
        <v>202</v>
      </c>
      <c r="C117" s="168" t="s">
        <v>203</v>
      </c>
      <c r="D117" s="95"/>
      <c r="E117" s="55"/>
      <c r="F117" s="55">
        <v>3</v>
      </c>
      <c r="G117" s="55">
        <v>290.67</v>
      </c>
      <c r="H117" s="153">
        <f t="shared" si="44"/>
        <v>0.87200999999999995</v>
      </c>
      <c r="I117" s="39">
        <v>0</v>
      </c>
      <c r="J117" s="39">
        <v>0</v>
      </c>
      <c r="K117" s="39">
        <v>0</v>
      </c>
      <c r="L117" s="39">
        <f>G117*3</f>
        <v>872.01</v>
      </c>
      <c r="M117" s="39">
        <v>0</v>
      </c>
      <c r="N117" s="39">
        <v>0</v>
      </c>
      <c r="O117" s="39">
        <v>0</v>
      </c>
      <c r="P117" s="39">
        <v>0</v>
      </c>
      <c r="Q117" s="39">
        <v>0</v>
      </c>
      <c r="R117" s="39">
        <v>0</v>
      </c>
      <c r="S117" s="39">
        <v>0</v>
      </c>
      <c r="T117" s="39">
        <v>0</v>
      </c>
      <c r="U117" s="39">
        <f t="shared" si="47"/>
        <v>872.01</v>
      </c>
    </row>
    <row r="118" spans="1:21">
      <c r="A118" s="167" t="s">
        <v>278</v>
      </c>
      <c r="B118" s="25" t="s">
        <v>204</v>
      </c>
      <c r="C118" s="149" t="s">
        <v>85</v>
      </c>
      <c r="D118" s="95"/>
      <c r="E118" s="55"/>
      <c r="F118" s="55">
        <v>3</v>
      </c>
      <c r="G118" s="55">
        <v>1072.21</v>
      </c>
      <c r="H118" s="153">
        <f t="shared" si="44"/>
        <v>3.2166300000000003</v>
      </c>
      <c r="I118" s="39">
        <v>0</v>
      </c>
      <c r="J118" s="39">
        <v>0</v>
      </c>
      <c r="K118" s="39">
        <v>0</v>
      </c>
      <c r="L118" s="39">
        <f>G118</f>
        <v>1072.21</v>
      </c>
      <c r="M118" s="39">
        <v>0</v>
      </c>
      <c r="N118" s="39">
        <v>0</v>
      </c>
      <c r="O118" s="39">
        <v>0</v>
      </c>
      <c r="P118" s="39">
        <v>0</v>
      </c>
      <c r="Q118" s="39">
        <v>0</v>
      </c>
      <c r="R118" s="39">
        <v>0</v>
      </c>
      <c r="S118" s="39">
        <v>0</v>
      </c>
      <c r="T118" s="39">
        <f>G118*2</f>
        <v>2144.42</v>
      </c>
      <c r="U118" s="39">
        <f t="shared" si="47"/>
        <v>3216.63</v>
      </c>
    </row>
    <row r="119" spans="1:21" ht="25.5">
      <c r="A119" s="168" t="s">
        <v>279</v>
      </c>
      <c r="B119" s="169" t="s">
        <v>211</v>
      </c>
      <c r="C119" s="168" t="s">
        <v>193</v>
      </c>
      <c r="D119" s="95"/>
      <c r="E119" s="55"/>
      <c r="F119" s="55">
        <v>4</v>
      </c>
      <c r="G119" s="55">
        <v>1264.3399999999999</v>
      </c>
      <c r="H119" s="153">
        <f t="shared" si="44"/>
        <v>5.0573600000000001</v>
      </c>
      <c r="I119" s="39">
        <v>0</v>
      </c>
      <c r="J119" s="39">
        <v>0</v>
      </c>
      <c r="K119" s="39">
        <v>0</v>
      </c>
      <c r="L119" s="39">
        <f>G119*4</f>
        <v>5057.3599999999997</v>
      </c>
      <c r="M119" s="39">
        <v>0</v>
      </c>
      <c r="N119" s="39">
        <v>0</v>
      </c>
      <c r="O119" s="39">
        <v>0</v>
      </c>
      <c r="P119" s="39">
        <v>0</v>
      </c>
      <c r="Q119" s="39">
        <v>0</v>
      </c>
      <c r="R119" s="39">
        <v>0</v>
      </c>
      <c r="S119" s="39">
        <v>0</v>
      </c>
      <c r="T119" s="39">
        <v>0</v>
      </c>
      <c r="U119" s="39">
        <f t="shared" si="47"/>
        <v>5057.3599999999997</v>
      </c>
    </row>
    <row r="120" spans="1:21" ht="25.5">
      <c r="A120" s="170" t="s">
        <v>280</v>
      </c>
      <c r="B120" s="169" t="s">
        <v>205</v>
      </c>
      <c r="C120" s="168" t="s">
        <v>206</v>
      </c>
      <c r="D120" s="95"/>
      <c r="E120" s="55"/>
      <c r="F120" s="55">
        <v>3</v>
      </c>
      <c r="G120" s="55">
        <v>559.62</v>
      </c>
      <c r="H120" s="153">
        <f t="shared" si="44"/>
        <v>1.67886</v>
      </c>
      <c r="I120" s="39">
        <v>0</v>
      </c>
      <c r="J120" s="39">
        <v>0</v>
      </c>
      <c r="K120" s="39">
        <v>0</v>
      </c>
      <c r="L120" s="39">
        <f>G120*2</f>
        <v>1119.24</v>
      </c>
      <c r="M120" s="39">
        <v>0</v>
      </c>
      <c r="N120" s="39">
        <v>0</v>
      </c>
      <c r="O120" s="39">
        <v>0</v>
      </c>
      <c r="P120" s="39">
        <f>G120</f>
        <v>559.62</v>
      </c>
      <c r="Q120" s="39">
        <v>0</v>
      </c>
      <c r="R120" s="39">
        <v>0</v>
      </c>
      <c r="S120" s="39">
        <v>0</v>
      </c>
      <c r="T120" s="39">
        <v>0</v>
      </c>
      <c r="U120" s="39">
        <f t="shared" si="47"/>
        <v>1678.8600000000001</v>
      </c>
    </row>
    <row r="121" spans="1:21">
      <c r="A121" s="168" t="s">
        <v>281</v>
      </c>
      <c r="B121" s="169" t="s">
        <v>207</v>
      </c>
      <c r="C121" s="168" t="s">
        <v>206</v>
      </c>
      <c r="D121" s="95"/>
      <c r="E121" s="55"/>
      <c r="F121" s="55">
        <v>1</v>
      </c>
      <c r="G121" s="55">
        <v>195.95</v>
      </c>
      <c r="H121" s="153">
        <f t="shared" si="44"/>
        <v>0.19594999999999999</v>
      </c>
      <c r="I121" s="39">
        <v>0</v>
      </c>
      <c r="J121" s="39">
        <v>0</v>
      </c>
      <c r="K121" s="39">
        <v>0</v>
      </c>
      <c r="L121" s="39">
        <f>G121</f>
        <v>195.95</v>
      </c>
      <c r="M121" s="39">
        <v>0</v>
      </c>
      <c r="N121" s="39">
        <v>0</v>
      </c>
      <c r="O121" s="39">
        <v>0</v>
      </c>
      <c r="P121" s="39">
        <v>0</v>
      </c>
      <c r="Q121" s="39">
        <v>0</v>
      </c>
      <c r="R121" s="39">
        <v>0</v>
      </c>
      <c r="S121" s="39">
        <v>0</v>
      </c>
      <c r="T121" s="39">
        <v>0</v>
      </c>
      <c r="U121" s="39">
        <f t="shared" si="47"/>
        <v>195.95</v>
      </c>
    </row>
    <row r="122" spans="1:21" ht="25.5">
      <c r="A122" s="170" t="s">
        <v>282</v>
      </c>
      <c r="B122" s="169" t="s">
        <v>208</v>
      </c>
      <c r="C122" s="168" t="s">
        <v>206</v>
      </c>
      <c r="D122" s="95"/>
      <c r="E122" s="55"/>
      <c r="F122" s="55">
        <v>3</v>
      </c>
      <c r="G122" s="55">
        <f>762.37+9.77+19.915</f>
        <v>792.05499999999995</v>
      </c>
      <c r="H122" s="153">
        <f t="shared" si="44"/>
        <v>2.3761649999999999</v>
      </c>
      <c r="I122" s="39">
        <v>0</v>
      </c>
      <c r="J122" s="39">
        <v>0</v>
      </c>
      <c r="K122" s="39">
        <v>0</v>
      </c>
      <c r="L122" s="39">
        <f>G122*2</f>
        <v>1584.11</v>
      </c>
      <c r="M122" s="39">
        <v>0</v>
      </c>
      <c r="N122" s="39">
        <v>0</v>
      </c>
      <c r="O122" s="39">
        <v>0</v>
      </c>
      <c r="P122" s="39">
        <f>G122</f>
        <v>792.05499999999995</v>
      </c>
      <c r="Q122" s="39">
        <v>0</v>
      </c>
      <c r="R122" s="39">
        <v>0</v>
      </c>
      <c r="S122" s="39">
        <v>0</v>
      </c>
      <c r="T122" s="39">
        <v>0</v>
      </c>
      <c r="U122" s="39">
        <f t="shared" si="47"/>
        <v>2376.165</v>
      </c>
    </row>
    <row r="123" spans="1:21" ht="12.75" customHeight="1">
      <c r="A123" s="171" t="s">
        <v>283</v>
      </c>
      <c r="B123" s="172" t="s">
        <v>210</v>
      </c>
      <c r="C123" s="104" t="s">
        <v>209</v>
      </c>
      <c r="D123" s="95"/>
      <c r="E123" s="55"/>
      <c r="F123" s="55">
        <v>0.1</v>
      </c>
      <c r="G123" s="55">
        <v>3699.27</v>
      </c>
      <c r="H123" s="153">
        <f t="shared" ref="H123:H129" si="48">G123*F123/1000</f>
        <v>0.36992700000000001</v>
      </c>
      <c r="I123" s="39">
        <v>0</v>
      </c>
      <c r="J123" s="39">
        <v>0</v>
      </c>
      <c r="K123" s="39">
        <v>0</v>
      </c>
      <c r="L123" s="39">
        <f>G123*F123</f>
        <v>369.92700000000002</v>
      </c>
      <c r="M123" s="39">
        <v>0</v>
      </c>
      <c r="N123" s="39">
        <v>0</v>
      </c>
      <c r="O123" s="39">
        <v>0</v>
      </c>
      <c r="P123" s="39">
        <v>0</v>
      </c>
      <c r="Q123" s="39">
        <v>0</v>
      </c>
      <c r="R123" s="39">
        <v>0</v>
      </c>
      <c r="S123" s="39">
        <v>0</v>
      </c>
      <c r="T123" s="39">
        <v>0</v>
      </c>
      <c r="U123" s="39">
        <f t="shared" si="47"/>
        <v>369.92700000000002</v>
      </c>
    </row>
    <row r="124" spans="1:21" ht="12.75" customHeight="1">
      <c r="A124" s="149" t="s">
        <v>284</v>
      </c>
      <c r="B124" s="25" t="s">
        <v>222</v>
      </c>
      <c r="C124" s="149" t="s">
        <v>221</v>
      </c>
      <c r="D124" s="95"/>
      <c r="E124" s="55"/>
      <c r="F124" s="55">
        <f>1/100</f>
        <v>0.01</v>
      </c>
      <c r="G124" s="55">
        <v>7033.13</v>
      </c>
      <c r="H124" s="153">
        <f t="shared" si="48"/>
        <v>7.0331299999999999E-2</v>
      </c>
      <c r="I124" s="39">
        <v>0</v>
      </c>
      <c r="J124" s="39">
        <v>0</v>
      </c>
      <c r="K124" s="39">
        <v>0</v>
      </c>
      <c r="L124" s="39">
        <v>0</v>
      </c>
      <c r="M124" s="39">
        <f>G124*0.01</f>
        <v>70.331299999999999</v>
      </c>
      <c r="N124" s="39">
        <v>0</v>
      </c>
      <c r="O124" s="39">
        <v>0</v>
      </c>
      <c r="P124" s="39">
        <v>0</v>
      </c>
      <c r="Q124" s="39">
        <v>0</v>
      </c>
      <c r="R124" s="39">
        <v>0</v>
      </c>
      <c r="S124" s="39">
        <v>0</v>
      </c>
      <c r="T124" s="39">
        <v>0</v>
      </c>
      <c r="U124" s="39">
        <f t="shared" si="47"/>
        <v>70.331299999999999</v>
      </c>
    </row>
    <row r="125" spans="1:21" ht="12.75" customHeight="1">
      <c r="A125" s="149" t="s">
        <v>192</v>
      </c>
      <c r="B125" s="25" t="s">
        <v>226</v>
      </c>
      <c r="C125" s="149" t="s">
        <v>224</v>
      </c>
      <c r="D125" s="95"/>
      <c r="E125" s="55"/>
      <c r="F125" s="55">
        <v>1</v>
      </c>
      <c r="G125" s="55">
        <v>18259</v>
      </c>
      <c r="H125" s="153">
        <f t="shared" si="48"/>
        <v>18.259</v>
      </c>
      <c r="I125" s="39">
        <v>0</v>
      </c>
      <c r="J125" s="39">
        <v>0</v>
      </c>
      <c r="K125" s="39">
        <v>0</v>
      </c>
      <c r="L125" s="39">
        <v>0</v>
      </c>
      <c r="M125" s="39">
        <f>G125</f>
        <v>18259</v>
      </c>
      <c r="N125" s="39">
        <v>0</v>
      </c>
      <c r="O125" s="39">
        <v>0</v>
      </c>
      <c r="P125" s="39">
        <v>0</v>
      </c>
      <c r="Q125" s="39">
        <v>0</v>
      </c>
      <c r="R125" s="39">
        <v>0</v>
      </c>
      <c r="S125" s="39">
        <v>0</v>
      </c>
      <c r="T125" s="39">
        <v>0</v>
      </c>
      <c r="U125" s="39">
        <f t="shared" si="47"/>
        <v>18259</v>
      </c>
    </row>
    <row r="126" spans="1:21" ht="12.75" customHeight="1">
      <c r="A126" s="149" t="s">
        <v>192</v>
      </c>
      <c r="B126" s="25" t="s">
        <v>223</v>
      </c>
      <c r="C126" s="149" t="s">
        <v>224</v>
      </c>
      <c r="D126" s="95"/>
      <c r="E126" s="55"/>
      <c r="F126" s="55">
        <v>1</v>
      </c>
      <c r="G126" s="55">
        <v>530</v>
      </c>
      <c r="H126" s="153">
        <f t="shared" si="48"/>
        <v>0.53</v>
      </c>
      <c r="I126" s="39">
        <v>0</v>
      </c>
      <c r="J126" s="39">
        <v>0</v>
      </c>
      <c r="K126" s="39">
        <v>0</v>
      </c>
      <c r="L126" s="39">
        <v>0</v>
      </c>
      <c r="M126" s="39">
        <f>G126</f>
        <v>530</v>
      </c>
      <c r="N126" s="39">
        <v>0</v>
      </c>
      <c r="O126" s="39">
        <v>0</v>
      </c>
      <c r="P126" s="39">
        <v>0</v>
      </c>
      <c r="Q126" s="39">
        <v>0</v>
      </c>
      <c r="R126" s="39">
        <v>0</v>
      </c>
      <c r="S126" s="39">
        <v>0</v>
      </c>
      <c r="T126" s="39">
        <v>0</v>
      </c>
      <c r="U126" s="39">
        <f t="shared" si="47"/>
        <v>530</v>
      </c>
    </row>
    <row r="127" spans="1:21" ht="38.25" customHeight="1">
      <c r="A127" s="168" t="s">
        <v>285</v>
      </c>
      <c r="B127" s="169" t="s">
        <v>227</v>
      </c>
      <c r="C127" s="168" t="s">
        <v>228</v>
      </c>
      <c r="D127" s="95"/>
      <c r="E127" s="55"/>
      <c r="F127" s="55">
        <v>2</v>
      </c>
      <c r="G127" s="55">
        <v>51.39</v>
      </c>
      <c r="H127" s="153">
        <f t="shared" si="48"/>
        <v>0.10278</v>
      </c>
      <c r="I127" s="39">
        <v>0</v>
      </c>
      <c r="J127" s="39">
        <v>0</v>
      </c>
      <c r="K127" s="39">
        <v>0</v>
      </c>
      <c r="L127" s="39">
        <v>0</v>
      </c>
      <c r="M127" s="39">
        <v>0</v>
      </c>
      <c r="N127" s="39">
        <v>0</v>
      </c>
      <c r="O127" s="39">
        <f>G127*2</f>
        <v>102.78</v>
      </c>
      <c r="P127" s="39">
        <v>0</v>
      </c>
      <c r="Q127" s="39">
        <v>0</v>
      </c>
      <c r="R127" s="39">
        <v>0</v>
      </c>
      <c r="S127" s="39">
        <v>0</v>
      </c>
      <c r="T127" s="39">
        <v>0</v>
      </c>
      <c r="U127" s="39">
        <f t="shared" si="47"/>
        <v>102.78</v>
      </c>
    </row>
    <row r="128" spans="1:21" ht="38.25" customHeight="1">
      <c r="A128" s="168" t="s">
        <v>286</v>
      </c>
      <c r="B128" s="169" t="s">
        <v>233</v>
      </c>
      <c r="C128" s="168" t="s">
        <v>193</v>
      </c>
      <c r="D128" s="95"/>
      <c r="E128" s="55"/>
      <c r="F128" s="55">
        <v>1</v>
      </c>
      <c r="G128" s="55">
        <v>629.01</v>
      </c>
      <c r="H128" s="153">
        <f t="shared" si="48"/>
        <v>0.62900999999999996</v>
      </c>
      <c r="I128" s="39">
        <v>0</v>
      </c>
      <c r="J128" s="39">
        <v>0</v>
      </c>
      <c r="K128" s="39">
        <v>0</v>
      </c>
      <c r="L128" s="39">
        <v>0</v>
      </c>
      <c r="M128" s="39">
        <v>0</v>
      </c>
      <c r="N128" s="39">
        <v>0</v>
      </c>
      <c r="O128" s="39">
        <f>G128</f>
        <v>629.01</v>
      </c>
      <c r="P128" s="39">
        <v>0</v>
      </c>
      <c r="Q128" s="39">
        <v>0</v>
      </c>
      <c r="R128" s="39">
        <v>0</v>
      </c>
      <c r="S128" s="39">
        <v>0</v>
      </c>
      <c r="T128" s="39">
        <v>0</v>
      </c>
      <c r="U128" s="39">
        <f t="shared" si="47"/>
        <v>629.01</v>
      </c>
    </row>
    <row r="129" spans="1:21" ht="12.75" customHeight="1">
      <c r="A129" s="184" t="s">
        <v>287</v>
      </c>
      <c r="B129" s="185" t="s">
        <v>229</v>
      </c>
      <c r="C129" s="184" t="s">
        <v>230</v>
      </c>
      <c r="D129" s="95"/>
      <c r="E129" s="55"/>
      <c r="F129" s="55">
        <f>25/3</f>
        <v>8.3333333333333339</v>
      </c>
      <c r="G129" s="55">
        <v>1063.47</v>
      </c>
      <c r="H129" s="153">
        <f t="shared" si="48"/>
        <v>8.8622499999999995</v>
      </c>
      <c r="I129" s="39">
        <v>0</v>
      </c>
      <c r="J129" s="39">
        <v>0</v>
      </c>
      <c r="K129" s="39">
        <v>0</v>
      </c>
      <c r="L129" s="39">
        <v>0</v>
      </c>
      <c r="M129" s="39">
        <v>0</v>
      </c>
      <c r="N129" s="39">
        <v>0</v>
      </c>
      <c r="O129" s="39">
        <f>G129*(19/3)</f>
        <v>6735.3099999999995</v>
      </c>
      <c r="P129" s="39">
        <v>0</v>
      </c>
      <c r="Q129" s="39">
        <v>0</v>
      </c>
      <c r="R129" s="39">
        <v>0</v>
      </c>
      <c r="S129" s="39">
        <v>0</v>
      </c>
      <c r="T129" s="39">
        <f>G129*((3)/3)</f>
        <v>1063.47</v>
      </c>
      <c r="U129" s="39">
        <f t="shared" si="47"/>
        <v>7798.78</v>
      </c>
    </row>
    <row r="130" spans="1:21" ht="25.5" customHeight="1">
      <c r="A130" s="168" t="s">
        <v>192</v>
      </c>
      <c r="B130" s="22" t="s">
        <v>290</v>
      </c>
      <c r="C130" s="168" t="s">
        <v>193</v>
      </c>
      <c r="D130" s="165"/>
      <c r="E130" s="55"/>
      <c r="F130" s="55">
        <v>1</v>
      </c>
      <c r="G130" s="55">
        <f>1187</f>
        <v>1187</v>
      </c>
      <c r="H130" s="153">
        <f t="shared" ref="H130:H136" si="49">G130*F130/1000</f>
        <v>1.1870000000000001</v>
      </c>
      <c r="I130" s="39">
        <v>0</v>
      </c>
      <c r="J130" s="39">
        <v>0</v>
      </c>
      <c r="K130" s="39">
        <v>0</v>
      </c>
      <c r="L130" s="39">
        <v>0</v>
      </c>
      <c r="M130" s="39">
        <v>0</v>
      </c>
      <c r="N130" s="39">
        <v>0</v>
      </c>
      <c r="O130" s="39">
        <f>G130</f>
        <v>1187</v>
      </c>
      <c r="P130" s="39">
        <v>0</v>
      </c>
      <c r="Q130" s="39">
        <v>0</v>
      </c>
      <c r="R130" s="39">
        <v>0</v>
      </c>
      <c r="S130" s="39">
        <v>0</v>
      </c>
      <c r="T130" s="39">
        <v>0</v>
      </c>
      <c r="U130" s="39">
        <f t="shared" si="47"/>
        <v>1187</v>
      </c>
    </row>
    <row r="131" spans="1:21" ht="51" customHeight="1">
      <c r="A131" s="149" t="s">
        <v>288</v>
      </c>
      <c r="B131" s="25" t="s">
        <v>231</v>
      </c>
      <c r="C131" s="149" t="s">
        <v>232</v>
      </c>
      <c r="D131" s="165"/>
      <c r="E131" s="55"/>
      <c r="F131" s="55">
        <f>20/10</f>
        <v>2</v>
      </c>
      <c r="G131" s="55">
        <v>3875.44</v>
      </c>
      <c r="H131" s="153">
        <f t="shared" si="49"/>
        <v>7.7508800000000004</v>
      </c>
      <c r="I131" s="39">
        <v>0</v>
      </c>
      <c r="J131" s="39">
        <v>0</v>
      </c>
      <c r="K131" s="39">
        <v>0</v>
      </c>
      <c r="L131" s="39">
        <v>0</v>
      </c>
      <c r="M131" s="39">
        <v>0</v>
      </c>
      <c r="N131" s="39">
        <v>0</v>
      </c>
      <c r="O131" s="39">
        <f>G131*2</f>
        <v>7750.88</v>
      </c>
      <c r="P131" s="39">
        <v>0</v>
      </c>
      <c r="Q131" s="39">
        <v>0</v>
      </c>
      <c r="R131" s="39">
        <v>0</v>
      </c>
      <c r="S131" s="39">
        <v>0</v>
      </c>
      <c r="T131" s="39">
        <v>0</v>
      </c>
      <c r="U131" s="39">
        <f t="shared" si="47"/>
        <v>7750.88</v>
      </c>
    </row>
    <row r="132" spans="1:21" ht="25.5" customHeight="1">
      <c r="A132" s="187" t="s">
        <v>192</v>
      </c>
      <c r="B132" s="22" t="s">
        <v>291</v>
      </c>
      <c r="C132" s="166" t="s">
        <v>193</v>
      </c>
      <c r="D132" s="165"/>
      <c r="E132" s="55"/>
      <c r="F132" s="55">
        <v>0.5</v>
      </c>
      <c r="G132" s="55">
        <v>2121</v>
      </c>
      <c r="H132" s="153">
        <f t="shared" si="49"/>
        <v>1.0605</v>
      </c>
      <c r="I132" s="39">
        <v>0</v>
      </c>
      <c r="J132" s="39">
        <v>0</v>
      </c>
      <c r="K132" s="39">
        <v>0</v>
      </c>
      <c r="L132" s="39">
        <v>0</v>
      </c>
      <c r="M132" s="39">
        <v>0</v>
      </c>
      <c r="N132" s="39">
        <v>0</v>
      </c>
      <c r="O132" s="39">
        <v>0</v>
      </c>
      <c r="P132" s="39">
        <f>G132*0.5</f>
        <v>1060.5</v>
      </c>
      <c r="Q132" s="39">
        <v>0</v>
      </c>
      <c r="R132" s="39">
        <v>0</v>
      </c>
      <c r="S132" s="39">
        <v>0</v>
      </c>
      <c r="T132" s="39">
        <v>0</v>
      </c>
      <c r="U132" s="39">
        <f t="shared" si="47"/>
        <v>1060.5</v>
      </c>
    </row>
    <row r="133" spans="1:21" ht="25.5" customHeight="1">
      <c r="A133" s="168" t="s">
        <v>258</v>
      </c>
      <c r="B133" s="169" t="s">
        <v>292</v>
      </c>
      <c r="C133" s="168" t="s">
        <v>82</v>
      </c>
      <c r="D133" s="165"/>
      <c r="E133" s="55"/>
      <c r="F133" s="55">
        <f>2/100</f>
        <v>0.02</v>
      </c>
      <c r="G133" s="55">
        <v>3397.65</v>
      </c>
      <c r="H133" s="153">
        <f t="shared" si="49"/>
        <v>6.7953E-2</v>
      </c>
      <c r="I133" s="39">
        <v>0</v>
      </c>
      <c r="J133" s="39">
        <v>0</v>
      </c>
      <c r="K133" s="39">
        <v>0</v>
      </c>
      <c r="L133" s="39">
        <v>0</v>
      </c>
      <c r="M133" s="39">
        <v>0</v>
      </c>
      <c r="N133" s="39">
        <v>0</v>
      </c>
      <c r="O133" s="39">
        <v>0</v>
      </c>
      <c r="P133" s="39">
        <v>0</v>
      </c>
      <c r="Q133" s="39">
        <f>G133*0.01</f>
        <v>33.976500000000001</v>
      </c>
      <c r="R133" s="39">
        <f>G133*0.01</f>
        <v>33.976500000000001</v>
      </c>
      <c r="S133" s="39">
        <v>0</v>
      </c>
      <c r="T133" s="39">
        <v>0</v>
      </c>
      <c r="U133" s="39">
        <f t="shared" si="47"/>
        <v>67.953000000000003</v>
      </c>
    </row>
    <row r="134" spans="1:21" ht="12.75" customHeight="1">
      <c r="A134" s="171" t="s">
        <v>283</v>
      </c>
      <c r="B134" s="172" t="s">
        <v>301</v>
      </c>
      <c r="C134" s="104" t="s">
        <v>209</v>
      </c>
      <c r="D134" s="165"/>
      <c r="E134" s="55"/>
      <c r="F134" s="55">
        <f>1/10</f>
        <v>0.1</v>
      </c>
      <c r="G134" s="55">
        <v>3799.67</v>
      </c>
      <c r="H134" s="153">
        <f t="shared" si="49"/>
        <v>0.37996700000000005</v>
      </c>
      <c r="I134" s="39">
        <v>0</v>
      </c>
      <c r="J134" s="39">
        <v>0</v>
      </c>
      <c r="K134" s="39">
        <v>0</v>
      </c>
      <c r="L134" s="39">
        <v>0</v>
      </c>
      <c r="M134" s="39">
        <v>0</v>
      </c>
      <c r="N134" s="39">
        <v>0</v>
      </c>
      <c r="O134" s="39">
        <v>0</v>
      </c>
      <c r="P134" s="39">
        <v>0</v>
      </c>
      <c r="Q134" s="39">
        <f>G134*F134</f>
        <v>379.96700000000004</v>
      </c>
      <c r="R134" s="39">
        <v>0</v>
      </c>
      <c r="S134" s="39">
        <v>0</v>
      </c>
      <c r="T134" s="39">
        <v>0</v>
      </c>
      <c r="U134" s="39">
        <f t="shared" si="47"/>
        <v>379.96700000000004</v>
      </c>
    </row>
    <row r="135" spans="1:21" ht="12.75" customHeight="1">
      <c r="A135" s="171" t="s">
        <v>294</v>
      </c>
      <c r="B135" s="188" t="s">
        <v>293</v>
      </c>
      <c r="C135" s="167" t="s">
        <v>85</v>
      </c>
      <c r="D135" s="165"/>
      <c r="E135" s="55"/>
      <c r="F135" s="55">
        <v>1</v>
      </c>
      <c r="G135" s="55">
        <v>295.58999999999997</v>
      </c>
      <c r="H135" s="153">
        <f t="shared" si="49"/>
        <v>0.29558999999999996</v>
      </c>
      <c r="I135" s="39">
        <v>0</v>
      </c>
      <c r="J135" s="39">
        <v>0</v>
      </c>
      <c r="K135" s="39">
        <v>0</v>
      </c>
      <c r="L135" s="39">
        <v>0</v>
      </c>
      <c r="M135" s="39">
        <v>0</v>
      </c>
      <c r="N135" s="39">
        <v>0</v>
      </c>
      <c r="O135" s="39">
        <v>0</v>
      </c>
      <c r="P135" s="39">
        <v>0</v>
      </c>
      <c r="Q135" s="39">
        <v>0</v>
      </c>
      <c r="R135" s="39">
        <f>G135</f>
        <v>295.58999999999997</v>
      </c>
      <c r="S135" s="39">
        <v>0</v>
      </c>
      <c r="T135" s="39">
        <v>0</v>
      </c>
      <c r="U135" s="39">
        <f t="shared" si="47"/>
        <v>295.58999999999997</v>
      </c>
    </row>
    <row r="136" spans="1:21" ht="25.5" customHeight="1">
      <c r="A136" s="149" t="s">
        <v>296</v>
      </c>
      <c r="B136" s="25" t="s">
        <v>297</v>
      </c>
      <c r="C136" s="149" t="s">
        <v>295</v>
      </c>
      <c r="D136" s="165"/>
      <c r="E136" s="55"/>
      <c r="F136" s="55">
        <f>2/100</f>
        <v>0.02</v>
      </c>
      <c r="G136" s="55">
        <v>78342.67</v>
      </c>
      <c r="H136" s="153">
        <f t="shared" si="49"/>
        <v>1.5668534000000001</v>
      </c>
      <c r="I136" s="39">
        <v>0</v>
      </c>
      <c r="J136" s="39">
        <v>0</v>
      </c>
      <c r="K136" s="39">
        <v>0</v>
      </c>
      <c r="L136" s="39">
        <v>0</v>
      </c>
      <c r="M136" s="39">
        <v>0</v>
      </c>
      <c r="N136" s="39">
        <v>0</v>
      </c>
      <c r="O136" s="39">
        <v>0</v>
      </c>
      <c r="P136" s="39">
        <v>0</v>
      </c>
      <c r="Q136" s="39">
        <v>0</v>
      </c>
      <c r="R136" s="39">
        <v>0</v>
      </c>
      <c r="S136" s="39">
        <f>G136*F136</f>
        <v>1566.8534</v>
      </c>
      <c r="T136" s="39">
        <v>0</v>
      </c>
      <c r="U136" s="39">
        <f t="shared" si="47"/>
        <v>1566.8534</v>
      </c>
    </row>
    <row r="137" spans="1:21" ht="25.5" customHeight="1">
      <c r="A137" s="171" t="s">
        <v>299</v>
      </c>
      <c r="B137" s="25" t="s">
        <v>300</v>
      </c>
      <c r="C137" s="149" t="s">
        <v>298</v>
      </c>
      <c r="D137" s="165"/>
      <c r="E137" s="55"/>
      <c r="F137" s="55">
        <f>25/10</f>
        <v>2.5</v>
      </c>
      <c r="G137" s="55">
        <v>115.76</v>
      </c>
      <c r="H137" s="153">
        <f t="shared" ref="H137:H141" si="50">G137*F137/1000</f>
        <v>0.28940000000000005</v>
      </c>
      <c r="I137" s="39">
        <v>0</v>
      </c>
      <c r="J137" s="39">
        <v>0</v>
      </c>
      <c r="K137" s="39">
        <v>0</v>
      </c>
      <c r="L137" s="39">
        <v>0</v>
      </c>
      <c r="M137" s="39">
        <v>0</v>
      </c>
      <c r="N137" s="39">
        <v>0</v>
      </c>
      <c r="O137" s="39">
        <v>0</v>
      </c>
      <c r="P137" s="39">
        <v>0</v>
      </c>
      <c r="Q137" s="39">
        <v>0</v>
      </c>
      <c r="R137" s="39">
        <v>0</v>
      </c>
      <c r="S137" s="39">
        <f>G137*F137</f>
        <v>289.40000000000003</v>
      </c>
      <c r="T137" s="39">
        <v>0</v>
      </c>
      <c r="U137" s="39">
        <f t="shared" ref="U137:U143" si="51">SUM(I137:T137)</f>
        <v>289.40000000000003</v>
      </c>
    </row>
    <row r="138" spans="1:21" ht="25.5" customHeight="1">
      <c r="A138" s="168" t="s">
        <v>302</v>
      </c>
      <c r="B138" s="169" t="s">
        <v>303</v>
      </c>
      <c r="C138" s="168" t="s">
        <v>206</v>
      </c>
      <c r="D138" s="165"/>
      <c r="E138" s="55"/>
      <c r="F138" s="55">
        <v>1</v>
      </c>
      <c r="G138" s="55">
        <v>408.22</v>
      </c>
      <c r="H138" s="153">
        <f t="shared" si="50"/>
        <v>0.40822000000000003</v>
      </c>
      <c r="I138" s="39">
        <v>0</v>
      </c>
      <c r="J138" s="39">
        <v>0</v>
      </c>
      <c r="K138" s="39">
        <v>0</v>
      </c>
      <c r="L138" s="39">
        <v>0</v>
      </c>
      <c r="M138" s="39">
        <v>0</v>
      </c>
      <c r="N138" s="39">
        <v>0</v>
      </c>
      <c r="O138" s="39">
        <v>0</v>
      </c>
      <c r="P138" s="39">
        <v>0</v>
      </c>
      <c r="Q138" s="39">
        <v>0</v>
      </c>
      <c r="R138" s="39">
        <v>0</v>
      </c>
      <c r="S138" s="39">
        <v>0</v>
      </c>
      <c r="T138" s="39">
        <f>G138</f>
        <v>408.22</v>
      </c>
      <c r="U138" s="39">
        <f t="shared" si="51"/>
        <v>408.22</v>
      </c>
    </row>
    <row r="139" spans="1:21" ht="25.5" customHeight="1">
      <c r="A139" s="149" t="s">
        <v>308</v>
      </c>
      <c r="B139" s="25" t="s">
        <v>309</v>
      </c>
      <c r="C139" s="149" t="s">
        <v>193</v>
      </c>
      <c r="D139" s="165"/>
      <c r="E139" s="55"/>
      <c r="F139" s="55">
        <v>1</v>
      </c>
      <c r="G139" s="55">
        <v>691.86</v>
      </c>
      <c r="H139" s="153">
        <f t="shared" si="50"/>
        <v>0.69186000000000003</v>
      </c>
      <c r="I139" s="39">
        <v>0</v>
      </c>
      <c r="J139" s="39">
        <v>0</v>
      </c>
      <c r="K139" s="39">
        <v>0</v>
      </c>
      <c r="L139" s="39">
        <v>0</v>
      </c>
      <c r="M139" s="39">
        <v>0</v>
      </c>
      <c r="N139" s="39">
        <v>0</v>
      </c>
      <c r="O139" s="39">
        <v>0</v>
      </c>
      <c r="P139" s="39">
        <v>0</v>
      </c>
      <c r="Q139" s="39">
        <v>0</v>
      </c>
      <c r="R139" s="39">
        <v>0</v>
      </c>
      <c r="S139" s="39">
        <v>0</v>
      </c>
      <c r="T139" s="39">
        <f>G139</f>
        <v>691.86</v>
      </c>
      <c r="U139" s="39">
        <f t="shared" si="51"/>
        <v>691.86</v>
      </c>
    </row>
    <row r="140" spans="1:21" ht="12.75" customHeight="1">
      <c r="A140" s="149" t="s">
        <v>310</v>
      </c>
      <c r="B140" s="25" t="s">
        <v>311</v>
      </c>
      <c r="C140" s="149" t="s">
        <v>85</v>
      </c>
      <c r="D140" s="95"/>
      <c r="E140" s="55"/>
      <c r="F140" s="55">
        <v>1</v>
      </c>
      <c r="G140" s="55">
        <v>62</v>
      </c>
      <c r="H140" s="153">
        <f t="shared" si="50"/>
        <v>6.2E-2</v>
      </c>
      <c r="I140" s="39">
        <v>0</v>
      </c>
      <c r="J140" s="39">
        <v>0</v>
      </c>
      <c r="K140" s="39">
        <v>0</v>
      </c>
      <c r="L140" s="39">
        <v>0</v>
      </c>
      <c r="M140" s="39">
        <v>0</v>
      </c>
      <c r="N140" s="39">
        <v>0</v>
      </c>
      <c r="O140" s="39">
        <v>0</v>
      </c>
      <c r="P140" s="39">
        <v>0</v>
      </c>
      <c r="Q140" s="39">
        <v>0</v>
      </c>
      <c r="R140" s="39">
        <v>0</v>
      </c>
      <c r="S140" s="39">
        <v>0</v>
      </c>
      <c r="T140" s="39">
        <f>G140</f>
        <v>62</v>
      </c>
      <c r="U140" s="39">
        <f t="shared" si="51"/>
        <v>62</v>
      </c>
    </row>
    <row r="141" spans="1:21" ht="12.75" customHeight="1">
      <c r="A141" s="149" t="s">
        <v>310</v>
      </c>
      <c r="B141" s="25" t="s">
        <v>312</v>
      </c>
      <c r="C141" s="149" t="s">
        <v>85</v>
      </c>
      <c r="D141" s="165"/>
      <c r="E141" s="55"/>
      <c r="F141" s="55">
        <v>1</v>
      </c>
      <c r="G141" s="55">
        <v>45</v>
      </c>
      <c r="H141" s="153">
        <f t="shared" si="50"/>
        <v>4.4999999999999998E-2</v>
      </c>
      <c r="I141" s="39">
        <v>0</v>
      </c>
      <c r="J141" s="39">
        <v>0</v>
      </c>
      <c r="K141" s="39">
        <v>0</v>
      </c>
      <c r="L141" s="39">
        <v>0</v>
      </c>
      <c r="M141" s="39">
        <v>0</v>
      </c>
      <c r="N141" s="39">
        <v>0</v>
      </c>
      <c r="O141" s="39">
        <v>0</v>
      </c>
      <c r="P141" s="39">
        <v>0</v>
      </c>
      <c r="Q141" s="39">
        <v>0</v>
      </c>
      <c r="R141" s="39">
        <v>0</v>
      </c>
      <c r="S141" s="39">
        <v>0</v>
      </c>
      <c r="T141" s="39">
        <f t="shared" ref="T141:T143" si="52">G141</f>
        <v>45</v>
      </c>
      <c r="U141" s="39">
        <f t="shared" si="51"/>
        <v>45</v>
      </c>
    </row>
    <row r="142" spans="1:21" ht="12.75" customHeight="1">
      <c r="A142" s="149" t="s">
        <v>310</v>
      </c>
      <c r="B142" s="25" t="s">
        <v>313</v>
      </c>
      <c r="C142" s="149" t="s">
        <v>85</v>
      </c>
      <c r="D142" s="95"/>
      <c r="E142" s="55"/>
      <c r="F142" s="55">
        <v>1</v>
      </c>
      <c r="G142" s="55">
        <v>46</v>
      </c>
      <c r="H142" s="153">
        <f>G142*F142/1000</f>
        <v>4.5999999999999999E-2</v>
      </c>
      <c r="I142" s="39">
        <v>0</v>
      </c>
      <c r="J142" s="39">
        <v>0</v>
      </c>
      <c r="K142" s="39">
        <v>0</v>
      </c>
      <c r="L142" s="39">
        <v>0</v>
      </c>
      <c r="M142" s="39">
        <v>0</v>
      </c>
      <c r="N142" s="39">
        <v>0</v>
      </c>
      <c r="O142" s="39">
        <v>0</v>
      </c>
      <c r="P142" s="39">
        <v>0</v>
      </c>
      <c r="Q142" s="39">
        <v>0</v>
      </c>
      <c r="R142" s="39">
        <v>0</v>
      </c>
      <c r="S142" s="39">
        <v>0</v>
      </c>
      <c r="T142" s="39">
        <f t="shared" si="52"/>
        <v>46</v>
      </c>
      <c r="U142" s="39">
        <f t="shared" si="51"/>
        <v>46</v>
      </c>
    </row>
    <row r="143" spans="1:21" ht="12.75" customHeight="1">
      <c r="A143" s="149" t="s">
        <v>310</v>
      </c>
      <c r="B143" s="25" t="s">
        <v>314</v>
      </c>
      <c r="C143" s="149" t="s">
        <v>85</v>
      </c>
      <c r="D143" s="95"/>
      <c r="E143" s="55"/>
      <c r="F143" s="55">
        <v>1</v>
      </c>
      <c r="G143" s="55">
        <v>30</v>
      </c>
      <c r="H143" s="153">
        <f t="shared" ref="H143" si="53">G143*F143/1000</f>
        <v>0.03</v>
      </c>
      <c r="I143" s="39">
        <v>0</v>
      </c>
      <c r="J143" s="39">
        <v>0</v>
      </c>
      <c r="K143" s="39">
        <v>0</v>
      </c>
      <c r="L143" s="39">
        <v>0</v>
      </c>
      <c r="M143" s="39">
        <v>0</v>
      </c>
      <c r="N143" s="39">
        <v>0</v>
      </c>
      <c r="O143" s="39">
        <v>0</v>
      </c>
      <c r="P143" s="39">
        <v>0</v>
      </c>
      <c r="Q143" s="39">
        <v>0</v>
      </c>
      <c r="R143" s="39">
        <v>0</v>
      </c>
      <c r="S143" s="39">
        <v>0</v>
      </c>
      <c r="T143" s="39">
        <f t="shared" si="52"/>
        <v>30</v>
      </c>
      <c r="U143" s="39">
        <f t="shared" si="51"/>
        <v>30</v>
      </c>
    </row>
    <row r="144" spans="1:21" s="19" customFormat="1">
      <c r="A144" s="105"/>
      <c r="B144" s="106" t="s">
        <v>146</v>
      </c>
      <c r="C144" s="105"/>
      <c r="D144" s="105"/>
      <c r="E144" s="100"/>
      <c r="F144" s="100"/>
      <c r="G144" s="100"/>
      <c r="H144" s="47">
        <f>SUM(H107:H139)</f>
        <v>144.96499269999998</v>
      </c>
      <c r="I144" s="100"/>
      <c r="J144" s="100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46">
        <f>SUM(U107:U143)</f>
        <v>144084.5227</v>
      </c>
    </row>
    <row r="145" spans="1:21">
      <c r="A145" s="107"/>
      <c r="B145" s="108"/>
      <c r="C145" s="107"/>
      <c r="D145" s="107"/>
      <c r="E145" s="55"/>
      <c r="F145" s="55"/>
      <c r="G145" s="55"/>
      <c r="H145" s="10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158"/>
    </row>
    <row r="146" spans="1:21" ht="12" customHeight="1">
      <c r="A146" s="94"/>
      <c r="B146" s="18" t="s">
        <v>147</v>
      </c>
      <c r="C146" s="71"/>
      <c r="D146" s="95"/>
      <c r="E146" s="55"/>
      <c r="F146" s="55"/>
      <c r="G146" s="55"/>
      <c r="H146" s="110">
        <f>H144/E147/12*1000</f>
        <v>6.5941135689592425</v>
      </c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158"/>
    </row>
    <row r="147" spans="1:21" s="19" customFormat="1">
      <c r="A147" s="111"/>
      <c r="B147" s="112" t="s">
        <v>148</v>
      </c>
      <c r="C147" s="113"/>
      <c r="D147" s="112"/>
      <c r="E147" s="183">
        <v>1832</v>
      </c>
      <c r="F147" s="114">
        <f>SUM(E147*12)</f>
        <v>21984</v>
      </c>
      <c r="G147" s="115">
        <f>H104+H146</f>
        <v>169.25543105741781</v>
      </c>
      <c r="H147" s="116">
        <f>SUM(F147*G147/1000)</f>
        <v>3720.911396366273</v>
      </c>
      <c r="I147" s="100">
        <f t="shared" ref="I147:R147" si="54">SUM(I11:I146)</f>
        <v>97703.587471333303</v>
      </c>
      <c r="J147" s="100">
        <f t="shared" si="54"/>
        <v>93491.887471333306</v>
      </c>
      <c r="K147" s="100">
        <f t="shared" si="54"/>
        <v>86445.1868413333</v>
      </c>
      <c r="L147" s="100">
        <f t="shared" si="54"/>
        <v>106687.9127713333</v>
      </c>
      <c r="M147" s="100">
        <f t="shared" si="54"/>
        <v>207147.12014735551</v>
      </c>
      <c r="N147" s="100">
        <f t="shared" si="54"/>
        <v>64063.664017555544</v>
      </c>
      <c r="O147" s="100">
        <f t="shared" si="54"/>
        <v>89041.670017555531</v>
      </c>
      <c r="P147" s="100">
        <f t="shared" si="54"/>
        <v>76191.57901755553</v>
      </c>
      <c r="Q147" s="100">
        <f t="shared" si="54"/>
        <v>72144.100963355551</v>
      </c>
      <c r="R147" s="100">
        <f t="shared" si="54"/>
        <v>66214.499447555543</v>
      </c>
      <c r="S147" s="100">
        <f>SUM(S11:S146)</f>
        <v>91784.170241333311</v>
      </c>
      <c r="T147" s="100">
        <f>SUM(T11:T146)</f>
        <v>87012.367471333302</v>
      </c>
      <c r="U147" s="46">
        <f>U101+U144</f>
        <v>1231349.0088577531</v>
      </c>
    </row>
    <row r="148" spans="1:21" hidden="1">
      <c r="A148" s="117"/>
      <c r="B148" s="118"/>
      <c r="C148" s="118"/>
      <c r="D148" s="118"/>
      <c r="E148" s="119"/>
      <c r="F148" s="120"/>
      <c r="G148" s="121"/>
      <c r="H148" s="121"/>
      <c r="I148" s="122"/>
      <c r="J148" s="122"/>
      <c r="K148" s="122"/>
      <c r="L148" s="122"/>
      <c r="M148" s="122"/>
      <c r="N148" s="123"/>
      <c r="O148" s="123"/>
      <c r="P148" s="123"/>
      <c r="Q148" s="123"/>
      <c r="R148" s="123"/>
      <c r="S148" s="123"/>
      <c r="T148" s="123"/>
      <c r="U148" s="123"/>
    </row>
    <row r="149" spans="1:21" hidden="1">
      <c r="A149" s="124"/>
      <c r="B149" s="125"/>
      <c r="C149" s="126"/>
      <c r="D149" s="127"/>
      <c r="E149" s="128"/>
      <c r="F149" s="129"/>
      <c r="G149" s="129"/>
      <c r="H149" s="130"/>
      <c r="I149" s="122"/>
      <c r="J149" s="122"/>
      <c r="K149" s="122"/>
      <c r="L149" s="122"/>
      <c r="M149" s="122"/>
      <c r="N149" s="123"/>
      <c r="O149" s="123"/>
      <c r="P149" s="123"/>
      <c r="Q149" s="123"/>
      <c r="R149" s="123"/>
      <c r="S149" s="123"/>
      <c r="T149" s="123"/>
      <c r="U149" s="123"/>
    </row>
    <row r="150" spans="1:21" hidden="1">
      <c r="A150" s="124"/>
      <c r="B150" s="131" t="s">
        <v>149</v>
      </c>
      <c r="C150" s="131" t="s">
        <v>85</v>
      </c>
      <c r="D150" s="131" t="s">
        <v>150</v>
      </c>
      <c r="E150" s="132">
        <v>64</v>
      </c>
      <c r="F150" s="132">
        <v>64</v>
      </c>
      <c r="G150" s="133">
        <v>11.41</v>
      </c>
      <c r="H150" s="133">
        <f>G150*12*F150/1000</f>
        <v>8.7628800000000009</v>
      </c>
      <c r="I150" s="122"/>
      <c r="J150" s="122"/>
      <c r="K150" s="122"/>
      <c r="L150" s="122"/>
      <c r="M150" s="122"/>
      <c r="N150" s="123"/>
      <c r="O150" s="123"/>
      <c r="P150" s="123"/>
      <c r="Q150" s="123"/>
      <c r="R150" s="123"/>
      <c r="S150" s="123"/>
      <c r="T150" s="123"/>
      <c r="U150" s="123"/>
    </row>
    <row r="151" spans="1:21" hidden="1">
      <c r="A151" s="124"/>
      <c r="B151" s="131" t="s">
        <v>149</v>
      </c>
      <c r="C151" s="131" t="s">
        <v>85</v>
      </c>
      <c r="D151" s="131" t="s">
        <v>151</v>
      </c>
      <c r="E151" s="132">
        <v>64</v>
      </c>
      <c r="F151" s="132">
        <v>64</v>
      </c>
      <c r="G151" s="133">
        <v>18.98</v>
      </c>
      <c r="H151" s="133">
        <f>G151*12*F151/1000</f>
        <v>14.576639999999999</v>
      </c>
      <c r="I151" s="122"/>
      <c r="J151" s="122"/>
      <c r="K151" s="122"/>
      <c r="L151" s="122"/>
      <c r="M151" s="122"/>
      <c r="N151" s="123"/>
      <c r="O151" s="123"/>
      <c r="P151" s="123"/>
      <c r="Q151" s="123"/>
      <c r="R151" s="123"/>
      <c r="S151" s="123"/>
      <c r="T151" s="123"/>
      <c r="U151" s="123"/>
    </row>
    <row r="152" spans="1:21" hidden="1">
      <c r="A152" s="124"/>
      <c r="B152" s="134"/>
      <c r="C152" s="135"/>
      <c r="D152" s="136"/>
      <c r="E152" s="137"/>
      <c r="F152" s="138"/>
      <c r="G152" s="139"/>
      <c r="H152" s="140"/>
      <c r="I152" s="122"/>
      <c r="J152" s="122"/>
      <c r="K152" s="122"/>
      <c r="L152" s="122"/>
      <c r="M152" s="122"/>
      <c r="N152" s="123"/>
      <c r="O152" s="123"/>
      <c r="P152" s="123"/>
      <c r="Q152" s="123"/>
      <c r="R152" s="123"/>
      <c r="S152" s="123"/>
      <c r="T152" s="123"/>
      <c r="U152" s="123"/>
    </row>
    <row r="153" spans="1:21" hidden="1">
      <c r="A153" s="124"/>
      <c r="B153" s="134"/>
      <c r="C153" s="135"/>
      <c r="D153" s="136"/>
      <c r="E153" s="137"/>
      <c r="F153" s="138"/>
      <c r="G153" s="139"/>
      <c r="H153" s="140"/>
      <c r="I153" s="122"/>
      <c r="J153" s="122"/>
      <c r="K153" s="122"/>
      <c r="L153" s="122"/>
      <c r="M153" s="122"/>
      <c r="N153" s="123"/>
      <c r="O153" s="123"/>
      <c r="P153" s="123"/>
      <c r="Q153" s="123"/>
      <c r="R153" s="123"/>
      <c r="S153" s="123"/>
      <c r="T153" s="123"/>
      <c r="U153" s="123"/>
    </row>
    <row r="154" spans="1:21" hidden="1">
      <c r="A154" s="124"/>
      <c r="B154" s="134"/>
      <c r="C154" s="135"/>
      <c r="D154" s="136"/>
      <c r="E154" s="137"/>
      <c r="F154" s="138"/>
      <c r="G154" s="139"/>
      <c r="H154" s="140"/>
      <c r="I154" s="122"/>
      <c r="J154" s="122"/>
      <c r="K154" s="122"/>
      <c r="L154" s="122"/>
      <c r="M154" s="122"/>
      <c r="N154" s="123"/>
      <c r="O154" s="123"/>
      <c r="P154" s="123"/>
      <c r="Q154" s="123"/>
      <c r="R154" s="123"/>
      <c r="S154" s="123"/>
      <c r="T154" s="123"/>
      <c r="U154" s="123"/>
    </row>
    <row r="155" spans="1:21">
      <c r="A155" s="123"/>
      <c r="B155" s="123"/>
      <c r="C155" s="123"/>
      <c r="D155" s="123"/>
      <c r="E155" s="122"/>
      <c r="F155" s="122"/>
      <c r="G155" s="122"/>
      <c r="H155" s="122"/>
      <c r="I155" s="122"/>
      <c r="J155" s="122"/>
      <c r="K155" s="122"/>
      <c r="L155" s="122"/>
      <c r="M155" s="123"/>
      <c r="N155" s="122"/>
      <c r="O155" s="123"/>
      <c r="P155" s="123"/>
      <c r="Q155" s="123"/>
      <c r="R155" s="123"/>
      <c r="S155" s="123"/>
      <c r="T155" s="123"/>
      <c r="U155" s="123"/>
    </row>
    <row r="156" spans="1:21">
      <c r="A156" s="123"/>
      <c r="B156" s="123"/>
      <c r="C156" s="123"/>
      <c r="D156" s="123"/>
      <c r="E156" s="122"/>
      <c r="F156" s="122"/>
      <c r="G156" s="122"/>
      <c r="H156" s="122"/>
      <c r="I156" s="122"/>
      <c r="J156" s="141"/>
      <c r="K156" s="142"/>
      <c r="L156" s="141"/>
      <c r="M156" s="122"/>
      <c r="N156" s="123"/>
      <c r="O156" s="123"/>
      <c r="P156" s="123"/>
      <c r="Q156" s="123"/>
      <c r="R156" s="123"/>
      <c r="S156" s="123"/>
      <c r="T156" s="123"/>
      <c r="U156" s="123"/>
    </row>
    <row r="157" spans="1:21" ht="45">
      <c r="A157" s="123"/>
      <c r="B157" s="143" t="s">
        <v>187</v>
      </c>
      <c r="C157" s="193">
        <v>-156953.12</v>
      </c>
      <c r="D157" s="194"/>
      <c r="E157" s="194"/>
      <c r="F157" s="195"/>
      <c r="G157" s="122"/>
      <c r="H157" s="122"/>
      <c r="I157" s="122"/>
      <c r="J157" s="141"/>
      <c r="K157" s="142"/>
      <c r="L157" s="141"/>
      <c r="M157" s="122"/>
      <c r="N157" s="123"/>
      <c r="O157" s="123"/>
      <c r="P157" s="123"/>
      <c r="Q157" s="123"/>
      <c r="R157" s="123"/>
      <c r="S157" s="123"/>
      <c r="T157" s="123"/>
      <c r="U157" s="123"/>
    </row>
    <row r="158" spans="1:21" ht="30">
      <c r="A158" s="123"/>
      <c r="B158" s="23" t="s">
        <v>225</v>
      </c>
      <c r="C158" s="197">
        <f>94035.16*12</f>
        <v>1128421.92</v>
      </c>
      <c r="D158" s="198"/>
      <c r="E158" s="198"/>
      <c r="F158" s="199"/>
      <c r="G158" s="122"/>
      <c r="H158" s="122"/>
      <c r="I158" s="122"/>
      <c r="J158" s="141"/>
      <c r="K158" s="142"/>
      <c r="L158" s="141"/>
      <c r="M158" s="122"/>
      <c r="N158" s="123"/>
      <c r="O158" s="123"/>
      <c r="P158" s="123"/>
      <c r="Q158" s="123"/>
      <c r="R158" s="123"/>
      <c r="S158" s="123"/>
      <c r="T158" s="123"/>
      <c r="U158" s="123"/>
    </row>
    <row r="159" spans="1:21" ht="30">
      <c r="A159" s="123"/>
      <c r="B159" s="23" t="s">
        <v>188</v>
      </c>
      <c r="C159" s="197">
        <f>SUM(U147-U144)</f>
        <v>1087264.486157753</v>
      </c>
      <c r="D159" s="198"/>
      <c r="E159" s="198"/>
      <c r="F159" s="199"/>
      <c r="G159" s="122"/>
      <c r="H159" s="122"/>
      <c r="I159" s="122"/>
      <c r="J159" s="141"/>
      <c r="K159" s="142"/>
      <c r="L159" s="141"/>
      <c r="M159" s="122"/>
      <c r="N159" s="123"/>
      <c r="O159" s="123"/>
      <c r="P159" s="123"/>
      <c r="Q159" s="123"/>
      <c r="R159" s="123"/>
      <c r="S159" s="123"/>
      <c r="T159" s="123"/>
      <c r="U159" s="123"/>
    </row>
    <row r="160" spans="1:21" ht="30">
      <c r="A160" s="123"/>
      <c r="B160" s="23" t="s">
        <v>189</v>
      </c>
      <c r="C160" s="197">
        <f>SUM(U144)</f>
        <v>144084.5227</v>
      </c>
      <c r="D160" s="198"/>
      <c r="E160" s="198"/>
      <c r="F160" s="199"/>
      <c r="G160" s="122"/>
      <c r="H160" s="122"/>
      <c r="I160" s="122"/>
      <c r="J160" s="141"/>
      <c r="K160" s="142"/>
      <c r="L160" s="141"/>
      <c r="M160" s="122"/>
      <c r="N160" s="123"/>
      <c r="O160" s="123"/>
      <c r="P160" s="123"/>
      <c r="Q160" s="123"/>
      <c r="R160" s="123"/>
      <c r="S160" s="123"/>
      <c r="T160" s="123"/>
      <c r="U160" s="123"/>
    </row>
    <row r="161" spans="1:21" ht="18">
      <c r="A161" s="123"/>
      <c r="B161" s="152" t="s">
        <v>190</v>
      </c>
      <c r="C161" s="197">
        <f>97671.71+87307.5+102425.39+77099.89+94103.4+81830.67+96174.72+76671.02+103447.65+80311.31+94518.3+92748.35</f>
        <v>1084309.9100000001</v>
      </c>
      <c r="D161" s="198"/>
      <c r="E161" s="198"/>
      <c r="F161" s="199"/>
      <c r="G161" s="123"/>
      <c r="I161" s="144" t="s">
        <v>158</v>
      </c>
      <c r="J161" s="145"/>
      <c r="K161" s="146"/>
      <c r="L161" s="147"/>
      <c r="M161" s="144"/>
      <c r="N161" s="144"/>
      <c r="O161" s="123"/>
      <c r="P161" s="123"/>
      <c r="Q161" s="123"/>
      <c r="R161" s="123"/>
      <c r="S161" s="123"/>
      <c r="T161" s="123"/>
      <c r="U161" s="123"/>
    </row>
    <row r="162" spans="1:21" ht="78.75">
      <c r="A162" s="123"/>
      <c r="B162" s="24" t="s">
        <v>304</v>
      </c>
      <c r="C162" s="200">
        <v>350069.81</v>
      </c>
      <c r="D162" s="201"/>
      <c r="E162" s="201"/>
      <c r="F162" s="202"/>
      <c r="G162" s="123"/>
      <c r="H162" s="123"/>
      <c r="I162" s="123"/>
      <c r="J162" s="123"/>
      <c r="K162" s="123"/>
      <c r="L162" s="123"/>
      <c r="M162" s="123"/>
      <c r="N162" s="123"/>
      <c r="O162" s="123"/>
      <c r="P162" s="123"/>
      <c r="Q162" s="123"/>
      <c r="R162" s="123"/>
      <c r="S162" s="123"/>
      <c r="T162" s="123"/>
      <c r="U162" s="123"/>
    </row>
    <row r="163" spans="1:21" ht="45">
      <c r="A163" s="123"/>
      <c r="B163" s="148" t="s">
        <v>305</v>
      </c>
      <c r="C163" s="196">
        <f>SUM(U147-C158)+C157</f>
        <v>-54026.031142246793</v>
      </c>
      <c r="D163" s="194"/>
      <c r="E163" s="194"/>
      <c r="F163" s="195"/>
      <c r="G163" s="123"/>
      <c r="H163" s="123"/>
      <c r="I163" s="123"/>
      <c r="J163" s="123"/>
      <c r="K163" s="123"/>
      <c r="L163" s="123"/>
      <c r="M163" s="123"/>
      <c r="N163" s="123"/>
      <c r="O163" s="123"/>
      <c r="P163" s="123"/>
      <c r="Q163" s="123"/>
      <c r="R163" s="123"/>
      <c r="S163" s="123"/>
      <c r="T163" s="123"/>
      <c r="U163" s="123"/>
    </row>
    <row r="165" spans="1:21">
      <c r="J165" s="4"/>
      <c r="K165" s="5"/>
      <c r="L165" s="5"/>
      <c r="M165" s="3"/>
    </row>
    <row r="166" spans="1:21">
      <c r="G166" s="6"/>
      <c r="H166" s="6"/>
    </row>
    <row r="167" spans="1:21">
      <c r="G167" s="7"/>
    </row>
  </sheetData>
  <mergeCells count="12">
    <mergeCell ref="C157:F157"/>
    <mergeCell ref="C163:F163"/>
    <mergeCell ref="C158:F158"/>
    <mergeCell ref="C159:F159"/>
    <mergeCell ref="C160:F160"/>
    <mergeCell ref="C161:F161"/>
    <mergeCell ref="C162:F162"/>
    <mergeCell ref="W101:Z101"/>
    <mergeCell ref="B3:L3"/>
    <mergeCell ref="B4:L4"/>
    <mergeCell ref="B5:L5"/>
    <mergeCell ref="B6:L6"/>
  </mergeCells>
  <pageMargins left="0.31496062992125984" right="0.31496062992125984" top="0.15748031496062992" bottom="0.19685039370078741" header="0.15748031496062992" footer="0.15748031496062992"/>
  <pageSetup paperSize="9" scale="54" firstPageNumber="0" orientation="landscape" horizontalDpi="300" verticalDpi="300" r:id="rId1"/>
  <headerFooter alignWithMargins="0"/>
  <ignoredErrors>
    <ignoredError sqref="M28:P2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Нефт.,4</vt:lpstr>
      <vt:lpstr>'Нефт.,4'!Область_печати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cp:lastPrinted>2018-11-27T12:01:09Z</cp:lastPrinted>
  <dcterms:created xsi:type="dcterms:W3CDTF">2014-02-05T12:20:20Z</dcterms:created>
  <dcterms:modified xsi:type="dcterms:W3CDTF">2018-11-27T12:01:40Z</dcterms:modified>
</cp:coreProperties>
</file>