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-75" windowWidth="16065" windowHeight="11280" activeTab="11"/>
  </bookViews>
  <sheets>
    <sheet name="01.19" sheetId="29" r:id="rId1"/>
    <sheet name="02.19" sheetId="30" r:id="rId2"/>
    <sheet name="03.19" sheetId="31" r:id="rId3"/>
    <sheet name="04.19" sheetId="32" r:id="rId4"/>
    <sheet name="05.19" sheetId="33" r:id="rId5"/>
    <sheet name="06.19" sheetId="34" r:id="rId6"/>
    <sheet name="07.19" sheetId="35" r:id="rId7"/>
    <sheet name="08.19" sheetId="36" r:id="rId8"/>
    <sheet name="09.19" sheetId="37" r:id="rId9"/>
    <sheet name="10.19" sheetId="38" r:id="rId10"/>
    <sheet name="11.19" sheetId="27" r:id="rId11"/>
    <sheet name="12.19" sheetId="28" r:id="rId12"/>
  </sheets>
  <calcPr calcId="124519"/>
</workbook>
</file>

<file path=xl/calcChain.xml><?xml version="1.0" encoding="utf-8"?>
<calcChain xmlns="http://schemas.openxmlformats.org/spreadsheetml/2006/main">
  <c r="I95" i="28"/>
  <c r="I94"/>
  <c r="I93"/>
  <c r="I92"/>
  <c r="I96" s="1"/>
  <c r="F45"/>
  <c r="H45" s="1"/>
  <c r="I44"/>
  <c r="H44"/>
  <c r="F43"/>
  <c r="I43" s="1"/>
  <c r="F42"/>
  <c r="H42" s="1"/>
  <c r="H41"/>
  <c r="H40"/>
  <c r="F40"/>
  <c r="I40" s="1"/>
  <c r="F39"/>
  <c r="I39" s="1"/>
  <c r="I38"/>
  <c r="F26"/>
  <c r="H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H24" l="1"/>
  <c r="H17"/>
  <c r="H20"/>
  <c r="H22"/>
  <c r="H39"/>
  <c r="I42"/>
  <c r="H43"/>
  <c r="I45"/>
  <c r="H18"/>
  <c r="I18"/>
  <c r="H16"/>
  <c r="H19"/>
  <c r="H21"/>
  <c r="H23"/>
  <c r="H25"/>
  <c r="I26"/>
  <c r="I90" i="27" l="1"/>
  <c r="I65"/>
  <c r="I98"/>
  <c r="I97"/>
  <c r="I96"/>
  <c r="I95"/>
  <c r="I94"/>
  <c r="I93"/>
  <c r="I92"/>
  <c r="I38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9" i="38"/>
  <c r="I44"/>
  <c r="I109"/>
  <c r="I108"/>
  <c r="I103"/>
  <c r="I102"/>
  <c r="I101"/>
  <c r="I100"/>
  <c r="I99"/>
  <c r="I98"/>
  <c r="I97"/>
  <c r="I96"/>
  <c r="I95"/>
  <c r="I94"/>
  <c r="I93"/>
  <c r="I92"/>
  <c r="I91"/>
  <c r="I64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6" i="37"/>
  <c r="I95"/>
  <c r="I92"/>
  <c r="I109" i="36"/>
  <c r="I108"/>
  <c r="I107"/>
  <c r="I94" i="37"/>
  <c r="I93"/>
  <c r="I91"/>
  <c r="I64"/>
  <c r="F32"/>
  <c r="H32" s="1"/>
  <c r="F31"/>
  <c r="I31" s="1"/>
  <c r="F30"/>
  <c r="H30" s="1"/>
  <c r="F29"/>
  <c r="I29" s="1"/>
  <c r="F26"/>
  <c r="H26" s="1"/>
  <c r="E18"/>
  <c r="F18" s="1"/>
  <c r="F17"/>
  <c r="I17" s="1"/>
  <c r="F16"/>
  <c r="I16" s="1"/>
  <c r="I91" i="36"/>
  <c r="I75"/>
  <c r="I59"/>
  <c r="I106"/>
  <c r="I105"/>
  <c r="I104"/>
  <c r="I103"/>
  <c r="I102"/>
  <c r="I101"/>
  <c r="I100"/>
  <c r="I99"/>
  <c r="I98"/>
  <c r="I97"/>
  <c r="I96"/>
  <c r="I95"/>
  <c r="I94"/>
  <c r="I9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8" i="33"/>
  <c r="I97"/>
  <c r="I96"/>
  <c r="I85" i="35"/>
  <c r="I102"/>
  <c r="I101"/>
  <c r="I100"/>
  <c r="I99"/>
  <c r="I98"/>
  <c r="I96"/>
  <c r="I95"/>
  <c r="I94"/>
  <c r="I93"/>
  <c r="I103" s="1"/>
  <c r="I75"/>
  <c r="I64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9" i="34"/>
  <c r="I98"/>
  <c r="I91"/>
  <c r="I97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I23" i="33"/>
  <c r="I22"/>
  <c r="F22"/>
  <c r="H22" s="1"/>
  <c r="I19"/>
  <c r="I95"/>
  <c r="F26"/>
  <c r="H26" s="1"/>
  <c r="F25"/>
  <c r="I25" s="1"/>
  <c r="F24"/>
  <c r="H24" s="1"/>
  <c r="F23"/>
  <c r="F21"/>
  <c r="I21" s="1"/>
  <c r="F20"/>
  <c r="H20" s="1"/>
  <c r="F19"/>
  <c r="E18"/>
  <c r="F18" s="1"/>
  <c r="F17"/>
  <c r="I17" s="1"/>
  <c r="F16"/>
  <c r="I16" s="1"/>
  <c r="I110" i="32"/>
  <c r="I109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9" i="31"/>
  <c r="I98"/>
  <c r="F26"/>
  <c r="H26" s="1"/>
  <c r="F25"/>
  <c r="I25" s="1"/>
  <c r="F24"/>
  <c r="H24" s="1"/>
  <c r="F23"/>
  <c r="I23" s="1"/>
  <c r="F22"/>
  <c r="H22" s="1"/>
  <c r="F21"/>
  <c r="I21" s="1"/>
  <c r="F20"/>
  <c r="H20" s="1"/>
  <c r="H19"/>
  <c r="F19"/>
  <c r="I19" s="1"/>
  <c r="E18"/>
  <c r="F18" s="1"/>
  <c r="F17"/>
  <c r="H17" s="1"/>
  <c r="F16"/>
  <c r="I16" s="1"/>
  <c r="I98" i="30"/>
  <c r="I97"/>
  <c r="F26"/>
  <c r="H26" s="1"/>
  <c r="I100" i="29"/>
  <c r="I99"/>
  <c r="F26"/>
  <c r="H19" i="27" l="1"/>
  <c r="H23"/>
  <c r="H16"/>
  <c r="H21"/>
  <c r="H25"/>
  <c r="I17"/>
  <c r="I18"/>
  <c r="I20"/>
  <c r="I22"/>
  <c r="I24"/>
  <c r="I26"/>
  <c r="H29" i="38"/>
  <c r="H19"/>
  <c r="H16"/>
  <c r="H21"/>
  <c r="H31"/>
  <c r="I30"/>
  <c r="I32"/>
  <c r="I17"/>
  <c r="I18"/>
  <c r="I20"/>
  <c r="I22"/>
  <c r="H23"/>
  <c r="I24"/>
  <c r="H25"/>
  <c r="I26"/>
  <c r="H17" i="37"/>
  <c r="H29"/>
  <c r="H31"/>
  <c r="I30"/>
  <c r="I32"/>
  <c r="I26"/>
  <c r="H18"/>
  <c r="I18"/>
  <c r="H16"/>
  <c r="H16" i="36"/>
  <c r="H29"/>
  <c r="H19"/>
  <c r="H31"/>
  <c r="I30"/>
  <c r="I32"/>
  <c r="I17"/>
  <c r="I18"/>
  <c r="I20"/>
  <c r="H21"/>
  <c r="I22"/>
  <c r="H23"/>
  <c r="I24"/>
  <c r="H25"/>
  <c r="I26"/>
  <c r="H23" i="35"/>
  <c r="H29"/>
  <c r="H31"/>
  <c r="I30"/>
  <c r="I32"/>
  <c r="H19"/>
  <c r="H16"/>
  <c r="H21"/>
  <c r="H25"/>
  <c r="I17"/>
  <c r="I18"/>
  <c r="I20"/>
  <c r="I22"/>
  <c r="I24"/>
  <c r="I26"/>
  <c r="H22" i="34"/>
  <c r="H26"/>
  <c r="H17"/>
  <c r="H20"/>
  <c r="H24"/>
  <c r="H18"/>
  <c r="I18"/>
  <c r="H16"/>
  <c r="H19"/>
  <c r="H21"/>
  <c r="H23"/>
  <c r="H25"/>
  <c r="H17" i="33"/>
  <c r="H18"/>
  <c r="I18"/>
  <c r="H16"/>
  <c r="H19"/>
  <c r="I20"/>
  <c r="H21"/>
  <c r="I91"/>
  <c r="H23"/>
  <c r="I24"/>
  <c r="H25"/>
  <c r="I26"/>
  <c r="H18" i="32"/>
  <c r="I18"/>
  <c r="H16"/>
  <c r="I17"/>
  <c r="H19"/>
  <c r="I20"/>
  <c r="H21"/>
  <c r="I22"/>
  <c r="H23"/>
  <c r="I24"/>
  <c r="H25"/>
  <c r="I26"/>
  <c r="H18" i="31"/>
  <c r="I18"/>
  <c r="H16"/>
  <c r="I17"/>
  <c r="I20"/>
  <c r="H21"/>
  <c r="I22"/>
  <c r="H23"/>
  <c r="I24"/>
  <c r="H25"/>
  <c r="I26"/>
  <c r="I26" i="30"/>
  <c r="I87" i="34" l="1"/>
  <c r="I96" l="1"/>
  <c r="I94"/>
  <c r="I93"/>
  <c r="I95" i="32" l="1"/>
  <c r="H60"/>
  <c r="I60"/>
  <c r="I59"/>
  <c r="I94" i="33" l="1"/>
  <c r="I93"/>
  <c r="I108" i="32"/>
  <c r="I107"/>
  <c r="I106"/>
  <c r="I105"/>
  <c r="I104"/>
  <c r="I103"/>
  <c r="I102"/>
  <c r="I101"/>
  <c r="I100"/>
  <c r="I99"/>
  <c r="I98"/>
  <c r="I97"/>
  <c r="I41"/>
  <c r="I89" i="30"/>
  <c r="I58" i="31" l="1"/>
  <c r="I97"/>
  <c r="I96"/>
  <c r="I95"/>
  <c r="I94"/>
  <c r="I93"/>
  <c r="I92"/>
  <c r="I91"/>
  <c r="I59"/>
  <c r="I37"/>
  <c r="I96" i="30"/>
  <c r="I95" l="1"/>
  <c r="I94"/>
  <c r="I93"/>
  <c r="I92"/>
  <c r="I91"/>
  <c r="I64"/>
  <c r="I37"/>
  <c r="I38" i="29" l="1"/>
  <c r="I98"/>
  <c r="I97"/>
  <c r="I96"/>
  <c r="I95"/>
  <c r="I94"/>
  <c r="I93"/>
  <c r="I92"/>
  <c r="I60"/>
  <c r="I59"/>
  <c r="I76" i="28"/>
  <c r="I65"/>
  <c r="I60"/>
  <c r="I44" i="27"/>
  <c r="H95" i="38"/>
  <c r="H92"/>
  <c r="E88"/>
  <c r="F88" s="1"/>
  <c r="F87"/>
  <c r="I87" s="1"/>
  <c r="H85"/>
  <c r="H83"/>
  <c r="F81"/>
  <c r="I81" s="1"/>
  <c r="I79"/>
  <c r="H79"/>
  <c r="F78"/>
  <c r="H78" s="1"/>
  <c r="H77"/>
  <c r="F76"/>
  <c r="H76" s="1"/>
  <c r="H89" s="1"/>
  <c r="I75"/>
  <c r="F75"/>
  <c r="H75" s="1"/>
  <c r="F74"/>
  <c r="H74" s="1"/>
  <c r="H73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2"/>
  <c r="I62" s="1"/>
  <c r="F61"/>
  <c r="H61" s="1"/>
  <c r="I59"/>
  <c r="H59"/>
  <c r="F58"/>
  <c r="H58" s="1"/>
  <c r="F55"/>
  <c r="I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I40"/>
  <c r="H39"/>
  <c r="F38"/>
  <c r="I38" s="1"/>
  <c r="F37"/>
  <c r="H37" s="1"/>
  <c r="I36"/>
  <c r="H36"/>
  <c r="H34"/>
  <c r="H33"/>
  <c r="I75" i="37"/>
  <c r="H92"/>
  <c r="H91"/>
  <c r="E88"/>
  <c r="F88" s="1"/>
  <c r="F87"/>
  <c r="I87" s="1"/>
  <c r="H85"/>
  <c r="H83"/>
  <c r="F81"/>
  <c r="I81" s="1"/>
  <c r="I79"/>
  <c r="H79"/>
  <c r="F78"/>
  <c r="I78" s="1"/>
  <c r="H77"/>
  <c r="F76"/>
  <c r="H76" s="1"/>
  <c r="H89" s="1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F25"/>
  <c r="H25" s="1"/>
  <c r="F24"/>
  <c r="I24" s="1"/>
  <c r="I23"/>
  <c r="F23"/>
  <c r="H23" s="1"/>
  <c r="I22"/>
  <c r="F22"/>
  <c r="H22" s="1"/>
  <c r="F21"/>
  <c r="H21" s="1"/>
  <c r="F20"/>
  <c r="I20" s="1"/>
  <c r="F19"/>
  <c r="H19" s="1"/>
  <c r="H52" i="38" l="1"/>
  <c r="H62"/>
  <c r="H81"/>
  <c r="H87"/>
  <c r="H70"/>
  <c r="H68"/>
  <c r="H66"/>
  <c r="H55"/>
  <c r="H50"/>
  <c r="H48"/>
  <c r="H46"/>
  <c r="H42"/>
  <c r="H38"/>
  <c r="I88"/>
  <c r="H88"/>
  <c r="I37"/>
  <c r="I41"/>
  <c r="I47"/>
  <c r="I49"/>
  <c r="I51"/>
  <c r="I53"/>
  <c r="I58"/>
  <c r="I67"/>
  <c r="I69"/>
  <c r="I71"/>
  <c r="I78"/>
  <c r="H20" i="37"/>
  <c r="H49"/>
  <c r="H71"/>
  <c r="H78"/>
  <c r="H47"/>
  <c r="H51"/>
  <c r="H81"/>
  <c r="H87"/>
  <c r="H69"/>
  <c r="H67"/>
  <c r="H58"/>
  <c r="H53"/>
  <c r="H44"/>
  <c r="H41"/>
  <c r="H37"/>
  <c r="H24"/>
  <c r="I88"/>
  <c r="H88"/>
  <c r="I19"/>
  <c r="I21"/>
  <c r="I25"/>
  <c r="I38"/>
  <c r="I42"/>
  <c r="I46"/>
  <c r="I48"/>
  <c r="I50"/>
  <c r="I52"/>
  <c r="I55"/>
  <c r="I62"/>
  <c r="I66"/>
  <c r="I68"/>
  <c r="I70"/>
  <c r="H84" i="38" l="1"/>
  <c r="I111"/>
  <c r="I89" i="37"/>
  <c r="I98" s="1"/>
  <c r="H84"/>
  <c r="H97" i="36" l="1"/>
  <c r="H94"/>
  <c r="H93"/>
  <c r="E90"/>
  <c r="F90" s="1"/>
  <c r="F89"/>
  <c r="I89" s="1"/>
  <c r="H87"/>
  <c r="H85"/>
  <c r="F83"/>
  <c r="I83" s="1"/>
  <c r="I81"/>
  <c r="I79"/>
  <c r="H79"/>
  <c r="F78"/>
  <c r="I78" s="1"/>
  <c r="H77"/>
  <c r="F76"/>
  <c r="H76" s="1"/>
  <c r="H91" s="1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H62" s="1"/>
  <c r="F61"/>
  <c r="H61" s="1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I58" i="30"/>
  <c r="H83" i="36" l="1"/>
  <c r="H89"/>
  <c r="H78"/>
  <c r="H71"/>
  <c r="H69"/>
  <c r="H67"/>
  <c r="H58"/>
  <c r="H53"/>
  <c r="H51"/>
  <c r="H49"/>
  <c r="H47"/>
  <c r="H44"/>
  <c r="H41"/>
  <c r="H37"/>
  <c r="I90"/>
  <c r="H90"/>
  <c r="I38"/>
  <c r="I42"/>
  <c r="I46"/>
  <c r="I48"/>
  <c r="I50"/>
  <c r="I52"/>
  <c r="I55"/>
  <c r="I62"/>
  <c r="I66"/>
  <c r="I68"/>
  <c r="I70"/>
  <c r="H86" l="1"/>
  <c r="I111"/>
  <c r="H97" i="35"/>
  <c r="H94"/>
  <c r="H93"/>
  <c r="E90"/>
  <c r="F90" s="1"/>
  <c r="F89"/>
  <c r="I89" s="1"/>
  <c r="H87"/>
  <c r="H85"/>
  <c r="F83"/>
  <c r="I83" s="1"/>
  <c r="I81"/>
  <c r="I79"/>
  <c r="H79"/>
  <c r="F78"/>
  <c r="I78" s="1"/>
  <c r="H77"/>
  <c r="F76"/>
  <c r="H76" s="1"/>
  <c r="H91" s="1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I75" i="34"/>
  <c r="H95"/>
  <c r="H94"/>
  <c r="H93"/>
  <c r="E90"/>
  <c r="F90" s="1"/>
  <c r="F89"/>
  <c r="H89" s="1"/>
  <c r="H87"/>
  <c r="H85"/>
  <c r="F83"/>
  <c r="H83" s="1"/>
  <c r="I81"/>
  <c r="I79"/>
  <c r="H79"/>
  <c r="F78"/>
  <c r="I78" s="1"/>
  <c r="H77"/>
  <c r="F76"/>
  <c r="H76" s="1"/>
  <c r="H91" s="1"/>
  <c r="F75"/>
  <c r="H75" s="1"/>
  <c r="F74"/>
  <c r="H74" s="1"/>
  <c r="H73"/>
  <c r="F71"/>
  <c r="I71" s="1"/>
  <c r="F70"/>
  <c r="I70" s="1"/>
  <c r="F69"/>
  <c r="I69" s="1"/>
  <c r="F68"/>
  <c r="I68" s="1"/>
  <c r="F67"/>
  <c r="I67" s="1"/>
  <c r="F66"/>
  <c r="I66" s="1"/>
  <c r="F65"/>
  <c r="H65" s="1"/>
  <c r="I64"/>
  <c r="F64"/>
  <c r="H64" s="1"/>
  <c r="F62"/>
  <c r="I62" s="1"/>
  <c r="F61"/>
  <c r="H61" s="1"/>
  <c r="I59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F44"/>
  <c r="I44" s="1"/>
  <c r="I43"/>
  <c r="H43"/>
  <c r="F42"/>
  <c r="I42" s="1"/>
  <c r="F41"/>
  <c r="I41" s="1"/>
  <c r="I40"/>
  <c r="H39"/>
  <c r="F38"/>
  <c r="I38" s="1"/>
  <c r="F37"/>
  <c r="I37" s="1"/>
  <c r="I36"/>
  <c r="H36"/>
  <c r="H34"/>
  <c r="H33"/>
  <c r="F32"/>
  <c r="I32" s="1"/>
  <c r="F31"/>
  <c r="I31" s="1"/>
  <c r="F30"/>
  <c r="I30" s="1"/>
  <c r="F29"/>
  <c r="I29" s="1"/>
  <c r="H94" i="33"/>
  <c r="H93"/>
  <c r="E90"/>
  <c r="F90" s="1"/>
  <c r="F89"/>
  <c r="I89" s="1"/>
  <c r="H87"/>
  <c r="H85"/>
  <c r="F83"/>
  <c r="I83" s="1"/>
  <c r="I81"/>
  <c r="I79"/>
  <c r="H79"/>
  <c r="F78"/>
  <c r="I78" s="1"/>
  <c r="H77"/>
  <c r="F76"/>
  <c r="H76" s="1"/>
  <c r="H91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H62" s="1"/>
  <c r="F61"/>
  <c r="H61" s="1"/>
  <c r="I59"/>
  <c r="H59"/>
  <c r="F58"/>
  <c r="I58" s="1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I40"/>
  <c r="H39"/>
  <c r="F38"/>
  <c r="H38" s="1"/>
  <c r="F37"/>
  <c r="I37" s="1"/>
  <c r="I36"/>
  <c r="H36"/>
  <c r="H34"/>
  <c r="H33"/>
  <c r="F32"/>
  <c r="H32" s="1"/>
  <c r="F31"/>
  <c r="I31" s="1"/>
  <c r="F30"/>
  <c r="H30" s="1"/>
  <c r="F29"/>
  <c r="I29" s="1"/>
  <c r="H78" i="35" l="1"/>
  <c r="H83"/>
  <c r="H89"/>
  <c r="H29" i="34"/>
  <c r="H78"/>
  <c r="H71" i="35"/>
  <c r="H69"/>
  <c r="H67"/>
  <c r="H58"/>
  <c r="H53"/>
  <c r="H51"/>
  <c r="H49"/>
  <c r="H47"/>
  <c r="H44"/>
  <c r="H41"/>
  <c r="H37"/>
  <c r="H86"/>
  <c r="I90"/>
  <c r="H90"/>
  <c r="I38"/>
  <c r="I42"/>
  <c r="I46"/>
  <c r="I48"/>
  <c r="I50"/>
  <c r="I52"/>
  <c r="I55"/>
  <c r="I62"/>
  <c r="I66"/>
  <c r="I68"/>
  <c r="I70"/>
  <c r="H71" i="34"/>
  <c r="H69"/>
  <c r="H67"/>
  <c r="H58"/>
  <c r="H53"/>
  <c r="H51"/>
  <c r="H49"/>
  <c r="H47"/>
  <c r="H44"/>
  <c r="H41"/>
  <c r="H37"/>
  <c r="H31"/>
  <c r="H90"/>
  <c r="I90"/>
  <c r="H30"/>
  <c r="H32"/>
  <c r="H38"/>
  <c r="H42"/>
  <c r="H46"/>
  <c r="H48"/>
  <c r="H50"/>
  <c r="H52"/>
  <c r="H55"/>
  <c r="H62"/>
  <c r="H66"/>
  <c r="H68"/>
  <c r="H70"/>
  <c r="I83"/>
  <c r="I89"/>
  <c r="H78" i="33"/>
  <c r="H29"/>
  <c r="H47"/>
  <c r="H51"/>
  <c r="H69"/>
  <c r="H31"/>
  <c r="H49"/>
  <c r="H53"/>
  <c r="H67"/>
  <c r="H83"/>
  <c r="H89"/>
  <c r="H71"/>
  <c r="H58"/>
  <c r="H37"/>
  <c r="H41"/>
  <c r="H44"/>
  <c r="I90"/>
  <c r="H90"/>
  <c r="I30"/>
  <c r="I32"/>
  <c r="I38"/>
  <c r="I42"/>
  <c r="I46"/>
  <c r="I48"/>
  <c r="I50"/>
  <c r="I52"/>
  <c r="I55"/>
  <c r="I62"/>
  <c r="I66"/>
  <c r="I68"/>
  <c r="I70"/>
  <c r="I91" i="35" l="1"/>
  <c r="I105" s="1"/>
  <c r="I101" i="34"/>
  <c r="I100" i="33"/>
  <c r="H86"/>
  <c r="H86" i="34"/>
  <c r="I85" i="32" l="1"/>
  <c r="I84"/>
  <c r="I82"/>
  <c r="H100"/>
  <c r="H99"/>
  <c r="H98"/>
  <c r="H97"/>
  <c r="E94"/>
  <c r="F94" s="1"/>
  <c r="F93"/>
  <c r="H93" s="1"/>
  <c r="H91"/>
  <c r="H89"/>
  <c r="F87"/>
  <c r="H87" s="1"/>
  <c r="I80"/>
  <c r="H80"/>
  <c r="F79"/>
  <c r="I79" s="1"/>
  <c r="H78"/>
  <c r="F77"/>
  <c r="H77" s="1"/>
  <c r="H95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3"/>
  <c r="H63" s="1"/>
  <c r="F62"/>
  <c r="H62" s="1"/>
  <c r="F59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0"/>
  <c r="F39"/>
  <c r="I39" s="1"/>
  <c r="F38"/>
  <c r="H38" s="1"/>
  <c r="I37"/>
  <c r="H37"/>
  <c r="H35"/>
  <c r="H34"/>
  <c r="F33"/>
  <c r="I33" s="1"/>
  <c r="E33"/>
  <c r="F32"/>
  <c r="I32" s="1"/>
  <c r="F31"/>
  <c r="H31" s="1"/>
  <c r="F30"/>
  <c r="I30" s="1"/>
  <c r="F29"/>
  <c r="H29" s="1"/>
  <c r="H96" i="31"/>
  <c r="H93"/>
  <c r="H92"/>
  <c r="H91"/>
  <c r="I43"/>
  <c r="E88"/>
  <c r="F88" s="1"/>
  <c r="H88" s="1"/>
  <c r="F87"/>
  <c r="I87" s="1"/>
  <c r="H85"/>
  <c r="H83"/>
  <c r="F81"/>
  <c r="I81" s="1"/>
  <c r="I79"/>
  <c r="H79"/>
  <c r="F78"/>
  <c r="I78" s="1"/>
  <c r="H77"/>
  <c r="F76"/>
  <c r="H76" s="1"/>
  <c r="H89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I64"/>
  <c r="F64"/>
  <c r="H64" s="1"/>
  <c r="F62"/>
  <c r="I62" s="1"/>
  <c r="F61"/>
  <c r="H61" s="1"/>
  <c r="H59"/>
  <c r="F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I46" s="1"/>
  <c r="F44"/>
  <c r="I44" s="1"/>
  <c r="H43"/>
  <c r="F42"/>
  <c r="I42" s="1"/>
  <c r="F41"/>
  <c r="I41" s="1"/>
  <c r="H40"/>
  <c r="F39"/>
  <c r="I39" s="1"/>
  <c r="F38"/>
  <c r="H38" s="1"/>
  <c r="H37"/>
  <c r="H35"/>
  <c r="H34"/>
  <c r="F33"/>
  <c r="I33" s="1"/>
  <c r="E33"/>
  <c r="H32"/>
  <c r="F32"/>
  <c r="I32" s="1"/>
  <c r="F31"/>
  <c r="H31" s="1"/>
  <c r="F30"/>
  <c r="I30" s="1"/>
  <c r="F29"/>
  <c r="H29" s="1"/>
  <c r="H42" i="32" l="1"/>
  <c r="H33"/>
  <c r="H39"/>
  <c r="H45"/>
  <c r="H71" i="31"/>
  <c r="H39"/>
  <c r="H67"/>
  <c r="H42"/>
  <c r="H30"/>
  <c r="H33"/>
  <c r="H62"/>
  <c r="H69"/>
  <c r="H81"/>
  <c r="H87"/>
  <c r="H79" i="32"/>
  <c r="H72"/>
  <c r="H70"/>
  <c r="H68"/>
  <c r="H59"/>
  <c r="H54"/>
  <c r="H52"/>
  <c r="H50"/>
  <c r="H48"/>
  <c r="H32"/>
  <c r="H30"/>
  <c r="H94"/>
  <c r="I94"/>
  <c r="I29"/>
  <c r="I31"/>
  <c r="I38"/>
  <c r="I43"/>
  <c r="I47"/>
  <c r="I49"/>
  <c r="I51"/>
  <c r="I53"/>
  <c r="I56"/>
  <c r="I63"/>
  <c r="I67"/>
  <c r="I69"/>
  <c r="I71"/>
  <c r="I87"/>
  <c r="I93"/>
  <c r="H46" i="31"/>
  <c r="H49"/>
  <c r="H53"/>
  <c r="H51"/>
  <c r="I29"/>
  <c r="I31"/>
  <c r="I38"/>
  <c r="H41"/>
  <c r="H44"/>
  <c r="H47"/>
  <c r="I48"/>
  <c r="I50"/>
  <c r="I52"/>
  <c r="I55"/>
  <c r="H58"/>
  <c r="I66"/>
  <c r="I68"/>
  <c r="I70"/>
  <c r="H78"/>
  <c r="I88"/>
  <c r="I112" i="32" l="1"/>
  <c r="I89" i="31"/>
  <c r="I101" s="1"/>
  <c r="H84"/>
  <c r="H90" i="32"/>
  <c r="I43" i="30" l="1"/>
  <c r="I44" i="29"/>
  <c r="H92" i="30" l="1"/>
  <c r="H91"/>
  <c r="I59"/>
  <c r="E88"/>
  <c r="F88" s="1"/>
  <c r="F87"/>
  <c r="H87" s="1"/>
  <c r="H85"/>
  <c r="H83"/>
  <c r="F81"/>
  <c r="H81" s="1"/>
  <c r="I79"/>
  <c r="H79"/>
  <c r="F78"/>
  <c r="I78" s="1"/>
  <c r="H77"/>
  <c r="F76"/>
  <c r="H76" s="1"/>
  <c r="H89" s="1"/>
  <c r="I75"/>
  <c r="F75"/>
  <c r="H75" s="1"/>
  <c r="F74"/>
  <c r="H74" s="1"/>
  <c r="H73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H59"/>
  <c r="F58"/>
  <c r="F55"/>
  <c r="H55" s="1"/>
  <c r="I54"/>
  <c r="H54"/>
  <c r="F53"/>
  <c r="I53" s="1"/>
  <c r="F52"/>
  <c r="H52" s="1"/>
  <c r="F51"/>
  <c r="I51" s="1"/>
  <c r="F50"/>
  <c r="I50" s="1"/>
  <c r="F49"/>
  <c r="H49" s="1"/>
  <c r="F48"/>
  <c r="I48" s="1"/>
  <c r="F47"/>
  <c r="H47" s="1"/>
  <c r="F46"/>
  <c r="I46" s="1"/>
  <c r="F44"/>
  <c r="H44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F31"/>
  <c r="I31" s="1"/>
  <c r="F30"/>
  <c r="H30" s="1"/>
  <c r="F29"/>
  <c r="I29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31" l="1"/>
  <c r="H50"/>
  <c r="H22"/>
  <c r="H42"/>
  <c r="H46"/>
  <c r="H17"/>
  <c r="H20"/>
  <c r="H24"/>
  <c r="H29"/>
  <c r="H38"/>
  <c r="H48"/>
  <c r="H88"/>
  <c r="I88"/>
  <c r="I18"/>
  <c r="H18"/>
  <c r="I16"/>
  <c r="I19"/>
  <c r="I21"/>
  <c r="I23"/>
  <c r="I25"/>
  <c r="I30"/>
  <c r="I32"/>
  <c r="I33"/>
  <c r="I39"/>
  <c r="I41"/>
  <c r="I44"/>
  <c r="I47"/>
  <c r="I49"/>
  <c r="H51"/>
  <c r="I52"/>
  <c r="H53"/>
  <c r="I55"/>
  <c r="H58"/>
  <c r="I62"/>
  <c r="I66"/>
  <c r="H67"/>
  <c r="I68"/>
  <c r="H69"/>
  <c r="I70"/>
  <c r="H71"/>
  <c r="H78"/>
  <c r="I81"/>
  <c r="I87"/>
  <c r="I100" l="1"/>
  <c r="H84"/>
  <c r="F63" i="29" l="1"/>
  <c r="H63" s="1"/>
  <c r="H95" l="1"/>
  <c r="H92"/>
  <c r="E89" l="1"/>
  <c r="F89" s="1"/>
  <c r="H89" s="1"/>
  <c r="F88"/>
  <c r="H88" s="1"/>
  <c r="H86"/>
  <c r="H84"/>
  <c r="F82"/>
  <c r="H82" s="1"/>
  <c r="I80"/>
  <c r="H80"/>
  <c r="F79"/>
  <c r="I79" s="1"/>
  <c r="H78"/>
  <c r="F77"/>
  <c r="H77" s="1"/>
  <c r="H90" s="1"/>
  <c r="I76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2"/>
  <c r="H62" s="1"/>
  <c r="H60"/>
  <c r="F59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F45"/>
  <c r="I45" s="1"/>
  <c r="H44"/>
  <c r="F43"/>
  <c r="F42"/>
  <c r="I42" s="1"/>
  <c r="H41"/>
  <c r="F40"/>
  <c r="I40" s="1"/>
  <c r="F39"/>
  <c r="H39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26"/>
  <c r="F25"/>
  <c r="I25" s="1"/>
  <c r="F24"/>
  <c r="F23"/>
  <c r="I23" s="1"/>
  <c r="F22"/>
  <c r="F21"/>
  <c r="I21" s="1"/>
  <c r="F20"/>
  <c r="H20" s="1"/>
  <c r="F19"/>
  <c r="I19" s="1"/>
  <c r="E18"/>
  <c r="F18" s="1"/>
  <c r="H18" s="1"/>
  <c r="F17"/>
  <c r="H17" s="1"/>
  <c r="F16"/>
  <c r="I16" s="1"/>
  <c r="H95" i="28"/>
  <c r="H94"/>
  <c r="F93"/>
  <c r="H93" s="1"/>
  <c r="H92"/>
  <c r="E89"/>
  <c r="F89" s="1"/>
  <c r="F88"/>
  <c r="H88" s="1"/>
  <c r="H86"/>
  <c r="H84"/>
  <c r="F82"/>
  <c r="H82" s="1"/>
  <c r="I80"/>
  <c r="H80"/>
  <c r="F79"/>
  <c r="I79" s="1"/>
  <c r="H78"/>
  <c r="F77"/>
  <c r="H77" s="1"/>
  <c r="H90" s="1"/>
  <c r="F76"/>
  <c r="H76" s="1"/>
  <c r="F75"/>
  <c r="H75" s="1"/>
  <c r="H74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H63"/>
  <c r="F62"/>
  <c r="H62" s="1"/>
  <c r="H60"/>
  <c r="F59"/>
  <c r="I59" s="1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H38"/>
  <c r="H36"/>
  <c r="H35"/>
  <c r="F34"/>
  <c r="I34" s="1"/>
  <c r="E34"/>
  <c r="F33"/>
  <c r="I33" s="1"/>
  <c r="F32"/>
  <c r="H32" s="1"/>
  <c r="F31"/>
  <c r="I31" s="1"/>
  <c r="F30"/>
  <c r="H30" s="1"/>
  <c r="F27"/>
  <c r="I27" s="1"/>
  <c r="H33" l="1"/>
  <c r="H22" i="29"/>
  <c r="I22"/>
  <c r="H24"/>
  <c r="I24"/>
  <c r="H33"/>
  <c r="H45"/>
  <c r="H70"/>
  <c r="H43"/>
  <c r="I43"/>
  <c r="H40"/>
  <c r="H50"/>
  <c r="H16"/>
  <c r="H31"/>
  <c r="H34"/>
  <c r="H42"/>
  <c r="H48"/>
  <c r="H68"/>
  <c r="H72"/>
  <c r="H79"/>
  <c r="H27"/>
  <c r="H59"/>
  <c r="H52"/>
  <c r="H54"/>
  <c r="H19"/>
  <c r="H21"/>
  <c r="H25"/>
  <c r="H23"/>
  <c r="I17"/>
  <c r="I18"/>
  <c r="I20"/>
  <c r="I26"/>
  <c r="I30"/>
  <c r="I32"/>
  <c r="I39"/>
  <c r="I47"/>
  <c r="I49"/>
  <c r="I51"/>
  <c r="I53"/>
  <c r="I56"/>
  <c r="I63"/>
  <c r="I67"/>
  <c r="I69"/>
  <c r="I71"/>
  <c r="I82"/>
  <c r="I88"/>
  <c r="I89"/>
  <c r="I90" s="1"/>
  <c r="H27" i="28"/>
  <c r="H59"/>
  <c r="H68"/>
  <c r="H72"/>
  <c r="H31"/>
  <c r="H34"/>
  <c r="H70"/>
  <c r="H79"/>
  <c r="H48"/>
  <c r="H52"/>
  <c r="H50"/>
  <c r="H54"/>
  <c r="H89"/>
  <c r="I89"/>
  <c r="I30"/>
  <c r="I32"/>
  <c r="I47"/>
  <c r="I49"/>
  <c r="I51"/>
  <c r="I53"/>
  <c r="I56"/>
  <c r="I63"/>
  <c r="I67"/>
  <c r="I69"/>
  <c r="I71"/>
  <c r="I82"/>
  <c r="I88"/>
  <c r="I90" l="1"/>
  <c r="H85" i="29"/>
  <c r="I102"/>
  <c r="H85" i="28"/>
  <c r="I98" l="1"/>
  <c r="H97" i="27"/>
  <c r="H96"/>
  <c r="H95"/>
  <c r="H94"/>
  <c r="H93"/>
  <c r="F92"/>
  <c r="H92" s="1"/>
  <c r="I80"/>
  <c r="I76"/>
  <c r="I60"/>
  <c r="I55"/>
  <c r="E89"/>
  <c r="F89" s="1"/>
  <c r="H89" s="1"/>
  <c r="F88"/>
  <c r="H88" s="1"/>
  <c r="H86"/>
  <c r="H84"/>
  <c r="F82"/>
  <c r="H82" s="1"/>
  <c r="H80"/>
  <c r="F79"/>
  <c r="H79" s="1"/>
  <c r="H78"/>
  <c r="F77"/>
  <c r="H77" s="1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2"/>
  <c r="H62" s="1"/>
  <c r="H60"/>
  <c r="F59"/>
  <c r="H59" s="1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5"/>
  <c r="H45" s="1"/>
  <c r="H44"/>
  <c r="F43"/>
  <c r="F42"/>
  <c r="H42" s="1"/>
  <c r="H41"/>
  <c r="F40"/>
  <c r="H40" s="1"/>
  <c r="F39"/>
  <c r="H39" s="1"/>
  <c r="H38"/>
  <c r="F27"/>
  <c r="H27" s="1"/>
  <c r="H36"/>
  <c r="H35"/>
  <c r="F34"/>
  <c r="H34" s="1"/>
  <c r="E34"/>
  <c r="F33"/>
  <c r="H33" s="1"/>
  <c r="F32"/>
  <c r="H32" s="1"/>
  <c r="F31"/>
  <c r="H31" s="1"/>
  <c r="F30"/>
  <c r="H30" s="1"/>
  <c r="H43" l="1"/>
  <c r="I43"/>
  <c r="I88"/>
  <c r="I89"/>
  <c r="I79"/>
  <c r="I82"/>
  <c r="I59"/>
  <c r="I63"/>
  <c r="I72"/>
  <c r="I70"/>
  <c r="I68"/>
  <c r="I67"/>
  <c r="I71"/>
  <c r="I69"/>
  <c r="I52"/>
  <c r="I56"/>
  <c r="I45"/>
  <c r="I40"/>
  <c r="I54"/>
  <c r="I50"/>
  <c r="I48"/>
  <c r="I42"/>
  <c r="I39"/>
  <c r="I53"/>
  <c r="I51"/>
  <c r="I49"/>
  <c r="I32"/>
  <c r="I30"/>
  <c r="I27"/>
  <c r="I33"/>
  <c r="H85"/>
  <c r="I47" l="1"/>
  <c r="I34"/>
  <c r="I31"/>
  <c r="H90" l="1"/>
  <c r="I100" l="1"/>
</calcChain>
</file>

<file path=xl/sharedStrings.xml><?xml version="1.0" encoding="utf-8"?>
<sst xmlns="http://schemas.openxmlformats.org/spreadsheetml/2006/main" count="2940" uniqueCount="294">
  <si>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</si>
  <si>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</si>
  <si>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</si>
  <si>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</si>
  <si>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</si>
  <si>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</si>
  <si>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</si>
  <si>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</si>
  <si>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</si>
  <si>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</si>
  <si>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</si>
  <si>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</si>
  <si>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</si>
  <si>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</si>
  <si>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</si>
  <si>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</si>
  <si>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</si>
  <si>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</si>
  <si>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</si>
  <si>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</si>
  <si>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</si>
  <si>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</si>
  <si>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</si>
  <si>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</si>
  <si>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</si>
  <si>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</si>
  <si>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</si>
  <si>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</si>
  <si>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</si>
  <si>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</si>
  <si>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</si>
  <si>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</si>
  <si>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</si>
  <si>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</si>
  <si>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</si>
  <si>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</si>
  <si>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</si>
  <si>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</si>
  <si>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</si>
  <si>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</si>
  <si>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</si>
  <si>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</si>
  <si>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</si>
  <si>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</si>
  <si>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</si>
  <si>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</si>
  <si>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</si>
  <si>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</si>
  <si>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</si>
  <si>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</si>
  <si>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</si>
  <si>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</si>
  <si>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</si>
  <si>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</si>
  <si>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</si>
  <si>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</si>
  <si>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</si>
  <si>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</si>
  <si>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</si>
  <si>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</si>
  <si>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</si>
  <si>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</si>
  <si>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</si>
  <si>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</si>
  <si>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</si>
  <si>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</si>
  <si>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</si>
  <si>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</si>
  <si>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</si>
  <si>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</si>
  <si>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</si>
  <si>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</si>
  <si>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</si>
  <si>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</si>
  <si>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</si>
  <si>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</si>
  <si>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</si>
  <si>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</si>
  <si>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</si>
  <si>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</si>
  <si>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</si>
  <si>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</si>
  <si>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</si>
  <si>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</si>
  <si>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</si>
  <si>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</si>
  <si>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</si>
  <si>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</si>
  <si>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</si>
  <si>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</si>
  <si>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</si>
  <si>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</si>
  <si>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</si>
  <si>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</si>
  <si>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</si>
  <si>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</si>
  <si>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</si>
  <si>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</si>
  <si>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</si>
  <si>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</si>
  <si>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>Прочистка каналов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</si>
  <si>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</si>
  <si>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</si>
  <si>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</si>
  <si>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</si>
  <si>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</si>
  <si>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</si>
  <si>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</si>
  <si>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</si>
  <si>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</si>
  <si>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</si>
  <si>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</si>
  <si>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</si>
  <si>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</si>
  <si>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</si>
  <si>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 xml:space="preserve">6 раз за сезон </t>
  </si>
  <si>
    <t>Смена плавкой вставки в электрощитке</t>
  </si>
  <si>
    <t>Обслуживание прибора учета тепловой энергии</t>
  </si>
  <si>
    <t>1 шт</t>
  </si>
  <si>
    <t>Снятие показаний эл.счетчика коммунального назначения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</si>
  <si>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</si>
  <si>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№16 по ул.Советская пгт.Ярега
</t>
  </si>
  <si>
    <t>III. Проведение технических осмотров</t>
  </si>
  <si>
    <t>IV. Содержание общего имущества МКД</t>
  </si>
  <si>
    <t>генеральный директор Куканов Ю.Л.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</si>
  <si>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</si>
  <si>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</si>
  <si>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</si>
  <si>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</si>
  <si>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</si>
  <si>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Осмотр кровли металлической</t>
  </si>
  <si>
    <t>Очистка края кровли от слежавшегося снега со сбрасыванием сосулек (10% от S кровли и козырьки)</t>
  </si>
  <si>
    <t>100шт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</si>
  <si>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</si>
  <si>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</si>
  <si>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</si>
  <si>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место</t>
  </si>
  <si>
    <t>Внеплановый осмотр вводных электрических щитков</t>
  </si>
  <si>
    <t>48 раза в сезон</t>
  </si>
  <si>
    <t>48 раз за сезон</t>
  </si>
  <si>
    <t>Очистка урн от мусора</t>
  </si>
  <si>
    <t>48 раз</t>
  </si>
  <si>
    <t>26 раз за сезон</t>
  </si>
  <si>
    <t>Вывоз снега с придомовой территории</t>
  </si>
  <si>
    <t>1м3</t>
  </si>
  <si>
    <t>24 раза за сезон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</si>
  <si>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</si>
  <si>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</si>
  <si>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</si>
  <si>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</si>
  <si>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в.о.</t>
  </si>
  <si>
    <t>Стоимость светодиодного светильника</t>
  </si>
  <si>
    <t>руб</t>
  </si>
  <si>
    <t>Смена светодиодных светильников н.о.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</si>
  <si>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</si>
  <si>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</si>
  <si>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</si>
  <si>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</si>
  <si>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</si>
  <si>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д.16</t>
    </r>
  </si>
  <si>
    <t>Очистка канализационной сети внутренней</t>
  </si>
  <si>
    <t>АКТ №3</t>
  </si>
  <si>
    <t>1 м</t>
  </si>
  <si>
    <t>39 м3</t>
  </si>
  <si>
    <t>100 кв.</t>
  </si>
  <si>
    <t>АКТ №5</t>
  </si>
  <si>
    <t>Внеплановый осмотр электросетей, армазуры и электрооборудования на лестничных клетках</t>
  </si>
  <si>
    <t>АКТ №6</t>
  </si>
  <si>
    <t>ООО «Движение»</t>
  </si>
  <si>
    <t>АКТ №4</t>
  </si>
  <si>
    <t>АКТ №7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</si>
  <si>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</si>
  <si>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№8</t>
  </si>
  <si>
    <t>Смена арматуры - вентилей и клапанов обратных муфтовых диаметром до 20 мм</t>
  </si>
  <si>
    <t>АКТ №9</t>
  </si>
  <si>
    <t>АКТ №10</t>
  </si>
  <si>
    <t>4м</t>
  </si>
  <si>
    <t>Отвод 50-90</t>
  </si>
  <si>
    <t>Переход чугун-пластик 50</t>
  </si>
  <si>
    <t>кг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</si>
  <si>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</si>
  <si>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</si>
  <si>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01.01.2019 г. по 31.01.2019 г.</t>
  </si>
  <si>
    <t>Смена внутренних трубопроводов на полипропиленовые трубы PN 25 Dу25</t>
  </si>
  <si>
    <t>м</t>
  </si>
  <si>
    <t>Осмотр водопроводов, канализации, отопления в квартирах</t>
  </si>
  <si>
    <t>Смена арматуры - вентилей и клапанов обратных муфтовых диаметром до 20 мм (без материалов)</t>
  </si>
  <si>
    <t>Замена датчика температуры подачи отопления ( теплоузел СПТ)</t>
  </si>
  <si>
    <t>Узел учета ГВС (СДВ -И-2. 50-1,60-1, 00-М-20 мА DA42206053</t>
  </si>
  <si>
    <t>за период с 01.02.2019 г. по 28.02.2019 г.</t>
  </si>
  <si>
    <t>Настройка створки окна</t>
  </si>
  <si>
    <t>1 створка</t>
  </si>
  <si>
    <t>за период с 01.03.2019 г. по 31.03.2019 г.</t>
  </si>
  <si>
    <t>Осмотр системы центрального отопления, канализации в чердачных и подвальных помещениях</t>
  </si>
  <si>
    <t>Ремонт и регулировка доводчика (со стоимостью доводчика)</t>
  </si>
  <si>
    <t>1шт.</t>
  </si>
  <si>
    <t>Установка хомута диаметром до 50 мм</t>
  </si>
  <si>
    <t>за период с 01.04.2019 г. по 30.04.2019 г.</t>
  </si>
  <si>
    <t>40 м3</t>
  </si>
  <si>
    <t xml:space="preserve">Осмотр водопроводов, канализации, отопления </t>
  </si>
  <si>
    <t>Смена полипропиленовых канализационных труб ПП 50*2000</t>
  </si>
  <si>
    <t>Смена полипропиленовых канализационных труб ПП 50*1000</t>
  </si>
  <si>
    <t>Отвод 50-45</t>
  </si>
  <si>
    <t>Патрубок компенсационный 50</t>
  </si>
  <si>
    <t>Манжета 73*50</t>
  </si>
  <si>
    <t>Ревизия 50</t>
  </si>
  <si>
    <t>Муфта 50</t>
  </si>
  <si>
    <t>за период с 01.05.2019 г. по 31.05.2019 г.</t>
  </si>
  <si>
    <t>за период с 01.06.2019 г. по 30.06.2019 г.</t>
  </si>
  <si>
    <t>Смена патронов (без материалов)</t>
  </si>
  <si>
    <t>Смена оконных приборов - ручки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</si>
  <si>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</si>
  <si>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</si>
  <si>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</si>
  <si>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</si>
  <si>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</si>
  <si>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</si>
  <si>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4 раза</t>
  </si>
  <si>
    <t>25 раз</t>
  </si>
  <si>
    <t xml:space="preserve">2 раза </t>
  </si>
  <si>
    <t>1 раз</t>
  </si>
  <si>
    <t>2 маш-часа</t>
  </si>
  <si>
    <t>2. Всего за период с 01.01.2019 по 31.01.2019 выполнено работ (оказано услуг) на общую сумму: 102227,97 руб.</t>
  </si>
  <si>
    <t>(сто две тысячи двести двадцать семь рублей 97 копеек)</t>
  </si>
  <si>
    <t>2. Всего за период с 01.02.2019 по 28.02.2019 выполнено работ (оказано услуг) на общую сумму: 107596,96 руб.</t>
  </si>
  <si>
    <t>(сто семь тысяч пятьсот девяносто шесть рублей 96 копеек)</t>
  </si>
  <si>
    <t>1 маш-час</t>
  </si>
  <si>
    <t>2. Всего за период с 01.03.2019 по 31.03.2019 выполнено работ (оказано услуг) на общую сумму: 103143,80 руб.</t>
  </si>
  <si>
    <t>(сто три тысячи сто сорок  три рубля 80 копеек)</t>
  </si>
  <si>
    <t>2. Всего за период с 01.04.2019 по 30.04.2019 выполнено работ (оказано услуг) на общую сумму: 93616,86 руб.</t>
  </si>
  <si>
    <t>(девяносто три тысячи шестьсот шестнадцать рублей 86 копеек)</t>
  </si>
  <si>
    <t xml:space="preserve">1 раз   </t>
  </si>
  <si>
    <t xml:space="preserve">1 раз     </t>
  </si>
  <si>
    <t>2. Всего за период с 01.06.2019 по 30.06.2019 выполнено работ (оказано услуг) на общую сумму: 178960,89 руб.</t>
  </si>
  <si>
    <t>(сто семьдесят восемь тысяч девятьсот шестьдесят рублей 89 копеек)</t>
  </si>
  <si>
    <t>2 шт</t>
  </si>
  <si>
    <t>Биосорбен</t>
  </si>
  <si>
    <t>Смена розеток ( без материалов)</t>
  </si>
  <si>
    <t>Замена кран-буксы</t>
  </si>
  <si>
    <t>Внеплановая проверка вентканалов</t>
  </si>
  <si>
    <t>за период с 01.07.2019 г. по 31.07.2019 г.</t>
  </si>
  <si>
    <t>2. Всего за период с 01.07.2019 по 31.07.2019 выполнено работ (оказано услуг) на общую сумму: 72162,22 руб.</t>
  </si>
  <si>
    <t>(семьдесят две тысячи сто шестьдесят два рубля 22 копейки)</t>
  </si>
  <si>
    <t>Водосчетчик ХВС  ВСКМ 90-40</t>
  </si>
  <si>
    <t>Смена санитарных приборов - водосчетчиков (без стоимости водосчетчиков)</t>
  </si>
  <si>
    <t>2. Всего за период с 01.05.2019 по 31.05.2019 выполнено работ (оказано услуг) на общую сумму: 125036,47 руб.</t>
  </si>
  <si>
    <t>(сто двадцать пять тысяч тридцать шесть рублей 47 копеек)</t>
  </si>
  <si>
    <t>за период с 01.08.2019 г. по 31.08.2019 г.</t>
  </si>
  <si>
    <t>8 м с 61 кв. до подвала</t>
  </si>
  <si>
    <t>Смена арматуры - вентилей и клапанов обратных муфтовых диаметром до 32 мм</t>
  </si>
  <si>
    <t>в подвале</t>
  </si>
  <si>
    <t>Смена полиэтиленовых канализационных труб диаметром до 100 мм (без стоимости креплений)</t>
  </si>
  <si>
    <t>Смена полипропиленовых канализационных труб ПП 100*2000</t>
  </si>
  <si>
    <t>Смена полипропиленовых канализационных труб ПП 100*1000</t>
  </si>
  <si>
    <t>Отвод 100-90</t>
  </si>
  <si>
    <t>Патрубок компенсационный 110</t>
  </si>
  <si>
    <t>Переход чугун-пластик 110</t>
  </si>
  <si>
    <t>Крестовина левая 100*100*100*50</t>
  </si>
  <si>
    <t>Прикрутили лист оцинкованный</t>
  </si>
  <si>
    <t>1 лист</t>
  </si>
  <si>
    <t>кв.77 балкон</t>
  </si>
  <si>
    <t>с 61 кв.до подвала</t>
  </si>
  <si>
    <t>за период с 01.09.2019 г. по 30.09.2019 г.</t>
  </si>
  <si>
    <t>7 раз</t>
  </si>
  <si>
    <t>3 м, ГВС кв. 44</t>
  </si>
  <si>
    <t>Закрепили батарею, установили крюк (кв.31)</t>
  </si>
  <si>
    <t>2. Всего за период с 01.08.2019 по 31.08.2019 выполнено работ (оказано услуг) на общую сумму: 90073,57 руб.</t>
  </si>
  <si>
    <t>(девяносто тысяч семьдесят три рубля 57 копеек)</t>
  </si>
  <si>
    <t>кв.1 ХВС</t>
  </si>
  <si>
    <t>17 м с 5-го этажа</t>
  </si>
  <si>
    <t>2. Всего за период с 01.09.2019 по 30.09.2019 выполнено работ (оказано услуг) на общую сумму: 119572,00 руб.</t>
  </si>
  <si>
    <t>(сто девятнадцать тысяч пятьсот семьдесят два рубля 00 копеек)</t>
  </si>
  <si>
    <t>за период с 01.10.2019 г. по 31.10.2019 г.</t>
  </si>
  <si>
    <t>Смена внутренних трубопроводов на полипропиленовые трубы PN 25 Dу20</t>
  </si>
  <si>
    <t>Смена арматуры - задвижек диаметром 100 мм</t>
  </si>
  <si>
    <t>ГВС с 23 кв. до подвала, 2м</t>
  </si>
  <si>
    <t>ГВС с 23 кв. до подвала,4 м</t>
  </si>
  <si>
    <t>ГВС в подвале</t>
  </si>
  <si>
    <t>м/у 4 и 5 подъездоми</t>
  </si>
  <si>
    <t>р/у</t>
  </si>
  <si>
    <t>Перекрыли вентиль</t>
  </si>
  <si>
    <t>2. Всего за период с 01.10.2019 по 31.10.2019 выполнено работ (оказано услуг) на общую сумму: 85847,81 руб.</t>
  </si>
  <si>
    <t>(восемьдесят пять тысяч восемьсот сорок семь рублей 81 копейка)</t>
  </si>
  <si>
    <t>за период с 01.11.2019 г. по 30.11.2019 г.</t>
  </si>
  <si>
    <t>Замена фотоэлемента (без стоимости фотоэлемента)</t>
  </si>
  <si>
    <t>фотоэл.</t>
  </si>
  <si>
    <t>ХВС подвал</t>
  </si>
  <si>
    <t>2. Всего за период с 01.11.2019 по 30.11.2019 выполнено работ (оказано услуг) на общую сумму: 81639,58 руб.</t>
  </si>
  <si>
    <t>(восемьдесят одна тысяча шестьсот тридцать девять рублей 58 копеек)</t>
  </si>
  <si>
    <t>за период с 01.12.2019 г. по 31.12.2019 г.</t>
  </si>
  <si>
    <t>ГВС подвал</t>
  </si>
  <si>
    <t>ГВС подвал, 2 шт</t>
  </si>
  <si>
    <t>2. Всего за период с 01.12.2019 по 31.12.2019 выполнено работ (оказано услуг) на общую сумму: 88944,51 руб.</t>
  </si>
  <si>
    <t>(восемьдесят восемь тысяч девятьсот сорок четыре рубля 51 копейка)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</si>
</sst>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4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1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center" vertical="center"/>
    </xf>
    <xf numFmtId="4" fontId="21" fillId="2" borderId="8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4" fontId="21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view="pageBreakPreview" topLeftCell="A82" zoomScale="60" workbookViewId="0">
      <selection activeCell="B99" sqref="B99:I99"/>
    </sheetView>
  </sheetViews>
  <sheetFormatPr defaultRowHeight="15"/>
  <cols>
    <col min="1" max="1" width="7.5703125" customWidth="1"/>
    <col min="2" max="2" width="53.140625" customWidth="1"/>
    <col min="3" max="3" width="20.5703125" customWidth="1"/>
    <col min="4" max="4" width="18.8554687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128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182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3"/>
      <c r="C6" s="103"/>
      <c r="D6" s="103"/>
      <c r="E6" s="103"/>
      <c r="F6" s="103"/>
      <c r="G6" s="103"/>
      <c r="H6" s="103"/>
      <c r="I6" s="21">
        <v>43496</v>
      </c>
    </row>
    <row r="7" spans="1:9" ht="15.75">
      <c r="B7" s="101"/>
      <c r="C7" s="101"/>
      <c r="D7" s="101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.7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5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 ht="15.75" hidden="1" customHeight="1">
      <c r="A27" s="20">
        <v>7</v>
      </c>
      <c r="B27" s="81" t="s">
        <v>23</v>
      </c>
      <c r="C27" s="37" t="s">
        <v>24</v>
      </c>
      <c r="D27" s="81" t="s">
        <v>129</v>
      </c>
      <c r="E27" s="76">
        <v>4394.8999999999996</v>
      </c>
      <c r="F27" s="24">
        <f>SUM(E27*12)</f>
        <v>52738.799999999996</v>
      </c>
      <c r="G27" s="24">
        <v>3.34</v>
      </c>
      <c r="H27" s="77">
        <f>SUM(F27*G27/1000)</f>
        <v>176.14759199999997</v>
      </c>
      <c r="I27" s="10">
        <f>F27/12*G27</f>
        <v>14678.965999999999</v>
      </c>
    </row>
    <row r="28" spans="1:9" ht="15.75" customHeight="1">
      <c r="A28" s="177" t="s">
        <v>84</v>
      </c>
      <c r="B28" s="178"/>
      <c r="C28" s="178"/>
      <c r="D28" s="178"/>
      <c r="E28" s="178"/>
      <c r="F28" s="178"/>
      <c r="G28" s="178"/>
      <c r="H28" s="178"/>
      <c r="I28" s="179"/>
    </row>
    <row r="29" spans="1:9" ht="15.75" hidden="1" customHeight="1">
      <c r="A29" s="20"/>
      <c r="B29" s="94" t="s">
        <v>28</v>
      </c>
      <c r="C29" s="37"/>
      <c r="D29" s="25"/>
      <c r="E29" s="76"/>
      <c r="F29" s="24"/>
      <c r="G29" s="24"/>
      <c r="H29" s="77"/>
      <c r="I29" s="10"/>
    </row>
    <row r="30" spans="1:9" ht="15.75" hidden="1" customHeight="1">
      <c r="A30" s="20"/>
      <c r="B30" s="25" t="s">
        <v>94</v>
      </c>
      <c r="C30" s="37" t="s">
        <v>88</v>
      </c>
      <c r="D30" s="25" t="s">
        <v>138</v>
      </c>
      <c r="E30" s="24">
        <v>637</v>
      </c>
      <c r="F30" s="24">
        <f>SUM(E30*48/1000)</f>
        <v>30.576000000000001</v>
      </c>
      <c r="G30" s="24">
        <v>204.44</v>
      </c>
      <c r="H30" s="77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133</v>
      </c>
      <c r="C31" s="37" t="s">
        <v>88</v>
      </c>
      <c r="D31" s="25" t="s">
        <v>139</v>
      </c>
      <c r="E31" s="24">
        <v>188</v>
      </c>
      <c r="F31" s="24">
        <f>SUM(E31*48/1000)</f>
        <v>9.0239999999999991</v>
      </c>
      <c r="G31" s="24">
        <v>339.21</v>
      </c>
      <c r="H31" s="77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88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7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140</v>
      </c>
      <c r="C33" s="37" t="s">
        <v>41</v>
      </c>
      <c r="D33" s="25" t="s">
        <v>141</v>
      </c>
      <c r="E33" s="24">
        <v>8</v>
      </c>
      <c r="F33" s="24">
        <f>SUM(E33*48/100)</f>
        <v>3.84</v>
      </c>
      <c r="G33" s="24">
        <v>1707.63</v>
      </c>
      <c r="H33" s="77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93</v>
      </c>
      <c r="C34" s="37" t="s">
        <v>31</v>
      </c>
      <c r="D34" s="25" t="s">
        <v>64</v>
      </c>
      <c r="E34" s="79">
        <f>1/3</f>
        <v>0.33333333333333331</v>
      </c>
      <c r="F34" s="24">
        <f>155/3</f>
        <v>51.666666666666664</v>
      </c>
      <c r="G34" s="24">
        <v>74.349999999999994</v>
      </c>
      <c r="H34" s="77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65</v>
      </c>
      <c r="C35" s="37" t="s">
        <v>33</v>
      </c>
      <c r="D35" s="25" t="s">
        <v>67</v>
      </c>
      <c r="E35" s="76"/>
      <c r="F35" s="24">
        <v>2</v>
      </c>
      <c r="G35" s="24">
        <v>250.92</v>
      </c>
      <c r="H35" s="77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66</v>
      </c>
      <c r="C36" s="37" t="s">
        <v>32</v>
      </c>
      <c r="D36" s="25" t="s">
        <v>67</v>
      </c>
      <c r="E36" s="76"/>
      <c r="F36" s="24">
        <v>3</v>
      </c>
      <c r="G36" s="24">
        <v>1490.31</v>
      </c>
      <c r="H36" s="77">
        <f t="shared" si="2"/>
        <v>4.4709300000000001</v>
      </c>
      <c r="I36" s="10">
        <v>0</v>
      </c>
    </row>
    <row r="37" spans="1:9" ht="15.75" customHeight="1">
      <c r="A37" s="20"/>
      <c r="B37" s="94" t="s">
        <v>5</v>
      </c>
      <c r="C37" s="37"/>
      <c r="D37" s="25"/>
      <c r="E37" s="76"/>
      <c r="F37" s="24"/>
      <c r="G37" s="24"/>
      <c r="H37" s="77" t="s">
        <v>129</v>
      </c>
      <c r="I37" s="10"/>
    </row>
    <row r="38" spans="1:9" ht="15.75" customHeight="1">
      <c r="A38" s="20">
        <v>7</v>
      </c>
      <c r="B38" s="26" t="s">
        <v>26</v>
      </c>
      <c r="C38" s="37" t="s">
        <v>32</v>
      </c>
      <c r="D38" s="25"/>
      <c r="E38" s="76"/>
      <c r="F38" s="24">
        <v>8</v>
      </c>
      <c r="G38" s="24">
        <v>2003</v>
      </c>
      <c r="H38" s="77">
        <f t="shared" ref="H38:H45" si="4">SUM(F38*G38/1000)</f>
        <v>16.024000000000001</v>
      </c>
      <c r="I38" s="10">
        <f>G38*3.26</f>
        <v>6529.78</v>
      </c>
    </row>
    <row r="39" spans="1:9" ht="15.75" customHeight="1">
      <c r="A39" s="20">
        <v>8</v>
      </c>
      <c r="B39" s="26" t="s">
        <v>68</v>
      </c>
      <c r="C39" s="51" t="s">
        <v>29</v>
      </c>
      <c r="D39" s="26" t="s">
        <v>217</v>
      </c>
      <c r="E39" s="27">
        <v>188</v>
      </c>
      <c r="F39" s="27">
        <f>SUM(E39*26/1000)</f>
        <v>4.8879999999999999</v>
      </c>
      <c r="G39" s="27">
        <v>2757.78</v>
      </c>
      <c r="H39" s="77">
        <f t="shared" si="4"/>
        <v>13.48002864</v>
      </c>
      <c r="I39" s="10">
        <f t="shared" ref="I39:I45" si="5">F39/6*G39</f>
        <v>2246.6714400000001</v>
      </c>
    </row>
    <row r="40" spans="1:9" ht="15.75" customHeight="1">
      <c r="A40" s="20">
        <v>9</v>
      </c>
      <c r="B40" s="25" t="s">
        <v>69</v>
      </c>
      <c r="C40" s="37" t="s">
        <v>29</v>
      </c>
      <c r="D40" s="25" t="s">
        <v>218</v>
      </c>
      <c r="E40" s="24">
        <v>188</v>
      </c>
      <c r="F40" s="27">
        <f>SUM(E40*155/1000)</f>
        <v>29.14</v>
      </c>
      <c r="G40" s="24">
        <v>460.02</v>
      </c>
      <c r="H40" s="77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>
        <v>11</v>
      </c>
      <c r="B41" s="25" t="s">
        <v>143</v>
      </c>
      <c r="C41" s="37" t="s">
        <v>144</v>
      </c>
      <c r="D41" s="25"/>
      <c r="E41" s="76"/>
      <c r="F41" s="27">
        <v>50</v>
      </c>
      <c r="G41" s="24">
        <v>213.2</v>
      </c>
      <c r="H41" s="77">
        <f t="shared" si="4"/>
        <v>10.66</v>
      </c>
      <c r="I41" s="10">
        <v>0</v>
      </c>
    </row>
    <row r="42" spans="1:9" ht="47.25" customHeight="1">
      <c r="A42" s="20">
        <v>10</v>
      </c>
      <c r="B42" s="25" t="s">
        <v>83</v>
      </c>
      <c r="C42" s="37" t="s">
        <v>88</v>
      </c>
      <c r="D42" s="25" t="s">
        <v>217</v>
      </c>
      <c r="E42" s="24">
        <v>188</v>
      </c>
      <c r="F42" s="27">
        <f>SUM(E42*26/1000)</f>
        <v>4.8879999999999999</v>
      </c>
      <c r="G42" s="24">
        <v>7611.16</v>
      </c>
      <c r="H42" s="77">
        <f t="shared" si="4"/>
        <v>37.20335008</v>
      </c>
      <c r="I42" s="10">
        <f t="shared" si="5"/>
        <v>6200.5583466666667</v>
      </c>
    </row>
    <row r="43" spans="1:9" ht="15.75" customHeight="1">
      <c r="A43" s="20">
        <v>11</v>
      </c>
      <c r="B43" s="25" t="s">
        <v>89</v>
      </c>
      <c r="C43" s="37" t="s">
        <v>88</v>
      </c>
      <c r="D43" s="25" t="s">
        <v>217</v>
      </c>
      <c r="E43" s="24">
        <v>188</v>
      </c>
      <c r="F43" s="27">
        <f>SUM(E43*24/1000)</f>
        <v>4.5119999999999996</v>
      </c>
      <c r="G43" s="24">
        <v>562.25</v>
      </c>
      <c r="H43" s="77">
        <f t="shared" si="4"/>
        <v>2.5368719999999998</v>
      </c>
      <c r="I43" s="10">
        <f>F43/7.5*G43</f>
        <v>338.24959999999993</v>
      </c>
    </row>
    <row r="44" spans="1:9" ht="15.75" customHeight="1">
      <c r="A44" s="20">
        <v>12</v>
      </c>
      <c r="B44" s="26" t="s">
        <v>70</v>
      </c>
      <c r="C44" s="51" t="s">
        <v>33</v>
      </c>
      <c r="D44" s="26"/>
      <c r="E44" s="80"/>
      <c r="F44" s="27">
        <v>0.9</v>
      </c>
      <c r="G44" s="27">
        <v>974.83</v>
      </c>
      <c r="H44" s="77">
        <f t="shared" si="4"/>
        <v>0.8773470000000001</v>
      </c>
      <c r="I44" s="10">
        <f>F44/7.5*G44</f>
        <v>116.97960000000002</v>
      </c>
    </row>
    <row r="45" spans="1:9" ht="15.75" customHeight="1">
      <c r="A45" s="20">
        <v>13</v>
      </c>
      <c r="B45" s="68" t="s">
        <v>146</v>
      </c>
      <c r="C45" s="55" t="s">
        <v>29</v>
      </c>
      <c r="D45" s="26" t="s">
        <v>219</v>
      </c>
      <c r="E45" s="80">
        <v>2.4</v>
      </c>
      <c r="F45" s="27">
        <f>SUM(E45*12/1000)</f>
        <v>2.8799999999999996E-2</v>
      </c>
      <c r="G45" s="27">
        <v>260.2</v>
      </c>
      <c r="H45" s="77">
        <f t="shared" si="4"/>
        <v>7.4937599999999986E-3</v>
      </c>
      <c r="I45" s="10">
        <f t="shared" si="5"/>
        <v>1.2489599999999998</v>
      </c>
    </row>
    <row r="46" spans="1:9" ht="15.75" customHeight="1">
      <c r="A46" s="177" t="s">
        <v>122</v>
      </c>
      <c r="B46" s="178"/>
      <c r="C46" s="178"/>
      <c r="D46" s="178"/>
      <c r="E46" s="178"/>
      <c r="F46" s="178"/>
      <c r="G46" s="178"/>
      <c r="H46" s="178"/>
      <c r="I46" s="179"/>
    </row>
    <row r="47" spans="1:9" ht="15.75" hidden="1" customHeight="1">
      <c r="A47" s="20"/>
      <c r="B47" s="25" t="s">
        <v>130</v>
      </c>
      <c r="C47" s="37" t="s">
        <v>88</v>
      </c>
      <c r="D47" s="25" t="s">
        <v>43</v>
      </c>
      <c r="E47" s="76">
        <v>1609.3</v>
      </c>
      <c r="F47" s="24">
        <f>SUM(E47*2/1000)</f>
        <v>3.2185999999999999</v>
      </c>
      <c r="G47" s="29">
        <v>1193.71</v>
      </c>
      <c r="H47" s="77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88</v>
      </c>
      <c r="D48" s="25" t="s">
        <v>43</v>
      </c>
      <c r="E48" s="76">
        <v>104</v>
      </c>
      <c r="F48" s="24">
        <f>SUM(E48*2/1000)</f>
        <v>0.20799999999999999</v>
      </c>
      <c r="G48" s="29">
        <v>4419.05</v>
      </c>
      <c r="H48" s="77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88</v>
      </c>
      <c r="D49" s="25" t="s">
        <v>43</v>
      </c>
      <c r="E49" s="76">
        <v>1996.87</v>
      </c>
      <c r="F49" s="24">
        <f>SUM(E49*2/1000)</f>
        <v>3.9937399999999998</v>
      </c>
      <c r="G49" s="29">
        <v>1803.69</v>
      </c>
      <c r="H49" s="77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88</v>
      </c>
      <c r="D50" s="25" t="s">
        <v>43</v>
      </c>
      <c r="E50" s="76">
        <v>2654.21</v>
      </c>
      <c r="F50" s="24">
        <f>SUM(E50*2/1000)</f>
        <v>5.3084199999999999</v>
      </c>
      <c r="G50" s="29">
        <v>1243.43</v>
      </c>
      <c r="H50" s="77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6">
        <v>128.53</v>
      </c>
      <c r="F51" s="24">
        <f>SUM(E51*2/100)</f>
        <v>2.5706000000000002</v>
      </c>
      <c r="G51" s="29">
        <v>1352.76</v>
      </c>
      <c r="H51" s="77">
        <f t="shared" si="6"/>
        <v>3.4774048560000002</v>
      </c>
      <c r="I51" s="10">
        <f t="shared" si="7"/>
        <v>1738.7024280000001</v>
      </c>
    </row>
    <row r="52" spans="1:9" ht="15.75" customHeight="1">
      <c r="A52" s="20">
        <v>14</v>
      </c>
      <c r="B52" s="25" t="s">
        <v>57</v>
      </c>
      <c r="C52" s="37" t="s">
        <v>88</v>
      </c>
      <c r="D52" s="25" t="s">
        <v>220</v>
      </c>
      <c r="E52" s="76">
        <v>4394.8999999999996</v>
      </c>
      <c r="F52" s="24">
        <f>SUM(E52*5/1000)</f>
        <v>21.974499999999999</v>
      </c>
      <c r="G52" s="29">
        <v>1803.69</v>
      </c>
      <c r="H52" s="77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90</v>
      </c>
      <c r="C53" s="37" t="s">
        <v>88</v>
      </c>
      <c r="D53" s="25" t="s">
        <v>43</v>
      </c>
      <c r="E53" s="76">
        <v>4394.8999999999996</v>
      </c>
      <c r="F53" s="24">
        <f>SUM(E53*2/1000)</f>
        <v>8.7897999999999996</v>
      </c>
      <c r="G53" s="29">
        <v>1591.6</v>
      </c>
      <c r="H53" s="77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91</v>
      </c>
      <c r="C54" s="37" t="s">
        <v>39</v>
      </c>
      <c r="D54" s="25" t="s">
        <v>43</v>
      </c>
      <c r="E54" s="76">
        <v>40</v>
      </c>
      <c r="F54" s="24">
        <f>SUM(E54*2/100)</f>
        <v>0.8</v>
      </c>
      <c r="G54" s="29">
        <v>4058.32</v>
      </c>
      <c r="H54" s="77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6">
        <v>1</v>
      </c>
      <c r="F55" s="24">
        <v>0.02</v>
      </c>
      <c r="G55" s="29">
        <v>7412.92</v>
      </c>
      <c r="H55" s="77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>
        <v>16</v>
      </c>
      <c r="B56" s="25" t="s">
        <v>42</v>
      </c>
      <c r="C56" s="37" t="s">
        <v>95</v>
      </c>
      <c r="D56" s="25" t="s">
        <v>71</v>
      </c>
      <c r="E56" s="76">
        <v>160</v>
      </c>
      <c r="F56" s="24">
        <f>SUM(E56)*3</f>
        <v>480</v>
      </c>
      <c r="G56" s="30">
        <v>86.15</v>
      </c>
      <c r="H56" s="77">
        <f t="shared" si="6"/>
        <v>41.351999999999997</v>
      </c>
      <c r="I56" s="10">
        <f>F56/3*G56</f>
        <v>13784</v>
      </c>
    </row>
    <row r="57" spans="1:9" ht="15.75" customHeight="1">
      <c r="A57" s="177" t="s">
        <v>123</v>
      </c>
      <c r="B57" s="178"/>
      <c r="C57" s="178"/>
      <c r="D57" s="178"/>
      <c r="E57" s="178"/>
      <c r="F57" s="178"/>
      <c r="G57" s="178"/>
      <c r="H57" s="178"/>
      <c r="I57" s="179"/>
    </row>
    <row r="58" spans="1:9" ht="15.75" customHeight="1">
      <c r="A58" s="20"/>
      <c r="B58" s="94" t="s">
        <v>44</v>
      </c>
      <c r="C58" s="37"/>
      <c r="D58" s="25"/>
      <c r="E58" s="76"/>
      <c r="F58" s="24"/>
      <c r="G58" s="24"/>
      <c r="H58" s="77"/>
      <c r="I58" s="10"/>
    </row>
    <row r="59" spans="1:9" ht="31.5" customHeight="1">
      <c r="A59" s="20">
        <v>15</v>
      </c>
      <c r="B59" s="25" t="s">
        <v>131</v>
      </c>
      <c r="C59" s="37" t="s">
        <v>86</v>
      </c>
      <c r="D59" s="25"/>
      <c r="E59" s="76">
        <v>160</v>
      </c>
      <c r="F59" s="24">
        <f>SUM(E59*6/100)</f>
        <v>9.6</v>
      </c>
      <c r="G59" s="29">
        <v>2029.3</v>
      </c>
      <c r="H59" s="77">
        <f>SUM(F59*G59/1000)</f>
        <v>19.481279999999998</v>
      </c>
      <c r="I59" s="10">
        <f>G59*(0.125+0.125)</f>
        <v>507.32499999999999</v>
      </c>
    </row>
    <row r="60" spans="1:9" ht="15.75" customHeight="1">
      <c r="A60" s="20">
        <v>16</v>
      </c>
      <c r="B60" s="25" t="s">
        <v>148</v>
      </c>
      <c r="C60" s="37" t="s">
        <v>149</v>
      </c>
      <c r="D60" s="25" t="s">
        <v>221</v>
      </c>
      <c r="E60" s="76"/>
      <c r="F60" s="24">
        <v>3</v>
      </c>
      <c r="G60" s="29">
        <v>1582.05</v>
      </c>
      <c r="H60" s="77">
        <f>SUM(F60*G60/1000)</f>
        <v>4.7461499999999992</v>
      </c>
      <c r="I60" s="10">
        <f>G60*2</f>
        <v>3164.1</v>
      </c>
    </row>
    <row r="61" spans="1:9" ht="15.75" customHeight="1">
      <c r="A61" s="20"/>
      <c r="B61" s="94" t="s">
        <v>45</v>
      </c>
      <c r="C61" s="37"/>
      <c r="D61" s="25"/>
      <c r="E61" s="76"/>
      <c r="F61" s="24"/>
      <c r="G61" s="96"/>
      <c r="H61" s="77"/>
      <c r="I61" s="10"/>
    </row>
    <row r="62" spans="1:9" ht="15.75" hidden="1" customHeight="1">
      <c r="A62" s="20"/>
      <c r="B62" s="25" t="s">
        <v>46</v>
      </c>
      <c r="C62" s="37" t="s">
        <v>86</v>
      </c>
      <c r="D62" s="25" t="s">
        <v>55</v>
      </c>
      <c r="E62" s="76">
        <v>206</v>
      </c>
      <c r="F62" s="24">
        <f>SUM(E62/100)</f>
        <v>2.06</v>
      </c>
      <c r="G62" s="24">
        <v>1040.8399999999999</v>
      </c>
      <c r="H62" s="77">
        <f>F62*G62/1000</f>
        <v>2.1441303999999999</v>
      </c>
      <c r="I62" s="10">
        <v>0</v>
      </c>
    </row>
    <row r="63" spans="1:9" ht="15.75" customHeight="1">
      <c r="A63" s="20">
        <v>17</v>
      </c>
      <c r="B63" s="25" t="s">
        <v>120</v>
      </c>
      <c r="C63" s="37" t="s">
        <v>25</v>
      </c>
      <c r="D63" s="25" t="s">
        <v>220</v>
      </c>
      <c r="E63" s="76">
        <v>200</v>
      </c>
      <c r="F63" s="24">
        <f>E63*12</f>
        <v>2400</v>
      </c>
      <c r="G63" s="54">
        <v>1.4</v>
      </c>
      <c r="H63" s="77">
        <f>F63*G63/1000</f>
        <v>3.36</v>
      </c>
      <c r="I63" s="10">
        <f>F63/12*G63</f>
        <v>280</v>
      </c>
    </row>
    <row r="64" spans="1:9" ht="15.75" hidden="1" customHeight="1">
      <c r="A64" s="20"/>
      <c r="B64" s="95" t="s">
        <v>47</v>
      </c>
      <c r="C64" s="82"/>
      <c r="D64" s="83"/>
      <c r="E64" s="84"/>
      <c r="F64" s="85"/>
      <c r="G64" s="85"/>
      <c r="H64" s="86" t="s">
        <v>129</v>
      </c>
      <c r="I64" s="10"/>
    </row>
    <row r="65" spans="1:9" ht="15.75" hidden="1" customHeight="1">
      <c r="A65" s="20">
        <v>18</v>
      </c>
      <c r="B65" s="52" t="s">
        <v>48</v>
      </c>
      <c r="C65" s="33" t="s">
        <v>95</v>
      </c>
      <c r="D65" s="25" t="s">
        <v>67</v>
      </c>
      <c r="E65" s="13">
        <v>10</v>
      </c>
      <c r="F65" s="24">
        <f>SUM(E65)</f>
        <v>10</v>
      </c>
      <c r="G65" s="29">
        <v>291.68</v>
      </c>
      <c r="H65" s="66">
        <f t="shared" ref="H65:H84" si="8">SUM(F65*G65/1000)</f>
        <v>2.9168000000000003</v>
      </c>
      <c r="I65" s="10">
        <f>G65*3</f>
        <v>875.04</v>
      </c>
    </row>
    <row r="66" spans="1:9" ht="15.75" hidden="1" customHeight="1">
      <c r="A66" s="20"/>
      <c r="B66" s="52" t="s">
        <v>49</v>
      </c>
      <c r="C66" s="33" t="s">
        <v>95</v>
      </c>
      <c r="D66" s="25" t="s">
        <v>67</v>
      </c>
      <c r="E66" s="13">
        <v>5</v>
      </c>
      <c r="F66" s="24">
        <f>SUM(E66)</f>
        <v>5</v>
      </c>
      <c r="G66" s="29">
        <v>100.01</v>
      </c>
      <c r="H66" s="66">
        <f t="shared" si="8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96</v>
      </c>
      <c r="D67" s="32" t="s">
        <v>55</v>
      </c>
      <c r="E67" s="76">
        <v>24063</v>
      </c>
      <c r="F67" s="30">
        <f>SUM(E67/100)</f>
        <v>240.63</v>
      </c>
      <c r="G67" s="29">
        <v>278.24</v>
      </c>
      <c r="H67" s="66">
        <f t="shared" si="8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97</v>
      </c>
      <c r="D68" s="32" t="s">
        <v>55</v>
      </c>
      <c r="E68" s="76">
        <v>24063</v>
      </c>
      <c r="F68" s="29">
        <f>SUM(E68/1000)</f>
        <v>24.062999999999999</v>
      </c>
      <c r="G68" s="29">
        <v>216.68</v>
      </c>
      <c r="H68" s="66">
        <f t="shared" si="8"/>
        <v>5.21397084</v>
      </c>
      <c r="I68" s="10">
        <f t="shared" ref="I68:I72" si="9">F68*G68</f>
        <v>5213.97084</v>
      </c>
    </row>
    <row r="69" spans="1:9" ht="15.75" hidden="1" customHeight="1">
      <c r="A69" s="20"/>
      <c r="B69" s="52" t="s">
        <v>52</v>
      </c>
      <c r="C69" s="33" t="s">
        <v>78</v>
      </c>
      <c r="D69" s="32" t="s">
        <v>55</v>
      </c>
      <c r="E69" s="76">
        <v>1300</v>
      </c>
      <c r="F69" s="29">
        <f>SUM(E69/100)</f>
        <v>13</v>
      </c>
      <c r="G69" s="29">
        <v>2720.94</v>
      </c>
      <c r="H69" s="66">
        <f t="shared" si="8"/>
        <v>35.372219999999999</v>
      </c>
      <c r="I69" s="10">
        <f t="shared" si="9"/>
        <v>35372.22</v>
      </c>
    </row>
    <row r="70" spans="1:9" ht="15.75" hidden="1" customHeight="1">
      <c r="A70" s="20"/>
      <c r="B70" s="48" t="s">
        <v>72</v>
      </c>
      <c r="C70" s="33" t="s">
        <v>33</v>
      </c>
      <c r="D70" s="32"/>
      <c r="E70" s="76">
        <v>10.4</v>
      </c>
      <c r="F70" s="29">
        <f>SUM(E70)</f>
        <v>10.4</v>
      </c>
      <c r="G70" s="29">
        <v>42.61</v>
      </c>
      <c r="H70" s="66">
        <f t="shared" si="8"/>
        <v>0.44314399999999998</v>
      </c>
      <c r="I70" s="10">
        <f t="shared" si="9"/>
        <v>443.14400000000001</v>
      </c>
    </row>
    <row r="71" spans="1:9" ht="31.5" hidden="1" customHeight="1">
      <c r="A71" s="20"/>
      <c r="B71" s="48" t="s">
        <v>73</v>
      </c>
      <c r="C71" s="33" t="s">
        <v>33</v>
      </c>
      <c r="D71" s="32"/>
      <c r="E71" s="76">
        <v>10.4</v>
      </c>
      <c r="F71" s="29">
        <f>SUM(E71)</f>
        <v>10.4</v>
      </c>
      <c r="G71" s="29">
        <v>46.04</v>
      </c>
      <c r="H71" s="66">
        <f t="shared" si="8"/>
        <v>0.47881600000000002</v>
      </c>
      <c r="I71" s="10">
        <f t="shared" si="9"/>
        <v>478.81600000000003</v>
      </c>
    </row>
    <row r="72" spans="1:9" ht="15.75" hidden="1" customHeight="1">
      <c r="A72" s="20"/>
      <c r="B72" s="32" t="s">
        <v>58</v>
      </c>
      <c r="C72" s="33" t="s">
        <v>59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6">
        <f t="shared" si="8"/>
        <v>0.3271</v>
      </c>
      <c r="I72" s="10">
        <f t="shared" si="9"/>
        <v>327.10000000000002</v>
      </c>
    </row>
    <row r="73" spans="1:9" ht="15.75" customHeight="1">
      <c r="A73" s="20"/>
      <c r="B73" s="45" t="s">
        <v>74</v>
      </c>
      <c r="C73" s="33"/>
      <c r="D73" s="32"/>
      <c r="E73" s="13"/>
      <c r="F73" s="29"/>
      <c r="G73" s="29"/>
      <c r="H73" s="66" t="s">
        <v>129</v>
      </c>
      <c r="I73" s="10"/>
    </row>
    <row r="74" spans="1:9" ht="15.75" hidden="1" customHeight="1">
      <c r="A74" s="20"/>
      <c r="B74" s="32" t="s">
        <v>150</v>
      </c>
      <c r="C74" s="33" t="s">
        <v>95</v>
      </c>
      <c r="D74" s="25" t="s">
        <v>67</v>
      </c>
      <c r="E74" s="13">
        <v>1</v>
      </c>
      <c r="F74" s="29">
        <v>1</v>
      </c>
      <c r="G74" s="29">
        <v>1029.1199999999999</v>
      </c>
      <c r="H74" s="66">
        <f t="shared" ref="H74:H77" si="10">SUM(F74*G74/1000)</f>
        <v>1.0291199999999998</v>
      </c>
      <c r="I74" s="10">
        <v>0</v>
      </c>
    </row>
    <row r="75" spans="1:9" ht="15.75" hidden="1" customHeight="1">
      <c r="A75" s="20"/>
      <c r="B75" s="32" t="s">
        <v>151</v>
      </c>
      <c r="C75" s="33" t="s">
        <v>152</v>
      </c>
      <c r="D75" s="32"/>
      <c r="E75" s="13">
        <v>1</v>
      </c>
      <c r="F75" s="29">
        <f>E75</f>
        <v>1</v>
      </c>
      <c r="G75" s="29">
        <v>735</v>
      </c>
      <c r="H75" s="66">
        <f t="shared" si="10"/>
        <v>0.73499999999999999</v>
      </c>
      <c r="I75" s="10">
        <v>0</v>
      </c>
    </row>
    <row r="76" spans="1:9" ht="15.75" hidden="1" customHeight="1">
      <c r="A76" s="20">
        <v>19</v>
      </c>
      <c r="B76" s="32" t="s">
        <v>75</v>
      </c>
      <c r="C76" s="33" t="s">
        <v>76</v>
      </c>
      <c r="D76" s="25" t="s">
        <v>67</v>
      </c>
      <c r="E76" s="13">
        <v>7</v>
      </c>
      <c r="F76" s="29">
        <f>E76/10</f>
        <v>0.7</v>
      </c>
      <c r="G76" s="29">
        <v>657.87</v>
      </c>
      <c r="H76" s="66">
        <f t="shared" si="10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116</v>
      </c>
      <c r="C77" s="33" t="s">
        <v>95</v>
      </c>
      <c r="D77" s="25" t="s">
        <v>67</v>
      </c>
      <c r="E77" s="13">
        <v>1</v>
      </c>
      <c r="F77" s="24">
        <f>SUM(E77)</f>
        <v>1</v>
      </c>
      <c r="G77" s="29">
        <v>1118.72</v>
      </c>
      <c r="H77" s="66">
        <f t="shared" si="10"/>
        <v>1.1187199999999999</v>
      </c>
      <c r="I77" s="10">
        <v>0</v>
      </c>
    </row>
    <row r="78" spans="1:9" ht="15.75" hidden="1" customHeight="1">
      <c r="A78" s="20"/>
      <c r="B78" s="68" t="s">
        <v>153</v>
      </c>
      <c r="C78" s="55" t="s">
        <v>95</v>
      </c>
      <c r="D78" s="25" t="s">
        <v>67</v>
      </c>
      <c r="E78" s="13">
        <v>1</v>
      </c>
      <c r="F78" s="54">
        <v>1</v>
      </c>
      <c r="G78" s="29">
        <v>1605.83</v>
      </c>
      <c r="H78" s="66">
        <f>SUM(F78*G78/1000)</f>
        <v>1.6058299999999999</v>
      </c>
      <c r="I78" s="10">
        <v>0</v>
      </c>
    </row>
    <row r="79" spans="1:9" ht="31.5" customHeight="1">
      <c r="A79" s="20">
        <v>18</v>
      </c>
      <c r="B79" s="68" t="s">
        <v>154</v>
      </c>
      <c r="C79" s="55" t="s">
        <v>95</v>
      </c>
      <c r="D79" s="32" t="s">
        <v>215</v>
      </c>
      <c r="E79" s="87">
        <v>2</v>
      </c>
      <c r="F79" s="85">
        <f>E79*12</f>
        <v>24</v>
      </c>
      <c r="G79" s="88">
        <v>53.42</v>
      </c>
      <c r="H79" s="66">
        <f t="shared" ref="H79:H80" si="11">SUM(F79*G79/1000)</f>
        <v>1.2820799999999999</v>
      </c>
      <c r="I79" s="10">
        <f>F79/12*G79</f>
        <v>106.84</v>
      </c>
    </row>
    <row r="80" spans="1:9" ht="15.75" customHeight="1">
      <c r="A80" s="20">
        <v>19</v>
      </c>
      <c r="B80" s="62" t="s">
        <v>117</v>
      </c>
      <c r="C80" s="33"/>
      <c r="D80" s="32" t="s">
        <v>215</v>
      </c>
      <c r="E80" s="13">
        <v>1</v>
      </c>
      <c r="F80" s="29">
        <v>12</v>
      </c>
      <c r="G80" s="29">
        <v>1194</v>
      </c>
      <c r="H80" s="66">
        <f t="shared" si="11"/>
        <v>14.327999999999999</v>
      </c>
      <c r="I80" s="10">
        <f>F80/12*G80</f>
        <v>1194</v>
      </c>
    </row>
    <row r="81" spans="1:11" ht="15.75" customHeight="1">
      <c r="A81" s="20"/>
      <c r="B81" s="97" t="s">
        <v>155</v>
      </c>
      <c r="C81" s="55"/>
      <c r="D81" s="32"/>
      <c r="E81" s="13"/>
      <c r="F81" s="29"/>
      <c r="G81" s="29"/>
      <c r="H81" s="66"/>
      <c r="I81" s="10"/>
    </row>
    <row r="82" spans="1:11" ht="15.75" customHeight="1">
      <c r="A82" s="20">
        <v>20</v>
      </c>
      <c r="B82" s="32" t="s">
        <v>156</v>
      </c>
      <c r="C82" s="38" t="s">
        <v>157</v>
      </c>
      <c r="D82" s="25"/>
      <c r="E82" s="13">
        <v>4394.8999999999996</v>
      </c>
      <c r="F82" s="29">
        <f>SUM(E82*12)</f>
        <v>52738.799999999996</v>
      </c>
      <c r="G82" s="29">
        <v>2.2799999999999998</v>
      </c>
      <c r="H82" s="66">
        <f t="shared" ref="H82" si="12">SUM(F82*G82/1000)</f>
        <v>120.24446399999998</v>
      </c>
      <c r="I82" s="10">
        <f>F82/12*G82</f>
        <v>10020.371999999998</v>
      </c>
    </row>
    <row r="83" spans="1:11" ht="15.75" hidden="1" customHeight="1">
      <c r="A83" s="20"/>
      <c r="B83" s="46" t="s">
        <v>77</v>
      </c>
      <c r="C83" s="33"/>
      <c r="D83" s="32"/>
      <c r="E83" s="13"/>
      <c r="F83" s="29"/>
      <c r="G83" s="29" t="s">
        <v>129</v>
      </c>
      <c r="H83" s="66" t="s">
        <v>129</v>
      </c>
      <c r="I83" s="10"/>
    </row>
    <row r="84" spans="1:11" ht="15.75" hidden="1" customHeight="1">
      <c r="A84" s="20"/>
      <c r="B84" s="34" t="s">
        <v>100</v>
      </c>
      <c r="C84" s="35" t="s">
        <v>78</v>
      </c>
      <c r="D84" s="52"/>
      <c r="E84" s="89"/>
      <c r="F84" s="30">
        <v>0.6</v>
      </c>
      <c r="G84" s="30">
        <v>3619.09</v>
      </c>
      <c r="H84" s="66">
        <f t="shared" si="8"/>
        <v>2.1714540000000002</v>
      </c>
      <c r="I84" s="10">
        <v>0</v>
      </c>
    </row>
    <row r="85" spans="1:11" ht="15.75" hidden="1" customHeight="1">
      <c r="A85" s="20"/>
      <c r="B85" s="102" t="s">
        <v>92</v>
      </c>
      <c r="C85" s="64"/>
      <c r="D85" s="22"/>
      <c r="E85" s="23"/>
      <c r="F85" s="61"/>
      <c r="G85" s="61"/>
      <c r="H85" s="90">
        <f>SUM(H59:H84)</f>
        <v>284.91172943999999</v>
      </c>
      <c r="I85" s="10"/>
    </row>
    <row r="86" spans="1:11" ht="15.75" hidden="1" customHeight="1">
      <c r="A86" s="20"/>
      <c r="B86" s="25" t="s">
        <v>98</v>
      </c>
      <c r="C86" s="91"/>
      <c r="D86" s="92"/>
      <c r="E86" s="93"/>
      <c r="F86" s="31">
        <v>1</v>
      </c>
      <c r="G86" s="31">
        <v>18792</v>
      </c>
      <c r="H86" s="66">
        <f>G86*F86/1000</f>
        <v>18.792000000000002</v>
      </c>
      <c r="I86" s="10">
        <v>0</v>
      </c>
    </row>
    <row r="87" spans="1:11" ht="15.75" customHeight="1">
      <c r="A87" s="177" t="s">
        <v>125</v>
      </c>
      <c r="B87" s="178"/>
      <c r="C87" s="178"/>
      <c r="D87" s="178"/>
      <c r="E87" s="178"/>
      <c r="F87" s="178"/>
      <c r="G87" s="178"/>
      <c r="H87" s="178"/>
      <c r="I87" s="179"/>
    </row>
    <row r="88" spans="1:11" ht="15.75" customHeight="1">
      <c r="A88" s="20">
        <v>21</v>
      </c>
      <c r="B88" s="25" t="s">
        <v>99</v>
      </c>
      <c r="C88" s="33" t="s">
        <v>56</v>
      </c>
      <c r="D88" s="53"/>
      <c r="E88" s="29">
        <v>4394.8999999999996</v>
      </c>
      <c r="F88" s="29">
        <f>SUM(E88*12)</f>
        <v>52738.799999999996</v>
      </c>
      <c r="G88" s="29">
        <v>3.1</v>
      </c>
      <c r="H88" s="66">
        <f>SUM(F88*G88/1000)</f>
        <v>163.49028000000001</v>
      </c>
      <c r="I88" s="10">
        <f>F88/12*G88</f>
        <v>13624.189999999999</v>
      </c>
    </row>
    <row r="89" spans="1:11" ht="30.75" customHeight="1">
      <c r="A89" s="20">
        <v>22</v>
      </c>
      <c r="B89" s="32" t="s">
        <v>79</v>
      </c>
      <c r="C89" s="33"/>
      <c r="D89" s="53"/>
      <c r="E89" s="76">
        <f>E88</f>
        <v>4394.8999999999996</v>
      </c>
      <c r="F89" s="29">
        <f>E89*12</f>
        <v>52738.799999999996</v>
      </c>
      <c r="G89" s="29">
        <v>3.5</v>
      </c>
      <c r="H89" s="66">
        <f>F89*G89/1000</f>
        <v>184.58579999999998</v>
      </c>
      <c r="I89" s="10">
        <f>F89/12*G89</f>
        <v>15382.149999999998</v>
      </c>
      <c r="K89" s="111"/>
    </row>
    <row r="90" spans="1:11" ht="15.75" customHeight="1">
      <c r="A90" s="20"/>
      <c r="B90" s="36" t="s">
        <v>81</v>
      </c>
      <c r="C90" s="64"/>
      <c r="D90" s="63"/>
      <c r="E90" s="61"/>
      <c r="F90" s="61"/>
      <c r="G90" s="61"/>
      <c r="H90" s="65">
        <f>SUM(H77)</f>
        <v>1.1187199999999999</v>
      </c>
      <c r="I90" s="61">
        <f>I89+I88+I82+I80+I79+I63+I60+I59+I52+I45+I44+I43+I42+I40+I39+I38+I26+I25+I21+I18+I17+I16</f>
        <v>92502.615209666634</v>
      </c>
    </row>
    <row r="91" spans="1:11" ht="15.75" customHeight="1">
      <c r="A91" s="180" t="s">
        <v>61</v>
      </c>
      <c r="B91" s="181"/>
      <c r="C91" s="181"/>
      <c r="D91" s="181"/>
      <c r="E91" s="181"/>
      <c r="F91" s="181"/>
      <c r="G91" s="181"/>
      <c r="H91" s="181"/>
      <c r="I91" s="182"/>
    </row>
    <row r="92" spans="1:11" ht="30" customHeight="1">
      <c r="A92" s="20">
        <v>23</v>
      </c>
      <c r="B92" s="32" t="s">
        <v>183</v>
      </c>
      <c r="C92" s="33" t="s">
        <v>184</v>
      </c>
      <c r="D92" s="11"/>
      <c r="E92" s="14"/>
      <c r="F92" s="10">
        <v>0.01</v>
      </c>
      <c r="G92" s="29">
        <v>1465</v>
      </c>
      <c r="H92" s="60">
        <f>G92*F92/1000</f>
        <v>1.465E-2</v>
      </c>
      <c r="I92" s="110">
        <f>G92*1</f>
        <v>1465</v>
      </c>
    </row>
    <row r="93" spans="1:11" ht="15" customHeight="1">
      <c r="A93" s="20">
        <v>24</v>
      </c>
      <c r="B93" s="68" t="s">
        <v>185</v>
      </c>
      <c r="C93" s="55" t="s">
        <v>164</v>
      </c>
      <c r="D93" s="11"/>
      <c r="E93" s="14"/>
      <c r="F93" s="10"/>
      <c r="G93" s="29">
        <v>26095.37</v>
      </c>
      <c r="H93" s="60"/>
      <c r="I93" s="110">
        <f>G93*0.01</f>
        <v>260.95369999999997</v>
      </c>
    </row>
    <row r="94" spans="1:11" ht="19.5" customHeight="1">
      <c r="A94" s="20">
        <v>25</v>
      </c>
      <c r="B94" s="68" t="s">
        <v>137</v>
      </c>
      <c r="C94" s="55" t="s">
        <v>132</v>
      </c>
      <c r="D94" s="11"/>
      <c r="E94" s="14"/>
      <c r="F94" s="10"/>
      <c r="G94" s="29">
        <v>8102.62</v>
      </c>
      <c r="H94" s="60"/>
      <c r="I94" s="110">
        <f>G94*0.01</f>
        <v>81.026200000000003</v>
      </c>
    </row>
    <row r="95" spans="1:11" ht="32.25" customHeight="1">
      <c r="A95" s="20">
        <v>26</v>
      </c>
      <c r="B95" s="68" t="s">
        <v>186</v>
      </c>
      <c r="C95" s="55" t="s">
        <v>118</v>
      </c>
      <c r="D95" s="47"/>
      <c r="E95" s="10"/>
      <c r="F95" s="10">
        <v>158</v>
      </c>
      <c r="G95" s="29">
        <v>561.86</v>
      </c>
      <c r="H95" s="60">
        <f>G95*F95/1000</f>
        <v>88.773880000000005</v>
      </c>
      <c r="I95" s="110">
        <f>G95*1</f>
        <v>561.86</v>
      </c>
    </row>
    <row r="96" spans="1:11" ht="27.75" customHeight="1">
      <c r="A96" s="20">
        <v>27</v>
      </c>
      <c r="B96" s="68" t="s">
        <v>166</v>
      </c>
      <c r="C96" s="55" t="s">
        <v>39</v>
      </c>
      <c r="D96" s="47"/>
      <c r="E96" s="10"/>
      <c r="F96" s="10"/>
      <c r="G96" s="29">
        <v>3914.31</v>
      </c>
      <c r="H96" s="60"/>
      <c r="I96" s="110">
        <f>G96*0.01</f>
        <v>39.143099999999997</v>
      </c>
    </row>
    <row r="97" spans="1:9" ht="30.75" customHeight="1">
      <c r="A97" s="20">
        <v>28</v>
      </c>
      <c r="B97" s="68" t="s">
        <v>187</v>
      </c>
      <c r="C97" s="55" t="s">
        <v>118</v>
      </c>
      <c r="D97" s="47"/>
      <c r="E97" s="10"/>
      <c r="F97" s="10"/>
      <c r="G97" s="29">
        <v>1209.49</v>
      </c>
      <c r="H97" s="60"/>
      <c r="I97" s="110">
        <f>G97*2</f>
        <v>2418.98</v>
      </c>
    </row>
    <row r="98" spans="1:9" ht="30.75" customHeight="1">
      <c r="A98" s="20">
        <v>29</v>
      </c>
      <c r="B98" s="68" t="s">
        <v>188</v>
      </c>
      <c r="C98" s="55" t="s">
        <v>95</v>
      </c>
      <c r="D98" s="47"/>
      <c r="E98" s="10"/>
      <c r="F98" s="10"/>
      <c r="G98" s="29">
        <v>2420</v>
      </c>
      <c r="H98" s="60"/>
      <c r="I98" s="110">
        <f>G98*2</f>
        <v>4840</v>
      </c>
    </row>
    <row r="99" spans="1:9" ht="15.75" customHeight="1">
      <c r="A99" s="20">
        <v>30</v>
      </c>
      <c r="B99" s="68" t="s">
        <v>119</v>
      </c>
      <c r="C99" s="55" t="s">
        <v>95</v>
      </c>
      <c r="D99" s="47"/>
      <c r="E99" s="10"/>
      <c r="F99" s="10"/>
      <c r="G99" s="29">
        <v>58.39</v>
      </c>
      <c r="H99" s="60"/>
      <c r="I99" s="110">
        <f>G99*1</f>
        <v>58.39</v>
      </c>
    </row>
    <row r="100" spans="1:9">
      <c r="A100" s="20"/>
      <c r="B100" s="43" t="s">
        <v>53</v>
      </c>
      <c r="C100" s="39"/>
      <c r="D100" s="49"/>
      <c r="E100" s="39">
        <v>1</v>
      </c>
      <c r="F100" s="39"/>
      <c r="G100" s="39"/>
      <c r="H100" s="39"/>
      <c r="I100" s="23">
        <f>SUM(I92:I99)</f>
        <v>9725.3529999999992</v>
      </c>
    </row>
    <row r="101" spans="1:9" ht="15.75" customHeight="1">
      <c r="A101" s="20"/>
      <c r="B101" s="47" t="s">
        <v>80</v>
      </c>
      <c r="C101" s="12"/>
      <c r="D101" s="12"/>
      <c r="E101" s="40"/>
      <c r="F101" s="40"/>
      <c r="G101" s="41"/>
      <c r="H101" s="41"/>
      <c r="I101" s="13">
        <v>0</v>
      </c>
    </row>
    <row r="102" spans="1:9" ht="15.75" customHeight="1">
      <c r="A102" s="50"/>
      <c r="B102" s="44" t="s">
        <v>158</v>
      </c>
      <c r="C102" s="28"/>
      <c r="D102" s="28"/>
      <c r="E102" s="28"/>
      <c r="F102" s="28"/>
      <c r="G102" s="28"/>
      <c r="H102" s="28"/>
      <c r="I102" s="42">
        <f>I90+I100</f>
        <v>102227.96820966664</v>
      </c>
    </row>
    <row r="103" spans="1:9" ht="15.75">
      <c r="A103" s="183" t="s">
        <v>222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56"/>
      <c r="B104" s="184" t="s">
        <v>223</v>
      </c>
      <c r="C104" s="184"/>
      <c r="D104" s="184"/>
      <c r="E104" s="184"/>
      <c r="F104" s="184"/>
      <c r="G104" s="184"/>
      <c r="H104" s="59"/>
      <c r="I104" s="2"/>
    </row>
    <row r="105" spans="1:9" ht="15.75" customHeight="1">
      <c r="A105" s="100"/>
      <c r="B105" s="171" t="s">
        <v>6</v>
      </c>
      <c r="C105" s="171"/>
      <c r="D105" s="171"/>
      <c r="E105" s="171"/>
      <c r="F105" s="171"/>
      <c r="G105" s="171"/>
      <c r="H105" s="15"/>
      <c r="I105" s="4"/>
    </row>
    <row r="106" spans="1:9" ht="15.7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.75" customHeight="1">
      <c r="A107" s="185" t="s">
        <v>7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 customHeight="1">
      <c r="A108" s="185" t="s">
        <v>8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15.75">
      <c r="A109" s="175" t="s">
        <v>62</v>
      </c>
      <c r="B109" s="175"/>
      <c r="C109" s="175"/>
      <c r="D109" s="175"/>
      <c r="E109" s="175"/>
      <c r="F109" s="175"/>
      <c r="G109" s="175"/>
      <c r="H109" s="175"/>
      <c r="I109" s="175"/>
    </row>
    <row r="110" spans="1:9" ht="15.75" customHeight="1">
      <c r="A110" s="8"/>
    </row>
    <row r="111" spans="1:9" ht="15.75">
      <c r="A111" s="169" t="s">
        <v>9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15.75" customHeight="1">
      <c r="A112" s="3"/>
    </row>
    <row r="113" spans="1:9" ht="15.75">
      <c r="B113" s="101" t="s">
        <v>10</v>
      </c>
      <c r="C113" s="170" t="s">
        <v>124</v>
      </c>
      <c r="D113" s="170"/>
      <c r="E113" s="170"/>
      <c r="F113" s="57"/>
      <c r="I113" s="99"/>
    </row>
    <row r="114" spans="1:9">
      <c r="A114" s="100"/>
      <c r="C114" s="171" t="s">
        <v>11</v>
      </c>
      <c r="D114" s="171"/>
      <c r="E114" s="171"/>
      <c r="F114" s="15"/>
      <c r="I114" s="98" t="s">
        <v>12</v>
      </c>
    </row>
    <row r="115" spans="1:9" ht="15.75">
      <c r="A115" s="16"/>
      <c r="C115" s="9"/>
      <c r="D115" s="9"/>
      <c r="G115" s="9"/>
      <c r="H115" s="9"/>
    </row>
    <row r="116" spans="1:9" ht="15.75" customHeight="1">
      <c r="B116" s="101" t="s">
        <v>13</v>
      </c>
      <c r="C116" s="172"/>
      <c r="D116" s="172"/>
      <c r="E116" s="172"/>
      <c r="F116" s="58"/>
      <c r="I116" s="99"/>
    </row>
    <row r="117" spans="1:9" ht="15.75" customHeight="1">
      <c r="A117" s="100"/>
      <c r="C117" s="173" t="s">
        <v>11</v>
      </c>
      <c r="D117" s="173"/>
      <c r="E117" s="173"/>
      <c r="F117" s="100"/>
      <c r="I117" s="98" t="s">
        <v>12</v>
      </c>
    </row>
    <row r="118" spans="1:9" ht="15.75" customHeight="1">
      <c r="A118" s="3" t="s">
        <v>14</v>
      </c>
    </row>
    <row r="119" spans="1:9">
      <c r="A119" s="174" t="s">
        <v>15</v>
      </c>
      <c r="B119" s="174"/>
      <c r="C119" s="174"/>
      <c r="D119" s="174"/>
      <c r="E119" s="174"/>
      <c r="F119" s="174"/>
      <c r="G119" s="174"/>
      <c r="H119" s="174"/>
      <c r="I119" s="174"/>
    </row>
    <row r="120" spans="1:9" ht="45" customHeight="1">
      <c r="A120" s="168" t="s">
        <v>16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30" customHeight="1">
      <c r="A121" s="168" t="s">
        <v>17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30" customHeight="1">
      <c r="A122" s="168" t="s">
        <v>21</v>
      </c>
      <c r="B122" s="168"/>
      <c r="C122" s="168"/>
      <c r="D122" s="168"/>
      <c r="E122" s="168"/>
      <c r="F122" s="168"/>
      <c r="G122" s="168"/>
      <c r="H122" s="168"/>
      <c r="I122" s="168"/>
    </row>
    <row r="123" spans="1:9" ht="21.75" customHeight="1">
      <c r="A123" s="168" t="s">
        <v>20</v>
      </c>
      <c r="B123" s="168"/>
      <c r="C123" s="168"/>
      <c r="D123" s="168"/>
      <c r="E123" s="168"/>
      <c r="F123" s="168"/>
      <c r="G123" s="168"/>
      <c r="H123" s="168"/>
      <c r="I123" s="168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8:I28"/>
    <mergeCell ref="A46:I46"/>
    <mergeCell ref="A57:I57"/>
    <mergeCell ref="A87:I87"/>
    <mergeCell ref="A91:I91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0866141732283472" right="0.31496062992125984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11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2"/>
  <sheetViews>
    <sheetView view="pageBreakPreview" topLeftCell="A89" zoomScale="60" workbookViewId="0">
      <selection activeCell="B16" sqref="B16:I26"/>
    </sheetView>
  </sheetViews>
  <sheetFormatPr defaultRowHeight="15"/>
  <cols>
    <col min="1" max="1" width="13.85546875" customWidth="1"/>
    <col min="2" max="2" width="49.28515625" customWidth="1"/>
    <col min="3" max="3" width="17.7109375" customWidth="1"/>
    <col min="4" max="4" width="17.42578125" customWidth="1"/>
    <col min="5" max="6" width="0" hidden="1" customWidth="1"/>
    <col min="7" max="7" width="16.140625" customWidth="1"/>
    <col min="8" max="8" width="0" hidden="1" customWidth="1"/>
    <col min="9" max="9" width="17.425781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175</v>
      </c>
      <c r="B3" s="187"/>
      <c r="C3" s="187"/>
      <c r="D3" s="187"/>
      <c r="E3" s="187"/>
      <c r="F3" s="187"/>
      <c r="G3" s="187"/>
      <c r="H3" s="187"/>
      <c r="I3" s="187"/>
    </row>
    <row r="4" spans="1:9" ht="33.7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272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56"/>
      <c r="C6" s="156"/>
      <c r="D6" s="156"/>
      <c r="E6" s="156"/>
      <c r="F6" s="156"/>
      <c r="G6" s="156"/>
      <c r="H6" s="156"/>
      <c r="I6" s="21">
        <v>43769</v>
      </c>
    </row>
    <row r="7" spans="1:9" ht="15.75">
      <c r="B7" s="157"/>
      <c r="C7" s="157"/>
      <c r="D7" s="157"/>
      <c r="E7" s="2"/>
      <c r="F7" s="2"/>
      <c r="G7" s="2"/>
      <c r="H7" s="2"/>
    </row>
    <row r="8" spans="1:9" ht="86.2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6.7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72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7.2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9.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idden="1">
      <c r="A20" s="20">
        <v>4</v>
      </c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idden="1">
      <c r="A21" s="20">
        <v>5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>
        <v>8</v>
      </c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idden="1">
      <c r="A24" s="20">
        <v>9</v>
      </c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8" customHeight="1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8.75" customHeight="1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16.5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8" customHeight="1">
      <c r="A29" s="20">
        <v>6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2" si="2">SUM(F29*G29/1000)</f>
        <v>6.2509574400000005</v>
      </c>
      <c r="I29" s="10">
        <f t="shared" ref="I29:I32" si="3">F29/6*G29</f>
        <v>1041.8262400000001</v>
      </c>
    </row>
    <row r="30" spans="1:9" ht="46.5" customHeight="1">
      <c r="A30" s="20">
        <v>7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idden="1">
      <c r="A31" s="20">
        <v>15</v>
      </c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8" customHeight="1">
      <c r="A32" s="20">
        <v>8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t="30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ref="H33:H34" si="4">SUM(F33*G33/1000)</f>
        <v>0.50183999999999995</v>
      </c>
      <c r="I33" s="10">
        <v>0</v>
      </c>
    </row>
    <row r="34" spans="1:9" ht="30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4"/>
        <v>4.4709300000000001</v>
      </c>
      <c r="I34" s="10">
        <v>0</v>
      </c>
    </row>
    <row r="35" spans="1:9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5">SUM(F36*G36/1000)</f>
        <v>16.024000000000001</v>
      </c>
      <c r="I36" s="10">
        <f t="shared" ref="I36:I41" si="6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5"/>
        <v>13.48002864</v>
      </c>
      <c r="I37" s="10">
        <f t="shared" si="6"/>
        <v>2246.6714400000001</v>
      </c>
    </row>
    <row r="38" spans="1:9" ht="30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5"/>
        <v>13.404982799999999</v>
      </c>
      <c r="I38" s="10">
        <f t="shared" si="6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5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60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5"/>
        <v>37.20335008</v>
      </c>
      <c r="I41" s="10">
        <f t="shared" si="6"/>
        <v>6200.5583466666667</v>
      </c>
    </row>
    <row r="42" spans="1:9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5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5"/>
        <v>0.8773470000000001</v>
      </c>
      <c r="I43" s="10">
        <f>(F43/7.5*1.5)*G43</f>
        <v>175.46940000000004</v>
      </c>
    </row>
    <row r="44" spans="1:9" ht="30">
      <c r="A44" s="20">
        <v>9</v>
      </c>
      <c r="B44" s="68" t="s">
        <v>146</v>
      </c>
      <c r="C44" s="55" t="s">
        <v>29</v>
      </c>
      <c r="D44" s="26" t="s">
        <v>220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5"/>
        <v>7.4937599999999986E-3</v>
      </c>
      <c r="I44" s="10">
        <f>G44*2.4/1000</f>
        <v>0.62447999999999992</v>
      </c>
    </row>
    <row r="45" spans="1:9" hidden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idden="1">
      <c r="A46" s="20">
        <v>13</v>
      </c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20">
        <v>14</v>
      </c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7"/>
        <v>0.91916240000000005</v>
      </c>
      <c r="I47" s="10">
        <f t="shared" si="8"/>
        <v>459.58120000000002</v>
      </c>
    </row>
    <row r="48" spans="1:9" hidden="1">
      <c r="A48" s="20">
        <v>15</v>
      </c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7"/>
        <v>7.2034689005999999</v>
      </c>
      <c r="I48" s="10">
        <f t="shared" si="8"/>
        <v>3601.7344502999999</v>
      </c>
    </row>
    <row r="49" spans="1:9" hidden="1">
      <c r="A49" s="20">
        <v>16</v>
      </c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7"/>
        <v>6.6006486806</v>
      </c>
      <c r="I49" s="10">
        <f t="shared" si="8"/>
        <v>3300.3243403000001</v>
      </c>
    </row>
    <row r="50" spans="1:9" hidden="1">
      <c r="A50" s="20">
        <v>17</v>
      </c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7"/>
        <v>3.4774048560000002</v>
      </c>
      <c r="I50" s="10">
        <f t="shared" si="8"/>
        <v>1738.7024280000001</v>
      </c>
    </row>
    <row r="51" spans="1:9" hidden="1">
      <c r="A51" s="20">
        <v>18</v>
      </c>
      <c r="B51" s="25" t="s">
        <v>57</v>
      </c>
      <c r="C51" s="37" t="s">
        <v>88</v>
      </c>
      <c r="D51" s="25" t="s">
        <v>134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7"/>
        <v>39.635185905</v>
      </c>
      <c r="I51" s="10">
        <f>F51/5*G51</f>
        <v>7927.0371809999997</v>
      </c>
    </row>
    <row r="52" spans="1:9" ht="47.25" hidden="1" customHeight="1">
      <c r="A52" s="20">
        <v>11</v>
      </c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7"/>
        <v>13.989845679999998</v>
      </c>
      <c r="I52" s="10">
        <f t="shared" si="8"/>
        <v>6994.9228399999993</v>
      </c>
    </row>
    <row r="53" spans="1:9" ht="36.75" hidden="1" customHeight="1">
      <c r="A53" s="20">
        <v>12</v>
      </c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7"/>
        <v>3.2466560000000002</v>
      </c>
      <c r="I53" s="10">
        <f t="shared" si="8"/>
        <v>1623.3280000000002</v>
      </c>
    </row>
    <row r="54" spans="1:9" ht="15" hidden="1" customHeight="1">
      <c r="A54" s="20">
        <v>13</v>
      </c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7"/>
        <v>0.14825839999999998</v>
      </c>
      <c r="I54" s="10">
        <f t="shared" si="8"/>
        <v>74.129199999999997</v>
      </c>
    </row>
    <row r="55" spans="1:9" hidden="1">
      <c r="A55" s="20">
        <v>19</v>
      </c>
      <c r="B55" s="25" t="s">
        <v>42</v>
      </c>
      <c r="C55" s="37" t="s">
        <v>95</v>
      </c>
      <c r="D55" s="25" t="s">
        <v>71</v>
      </c>
      <c r="E55" s="76">
        <v>160</v>
      </c>
      <c r="F55" s="24">
        <f>SUM(E55)*3</f>
        <v>480</v>
      </c>
      <c r="G55" s="30">
        <v>86.15</v>
      </c>
      <c r="H55" s="77">
        <f t="shared" si="7"/>
        <v>41.351999999999997</v>
      </c>
      <c r="I55" s="10">
        <f>F55/3*G55</f>
        <v>13784</v>
      </c>
    </row>
    <row r="56" spans="1:9">
      <c r="A56" s="177" t="s">
        <v>126</v>
      </c>
      <c r="B56" s="178"/>
      <c r="C56" s="178"/>
      <c r="D56" s="178"/>
      <c r="E56" s="178"/>
      <c r="F56" s="178"/>
      <c r="G56" s="178"/>
      <c r="H56" s="178"/>
      <c r="I56" s="179"/>
    </row>
    <row r="57" spans="1:9" hidden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45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9">F58/6*G58</f>
        <v>3246.8799999999997</v>
      </c>
    </row>
    <row r="59" spans="1:9" ht="30" hidden="1">
      <c r="A59" s="20">
        <v>18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G59*(1.5+1+1.5)</f>
        <v>6328.2</v>
      </c>
    </row>
    <row r="60" spans="1:9" ht="15.7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8" customHeight="1">
      <c r="A62" s="20">
        <v>10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t="18" customHeight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18" customHeight="1">
      <c r="A64" s="20">
        <v>11</v>
      </c>
      <c r="B64" s="52" t="s">
        <v>48</v>
      </c>
      <c r="C64" s="33" t="s">
        <v>95</v>
      </c>
      <c r="D64" s="25"/>
      <c r="E64" s="13">
        <v>10</v>
      </c>
      <c r="F64" s="24">
        <f>SUM(E64)</f>
        <v>10</v>
      </c>
      <c r="G64" s="29">
        <v>291.68</v>
      </c>
      <c r="H64" s="66">
        <f t="shared" ref="H64:H83" si="10">SUM(F64*G64/1000)</f>
        <v>2.9168000000000003</v>
      </c>
      <c r="I64" s="10">
        <f>G64*2</f>
        <v>583.36</v>
      </c>
    </row>
    <row r="65" spans="1:9" ht="25.5" hidden="1" customHeight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10"/>
        <v>0.50004999999999999</v>
      </c>
      <c r="I65" s="10">
        <v>0</v>
      </c>
    </row>
    <row r="66" spans="1:9" ht="24" hidden="1" customHeight="1">
      <c r="A66" s="20">
        <v>29</v>
      </c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10"/>
        <v>66.952891199999996</v>
      </c>
      <c r="I66" s="10">
        <f>F66*G66</f>
        <v>66952.891199999998</v>
      </c>
    </row>
    <row r="67" spans="1:9" ht="24" hidden="1" customHeight="1">
      <c r="A67" s="20">
        <v>31</v>
      </c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10"/>
        <v>5.21397084</v>
      </c>
      <c r="I67" s="10">
        <f t="shared" ref="I67:I70" si="11">F67*G67</f>
        <v>5213.97084</v>
      </c>
    </row>
    <row r="68" spans="1:9" ht="25.5" hidden="1" customHeight="1">
      <c r="A68" s="20">
        <v>32</v>
      </c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10"/>
        <v>35.372219999999999</v>
      </c>
      <c r="I68" s="10">
        <f t="shared" si="11"/>
        <v>35372.22</v>
      </c>
    </row>
    <row r="69" spans="1:9" ht="24.75" hidden="1" customHeight="1">
      <c r="A69" s="20">
        <v>33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10"/>
        <v>0.44314399999999998</v>
      </c>
      <c r="I69" s="10">
        <f t="shared" si="11"/>
        <v>443.14400000000001</v>
      </c>
    </row>
    <row r="70" spans="1:9" ht="22.5" hidden="1" customHeight="1">
      <c r="A70" s="20">
        <v>34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10"/>
        <v>0.47881600000000002</v>
      </c>
      <c r="I70" s="10">
        <f t="shared" si="11"/>
        <v>478.81600000000003</v>
      </c>
    </row>
    <row r="71" spans="1:9" ht="20.25" hidden="1" customHeight="1">
      <c r="A71" s="20">
        <v>22</v>
      </c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10"/>
        <v>0.3271</v>
      </c>
      <c r="I71" s="10">
        <f>G71*F71</f>
        <v>327.10000000000002</v>
      </c>
    </row>
    <row r="72" spans="1:9" ht="16.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t="30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2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2"/>
        <v>0.73499999999999999</v>
      </c>
      <c r="I74" s="10">
        <v>0</v>
      </c>
    </row>
    <row r="75" spans="1:9" ht="30" hidden="1">
      <c r="A75" s="20">
        <v>23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2"/>
        <v>0.46050899999999995</v>
      </c>
      <c r="I75" s="10">
        <f>G75*0.2</f>
        <v>131.57400000000001</v>
      </c>
    </row>
    <row r="76" spans="1:9" ht="30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2"/>
        <v>1.1187199999999999</v>
      </c>
      <c r="I76" s="10">
        <v>0</v>
      </c>
    </row>
    <row r="77" spans="1:9" ht="30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32.25" customHeight="1">
      <c r="A78" s="20">
        <v>12</v>
      </c>
      <c r="B78" s="68" t="s">
        <v>154</v>
      </c>
      <c r="C78" s="55" t="s">
        <v>95</v>
      </c>
      <c r="D78" s="32" t="s">
        <v>220</v>
      </c>
      <c r="E78" s="87">
        <v>2</v>
      </c>
      <c r="F78" s="85">
        <f>E78*12</f>
        <v>24</v>
      </c>
      <c r="G78" s="88">
        <v>53.42</v>
      </c>
      <c r="H78" s="66">
        <f t="shared" ref="H78:H79" si="13">SUM(F78*G78/1000)</f>
        <v>1.2820799999999999</v>
      </c>
      <c r="I78" s="10">
        <f>F78/12*G78</f>
        <v>106.84</v>
      </c>
    </row>
    <row r="79" spans="1:9" ht="14.25" customHeight="1">
      <c r="A79" s="20">
        <v>13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3"/>
        <v>14.327999999999999</v>
      </c>
      <c r="I79" s="10">
        <f>F79/12*G79</f>
        <v>1194</v>
      </c>
    </row>
    <row r="80" spans="1:9" ht="16.5" customHeight="1">
      <c r="A80" s="20"/>
      <c r="B80" s="97" t="s">
        <v>155</v>
      </c>
      <c r="C80" s="55"/>
      <c r="D80" s="32"/>
      <c r="E80" s="13"/>
      <c r="F80" s="29"/>
      <c r="G80" s="29"/>
      <c r="H80" s="66"/>
      <c r="I80" s="10"/>
    </row>
    <row r="81" spans="1:9" ht="21" customHeight="1">
      <c r="A81" s="20">
        <v>14</v>
      </c>
      <c r="B81" s="32" t="s">
        <v>156</v>
      </c>
      <c r="C81" s="38" t="s">
        <v>157</v>
      </c>
      <c r="D81" s="25"/>
      <c r="E81" s="13">
        <v>4394.8999999999996</v>
      </c>
      <c r="F81" s="29">
        <f>SUM(E81*12)</f>
        <v>52738.799999999996</v>
      </c>
      <c r="G81" s="29">
        <v>2.2799999999999998</v>
      </c>
      <c r="H81" s="66">
        <f t="shared" ref="H81" si="14">SUM(F81*G81/1000)</f>
        <v>120.24446399999998</v>
      </c>
      <c r="I81" s="10">
        <f>F81/12*G81</f>
        <v>10020.371999999998</v>
      </c>
    </row>
    <row r="82" spans="1:9" hidden="1">
      <c r="A82" s="20"/>
      <c r="B82" s="46" t="s">
        <v>77</v>
      </c>
      <c r="C82" s="33"/>
      <c r="D82" s="32"/>
      <c r="E82" s="13"/>
      <c r="F82" s="29"/>
      <c r="G82" s="29" t="s">
        <v>129</v>
      </c>
      <c r="H82" s="66" t="s">
        <v>129</v>
      </c>
      <c r="I82" s="10"/>
    </row>
    <row r="83" spans="1:9" hidden="1">
      <c r="A83" s="20"/>
      <c r="B83" s="34" t="s">
        <v>100</v>
      </c>
      <c r="C83" s="35" t="s">
        <v>78</v>
      </c>
      <c r="D83" s="52"/>
      <c r="E83" s="89"/>
      <c r="F83" s="30">
        <v>0.6</v>
      </c>
      <c r="G83" s="30">
        <v>3619.09</v>
      </c>
      <c r="H83" s="66">
        <f t="shared" si="10"/>
        <v>2.1714540000000002</v>
      </c>
      <c r="I83" s="10">
        <v>0</v>
      </c>
    </row>
    <row r="84" spans="1:9" ht="28.5" hidden="1">
      <c r="A84" s="20"/>
      <c r="B84" s="155" t="s">
        <v>92</v>
      </c>
      <c r="C84" s="64"/>
      <c r="D84" s="22"/>
      <c r="E84" s="23"/>
      <c r="F84" s="61"/>
      <c r="G84" s="61"/>
      <c r="H84" s="90">
        <f>SUM(H58:H83)</f>
        <v>284.91172943999999</v>
      </c>
      <c r="I84" s="10"/>
    </row>
    <row r="85" spans="1:9" hidden="1">
      <c r="A85" s="20"/>
      <c r="B85" s="25" t="s">
        <v>98</v>
      </c>
      <c r="C85" s="91"/>
      <c r="D85" s="92"/>
      <c r="E85" s="93"/>
      <c r="F85" s="31">
        <v>1</v>
      </c>
      <c r="G85" s="31">
        <v>18792</v>
      </c>
      <c r="H85" s="66">
        <f>G85*F85/1000</f>
        <v>18.792000000000002</v>
      </c>
      <c r="I85" s="10">
        <v>0</v>
      </c>
    </row>
    <row r="86" spans="1:9">
      <c r="A86" s="177" t="s">
        <v>127</v>
      </c>
      <c r="B86" s="178"/>
      <c r="C86" s="178"/>
      <c r="D86" s="178"/>
      <c r="E86" s="178"/>
      <c r="F86" s="178"/>
      <c r="G86" s="178"/>
      <c r="H86" s="178"/>
      <c r="I86" s="179"/>
    </row>
    <row r="87" spans="1:9" ht="19.5" customHeight="1">
      <c r="A87" s="20">
        <v>15</v>
      </c>
      <c r="B87" s="25" t="s">
        <v>99</v>
      </c>
      <c r="C87" s="33" t="s">
        <v>56</v>
      </c>
      <c r="D87" s="53"/>
      <c r="E87" s="29">
        <v>4394.8999999999996</v>
      </c>
      <c r="F87" s="29">
        <f>SUM(E87*12)</f>
        <v>52738.799999999996</v>
      </c>
      <c r="G87" s="29">
        <v>3.1</v>
      </c>
      <c r="H87" s="66">
        <f>SUM(F87*G87/1000)</f>
        <v>163.49028000000001</v>
      </c>
      <c r="I87" s="10">
        <f>F87/12*G87</f>
        <v>13624.189999999999</v>
      </c>
    </row>
    <row r="88" spans="1:9" ht="34.5" customHeight="1">
      <c r="A88" s="20">
        <v>16</v>
      </c>
      <c r="B88" s="32" t="s">
        <v>79</v>
      </c>
      <c r="C88" s="33"/>
      <c r="D88" s="53"/>
      <c r="E88" s="76">
        <f>E87</f>
        <v>4394.8999999999996</v>
      </c>
      <c r="F88" s="29">
        <f>E88*12</f>
        <v>52738.799999999996</v>
      </c>
      <c r="G88" s="29">
        <v>3.5</v>
      </c>
      <c r="H88" s="66">
        <f>F88*G88/1000</f>
        <v>184.58579999999998</v>
      </c>
      <c r="I88" s="10">
        <f>F88/12*G88</f>
        <v>15382.149999999998</v>
      </c>
    </row>
    <row r="89" spans="1:9">
      <c r="A89" s="20"/>
      <c r="B89" s="36" t="s">
        <v>81</v>
      </c>
      <c r="C89" s="64"/>
      <c r="D89" s="63"/>
      <c r="E89" s="61"/>
      <c r="F89" s="61"/>
      <c r="G89" s="61"/>
      <c r="H89" s="65">
        <f>SUM(H76)</f>
        <v>1.1187199999999999</v>
      </c>
      <c r="I89" s="61">
        <f>I88+I87+I81+I79+I78+I64+I62+I32+I30+I29+I26+I25+I18+I17+I16+I44</f>
        <v>66439.630689999991</v>
      </c>
    </row>
    <row r="90" spans="1:9">
      <c r="A90" s="180" t="s">
        <v>61</v>
      </c>
      <c r="B90" s="181"/>
      <c r="C90" s="181"/>
      <c r="D90" s="181"/>
      <c r="E90" s="181"/>
      <c r="F90" s="181"/>
      <c r="G90" s="181"/>
      <c r="H90" s="181"/>
      <c r="I90" s="182"/>
    </row>
    <row r="91" spans="1:9" ht="31.5" customHeight="1">
      <c r="A91" s="20">
        <v>17</v>
      </c>
      <c r="B91" s="68" t="s">
        <v>119</v>
      </c>
      <c r="C91" s="55" t="s">
        <v>95</v>
      </c>
      <c r="D91" s="67"/>
      <c r="E91" s="29"/>
      <c r="F91" s="29"/>
      <c r="G91" s="29">
        <v>58.39</v>
      </c>
      <c r="H91" s="60"/>
      <c r="I91" s="110">
        <f>G91*1</f>
        <v>58.39</v>
      </c>
    </row>
    <row r="92" spans="1:9" ht="30">
      <c r="A92" s="20">
        <v>18</v>
      </c>
      <c r="B92" s="32" t="s">
        <v>183</v>
      </c>
      <c r="C92" s="33" t="s">
        <v>184</v>
      </c>
      <c r="D92" s="38" t="s">
        <v>275</v>
      </c>
      <c r="E92" s="13"/>
      <c r="F92" s="29">
        <v>42</v>
      </c>
      <c r="G92" s="29">
        <v>1465</v>
      </c>
      <c r="H92" s="66">
        <f>G92*F92/1000</f>
        <v>61.53</v>
      </c>
      <c r="I92" s="110">
        <f>G92*2</f>
        <v>2930</v>
      </c>
    </row>
    <row r="93" spans="1:9" ht="30">
      <c r="A93" s="20">
        <v>19</v>
      </c>
      <c r="B93" s="32" t="s">
        <v>273</v>
      </c>
      <c r="C93" s="33" t="s">
        <v>184</v>
      </c>
      <c r="D93" s="38" t="s">
        <v>276</v>
      </c>
      <c r="E93" s="13"/>
      <c r="F93" s="29"/>
      <c r="G93" s="29">
        <v>1367</v>
      </c>
      <c r="H93" s="66"/>
      <c r="I93" s="110">
        <f>G93*4</f>
        <v>5468</v>
      </c>
    </row>
    <row r="94" spans="1:9" ht="30">
      <c r="A94" s="20">
        <v>20</v>
      </c>
      <c r="B94" s="68" t="s">
        <v>200</v>
      </c>
      <c r="C94" s="55" t="s">
        <v>95</v>
      </c>
      <c r="D94" s="38" t="s">
        <v>278</v>
      </c>
      <c r="E94" s="13"/>
      <c r="F94" s="29"/>
      <c r="G94" s="29">
        <v>794.28</v>
      </c>
      <c r="H94" s="66"/>
      <c r="I94" s="110">
        <f>G94*1</f>
        <v>794.28</v>
      </c>
    </row>
    <row r="95" spans="1:9" ht="30">
      <c r="A95" s="20">
        <v>21</v>
      </c>
      <c r="B95" s="68" t="s">
        <v>201</v>
      </c>
      <c r="C95" s="55" t="s">
        <v>95</v>
      </c>
      <c r="D95" s="38" t="s">
        <v>278</v>
      </c>
      <c r="E95" s="29"/>
      <c r="F95" s="29">
        <v>1</v>
      </c>
      <c r="G95" s="29">
        <v>735.42</v>
      </c>
      <c r="H95" s="60">
        <f>G95*F95/1000</f>
        <v>0.73541999999999996</v>
      </c>
      <c r="I95" s="110">
        <f>G95*1</f>
        <v>735.42</v>
      </c>
    </row>
    <row r="96" spans="1:9">
      <c r="A96" s="20">
        <v>22</v>
      </c>
      <c r="B96" s="68" t="s">
        <v>202</v>
      </c>
      <c r="C96" s="55" t="s">
        <v>95</v>
      </c>
      <c r="D96" s="67"/>
      <c r="E96" s="29"/>
      <c r="F96" s="29"/>
      <c r="G96" s="29">
        <v>21</v>
      </c>
      <c r="H96" s="60"/>
      <c r="I96" s="110">
        <f>G96*2</f>
        <v>42</v>
      </c>
    </row>
    <row r="97" spans="1:9">
      <c r="A97" s="20">
        <v>23</v>
      </c>
      <c r="B97" s="68" t="s">
        <v>178</v>
      </c>
      <c r="C97" s="55" t="s">
        <v>95</v>
      </c>
      <c r="D97" s="67"/>
      <c r="E97" s="29"/>
      <c r="F97" s="29"/>
      <c r="G97" s="29">
        <v>86</v>
      </c>
      <c r="H97" s="60"/>
      <c r="I97" s="110">
        <f>G97*1</f>
        <v>86</v>
      </c>
    </row>
    <row r="98" spans="1:9">
      <c r="A98" s="20">
        <v>24</v>
      </c>
      <c r="B98" s="68" t="s">
        <v>204</v>
      </c>
      <c r="C98" s="55" t="s">
        <v>95</v>
      </c>
      <c r="D98" s="67"/>
      <c r="E98" s="29"/>
      <c r="F98" s="29"/>
      <c r="G98" s="29">
        <v>39</v>
      </c>
      <c r="H98" s="60"/>
      <c r="I98" s="110">
        <f>G98*1</f>
        <v>39</v>
      </c>
    </row>
    <row r="99" spans="1:9">
      <c r="A99" s="20">
        <v>25</v>
      </c>
      <c r="B99" s="68" t="s">
        <v>205</v>
      </c>
      <c r="C99" s="55" t="s">
        <v>95</v>
      </c>
      <c r="D99" s="67"/>
      <c r="E99" s="29"/>
      <c r="F99" s="29"/>
      <c r="G99" s="29">
        <v>63</v>
      </c>
      <c r="H99" s="60"/>
      <c r="I99" s="110">
        <f>G99*1</f>
        <v>63</v>
      </c>
    </row>
    <row r="100" spans="1:9">
      <c r="A100" s="20">
        <v>26</v>
      </c>
      <c r="B100" s="68" t="s">
        <v>160</v>
      </c>
      <c r="C100" s="55" t="s">
        <v>184</v>
      </c>
      <c r="D100" s="67"/>
      <c r="E100" s="29"/>
      <c r="F100" s="29"/>
      <c r="G100" s="29">
        <v>273</v>
      </c>
      <c r="H100" s="60"/>
      <c r="I100" s="110">
        <f>G100*6</f>
        <v>1638</v>
      </c>
    </row>
    <row r="101" spans="1:9">
      <c r="A101" s="20">
        <v>27</v>
      </c>
      <c r="B101" s="68" t="s">
        <v>82</v>
      </c>
      <c r="C101" s="55" t="s">
        <v>95</v>
      </c>
      <c r="D101" s="67"/>
      <c r="E101" s="29"/>
      <c r="F101" s="29"/>
      <c r="G101" s="29">
        <v>207.55</v>
      </c>
      <c r="H101" s="60"/>
      <c r="I101" s="110">
        <f>G101*1</f>
        <v>207.55</v>
      </c>
    </row>
    <row r="102" spans="1:9">
      <c r="A102" s="20">
        <v>28</v>
      </c>
      <c r="B102" s="68" t="s">
        <v>196</v>
      </c>
      <c r="C102" s="55" t="s">
        <v>136</v>
      </c>
      <c r="D102" s="33" t="s">
        <v>277</v>
      </c>
      <c r="E102" s="29"/>
      <c r="F102" s="29"/>
      <c r="G102" s="29">
        <v>214.07</v>
      </c>
      <c r="H102" s="60"/>
      <c r="I102" s="110">
        <f>G102*1</f>
        <v>214.07</v>
      </c>
    </row>
    <row r="103" spans="1:9" ht="18" customHeight="1">
      <c r="A103" s="20">
        <v>29</v>
      </c>
      <c r="B103" s="68" t="s">
        <v>274</v>
      </c>
      <c r="C103" s="55" t="s">
        <v>118</v>
      </c>
      <c r="D103" s="33" t="s">
        <v>279</v>
      </c>
      <c r="E103" s="29"/>
      <c r="F103" s="29"/>
      <c r="G103" s="29">
        <v>6813.65</v>
      </c>
      <c r="H103" s="60"/>
      <c r="I103" s="110">
        <f>G103*1</f>
        <v>6813.65</v>
      </c>
    </row>
    <row r="104" spans="1:9" hidden="1">
      <c r="A104" s="20"/>
      <c r="B104" s="68"/>
      <c r="C104" s="55"/>
      <c r="D104" s="67"/>
      <c r="E104" s="29"/>
      <c r="F104" s="29"/>
      <c r="G104" s="29"/>
      <c r="H104" s="60"/>
      <c r="I104" s="110"/>
    </row>
    <row r="105" spans="1:9" hidden="1">
      <c r="A105" s="20"/>
      <c r="B105" s="68"/>
      <c r="C105" s="55"/>
      <c r="D105" s="67"/>
      <c r="E105" s="29"/>
      <c r="F105" s="29"/>
      <c r="G105" s="29"/>
      <c r="H105" s="60"/>
      <c r="I105" s="110"/>
    </row>
    <row r="106" spans="1:9" hidden="1">
      <c r="A106" s="20"/>
      <c r="B106" s="68"/>
      <c r="C106" s="55"/>
      <c r="D106" s="67"/>
      <c r="E106" s="29"/>
      <c r="F106" s="29"/>
      <c r="G106" s="29"/>
      <c r="H106" s="60"/>
      <c r="I106" s="110"/>
    </row>
    <row r="107" spans="1:9" hidden="1">
      <c r="A107" s="20"/>
      <c r="B107" s="68"/>
      <c r="C107" s="55"/>
      <c r="D107" s="67"/>
      <c r="E107" s="29"/>
      <c r="F107" s="29"/>
      <c r="G107" s="29"/>
      <c r="H107" s="60"/>
      <c r="I107" s="110"/>
    </row>
    <row r="108" spans="1:9">
      <c r="A108" s="20">
        <v>30</v>
      </c>
      <c r="B108" s="68" t="s">
        <v>280</v>
      </c>
      <c r="C108" s="55" t="s">
        <v>118</v>
      </c>
      <c r="D108" s="67"/>
      <c r="E108" s="29"/>
      <c r="F108" s="29"/>
      <c r="G108" s="121">
        <v>318.82</v>
      </c>
      <c r="H108" s="60"/>
      <c r="I108" s="110">
        <f>G108*1</f>
        <v>318.82</v>
      </c>
    </row>
    <row r="109" spans="1:9" ht="15.75" customHeight="1">
      <c r="A109" s="20"/>
      <c r="B109" s="43" t="s">
        <v>53</v>
      </c>
      <c r="C109" s="123"/>
      <c r="D109" s="49"/>
      <c r="E109" s="39"/>
      <c r="F109" s="39"/>
      <c r="G109" s="39"/>
      <c r="H109" s="39"/>
      <c r="I109" s="23">
        <f>SUM(I91:I108)</f>
        <v>19408.18</v>
      </c>
    </row>
    <row r="110" spans="1:9">
      <c r="A110" s="20"/>
      <c r="B110" s="47" t="s">
        <v>80</v>
      </c>
      <c r="C110" s="12"/>
      <c r="D110" s="12"/>
      <c r="E110" s="40"/>
      <c r="F110" s="40"/>
      <c r="G110" s="41"/>
      <c r="H110" s="41"/>
      <c r="I110" s="13">
        <v>0</v>
      </c>
    </row>
    <row r="111" spans="1:9">
      <c r="A111" s="50"/>
      <c r="B111" s="44" t="s">
        <v>158</v>
      </c>
      <c r="C111" s="28"/>
      <c r="D111" s="28"/>
      <c r="E111" s="28"/>
      <c r="F111" s="28"/>
      <c r="G111" s="28"/>
      <c r="H111" s="28"/>
      <c r="I111" s="42">
        <f>I109+I89</f>
        <v>85847.810689999984</v>
      </c>
    </row>
    <row r="112" spans="1:9" ht="15.75">
      <c r="A112" s="183" t="s">
        <v>281</v>
      </c>
      <c r="B112" s="183"/>
      <c r="C112" s="183"/>
      <c r="D112" s="183"/>
      <c r="E112" s="183"/>
      <c r="F112" s="183"/>
      <c r="G112" s="183"/>
      <c r="H112" s="183"/>
      <c r="I112" s="183"/>
    </row>
    <row r="113" spans="1:9" ht="15.75">
      <c r="A113" s="56"/>
      <c r="B113" s="184" t="s">
        <v>282</v>
      </c>
      <c r="C113" s="184"/>
      <c r="D113" s="184"/>
      <c r="E113" s="184"/>
      <c r="F113" s="184"/>
      <c r="G113" s="184"/>
      <c r="H113" s="59"/>
      <c r="I113" s="2"/>
    </row>
    <row r="114" spans="1:9">
      <c r="A114" s="160"/>
      <c r="B114" s="171" t="s">
        <v>6</v>
      </c>
      <c r="C114" s="171"/>
      <c r="D114" s="171"/>
      <c r="E114" s="171"/>
      <c r="F114" s="171"/>
      <c r="G114" s="171"/>
      <c r="H114" s="15"/>
      <c r="I114" s="4"/>
    </row>
    <row r="115" spans="1:9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5.75">
      <c r="A116" s="185" t="s">
        <v>7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15.75">
      <c r="A117" s="185" t="s">
        <v>8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15.75">
      <c r="A118" s="175" t="s">
        <v>62</v>
      </c>
      <c r="B118" s="175"/>
      <c r="C118" s="175"/>
      <c r="D118" s="175"/>
      <c r="E118" s="175"/>
      <c r="F118" s="175"/>
      <c r="G118" s="175"/>
      <c r="H118" s="175"/>
      <c r="I118" s="175"/>
    </row>
    <row r="119" spans="1:9" ht="15.75">
      <c r="A119" s="8"/>
    </row>
    <row r="120" spans="1:9" ht="15.75">
      <c r="A120" s="169" t="s">
        <v>9</v>
      </c>
      <c r="B120" s="169"/>
      <c r="C120" s="169"/>
      <c r="D120" s="169"/>
      <c r="E120" s="169"/>
      <c r="F120" s="169"/>
      <c r="G120" s="169"/>
      <c r="H120" s="169"/>
      <c r="I120" s="169"/>
    </row>
    <row r="121" spans="1:9" ht="15.75">
      <c r="A121" s="3"/>
    </row>
    <row r="122" spans="1:9" ht="15.75">
      <c r="B122" s="157" t="s">
        <v>10</v>
      </c>
      <c r="C122" s="170" t="s">
        <v>124</v>
      </c>
      <c r="D122" s="170"/>
      <c r="E122" s="170"/>
      <c r="F122" s="57"/>
      <c r="I122" s="159"/>
    </row>
    <row r="123" spans="1:9">
      <c r="A123" s="160"/>
      <c r="C123" s="171" t="s">
        <v>11</v>
      </c>
      <c r="D123" s="171"/>
      <c r="E123" s="171"/>
      <c r="F123" s="15"/>
      <c r="I123" s="158" t="s">
        <v>12</v>
      </c>
    </row>
    <row r="124" spans="1:9" ht="15.75">
      <c r="A124" s="16"/>
      <c r="C124" s="9"/>
      <c r="D124" s="9"/>
      <c r="G124" s="9"/>
      <c r="H124" s="9"/>
    </row>
    <row r="125" spans="1:9" ht="15.75">
      <c r="B125" s="157" t="s">
        <v>13</v>
      </c>
      <c r="C125" s="172"/>
      <c r="D125" s="172"/>
      <c r="E125" s="172"/>
      <c r="F125" s="58"/>
      <c r="I125" s="159"/>
    </row>
    <row r="126" spans="1:9">
      <c r="A126" s="160"/>
      <c r="C126" s="173" t="s">
        <v>11</v>
      </c>
      <c r="D126" s="173"/>
      <c r="E126" s="173"/>
      <c r="F126" s="160"/>
      <c r="I126" s="158" t="s">
        <v>12</v>
      </c>
    </row>
    <row r="127" spans="1:9" ht="15.75">
      <c r="A127" s="3" t="s">
        <v>14</v>
      </c>
    </row>
    <row r="128" spans="1:9">
      <c r="A128" s="174" t="s">
        <v>15</v>
      </c>
      <c r="B128" s="174"/>
      <c r="C128" s="174"/>
      <c r="D128" s="174"/>
      <c r="E128" s="174"/>
      <c r="F128" s="174"/>
      <c r="G128" s="174"/>
      <c r="H128" s="174"/>
      <c r="I128" s="174"/>
    </row>
    <row r="129" spans="1:9" ht="48" customHeight="1">
      <c r="A129" s="168" t="s">
        <v>16</v>
      </c>
      <c r="B129" s="168"/>
      <c r="C129" s="168"/>
      <c r="D129" s="168"/>
      <c r="E129" s="168"/>
      <c r="F129" s="168"/>
      <c r="G129" s="168"/>
      <c r="H129" s="168"/>
      <c r="I129" s="168"/>
    </row>
    <row r="130" spans="1:9" ht="36" customHeight="1">
      <c r="A130" s="168" t="s">
        <v>17</v>
      </c>
      <c r="B130" s="168"/>
      <c r="C130" s="168"/>
      <c r="D130" s="168"/>
      <c r="E130" s="168"/>
      <c r="F130" s="168"/>
      <c r="G130" s="168"/>
      <c r="H130" s="168"/>
      <c r="I130" s="168"/>
    </row>
    <row r="131" spans="1:9" ht="30.75" customHeight="1">
      <c r="A131" s="168" t="s">
        <v>21</v>
      </c>
      <c r="B131" s="168"/>
      <c r="C131" s="168"/>
      <c r="D131" s="168"/>
      <c r="E131" s="168"/>
      <c r="F131" s="168"/>
      <c r="G131" s="168"/>
      <c r="H131" s="168"/>
      <c r="I131" s="168"/>
    </row>
    <row r="132" spans="1:9" ht="15.75">
      <c r="A132" s="168" t="s">
        <v>20</v>
      </c>
      <c r="B132" s="168"/>
      <c r="C132" s="168"/>
      <c r="D132" s="168"/>
      <c r="E132" s="168"/>
      <c r="F132" s="168"/>
      <c r="G132" s="168"/>
      <c r="H132" s="168"/>
      <c r="I132" s="168"/>
    </row>
  </sheetData>
  <mergeCells count="28">
    <mergeCell ref="A128:I128"/>
    <mergeCell ref="A129:I129"/>
    <mergeCell ref="A130:I130"/>
    <mergeCell ref="A131:I131"/>
    <mergeCell ref="A132:I132"/>
    <mergeCell ref="C126:E126"/>
    <mergeCell ref="A112:I112"/>
    <mergeCell ref="B113:G113"/>
    <mergeCell ref="B114:G114"/>
    <mergeCell ref="A116:I116"/>
    <mergeCell ref="A117:I117"/>
    <mergeCell ref="A118:I118"/>
    <mergeCell ref="A120:I120"/>
    <mergeCell ref="C122:E122"/>
    <mergeCell ref="C123:E123"/>
    <mergeCell ref="C125:E125"/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</mergeCells>
  <pageMargins left="0.7" right="0.7" top="0.75" bottom="0.75" header="0.3" footer="0.3"/>
  <pageSetup paperSize="9" scale="6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B39" sqref="B39:I4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85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283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71"/>
      <c r="C6" s="71"/>
      <c r="D6" s="71"/>
      <c r="E6" s="71"/>
      <c r="F6" s="71"/>
      <c r="G6" s="71"/>
      <c r="H6" s="71"/>
      <c r="I6" s="21">
        <v>43799</v>
      </c>
    </row>
    <row r="7" spans="1:9" ht="15.75">
      <c r="B7" s="72"/>
      <c r="C7" s="72"/>
      <c r="D7" s="72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.7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5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 ht="15.75" hidden="1" customHeight="1">
      <c r="A27" s="20">
        <v>7</v>
      </c>
      <c r="B27" s="81" t="s">
        <v>23</v>
      </c>
      <c r="C27" s="37" t="s">
        <v>24</v>
      </c>
      <c r="D27" s="81" t="s">
        <v>129</v>
      </c>
      <c r="E27" s="76">
        <v>4394.8999999999996</v>
      </c>
      <c r="F27" s="24">
        <f>SUM(E27*12)</f>
        <v>52738.799999999996</v>
      </c>
      <c r="G27" s="24">
        <v>3.34</v>
      </c>
      <c r="H27" s="77">
        <f>SUM(F27*G27/1000)</f>
        <v>176.14759199999997</v>
      </c>
      <c r="I27" s="10">
        <f>F27/12*G27</f>
        <v>14678.965999999999</v>
      </c>
    </row>
    <row r="28" spans="1:9" ht="15.75" customHeight="1">
      <c r="A28" s="177" t="s">
        <v>84</v>
      </c>
      <c r="B28" s="178"/>
      <c r="C28" s="178"/>
      <c r="D28" s="178"/>
      <c r="E28" s="178"/>
      <c r="F28" s="178"/>
      <c r="G28" s="178"/>
      <c r="H28" s="178"/>
      <c r="I28" s="179"/>
    </row>
    <row r="29" spans="1:9" ht="15.75" hidden="1" customHeight="1">
      <c r="A29" s="20"/>
      <c r="B29" s="94" t="s">
        <v>28</v>
      </c>
      <c r="C29" s="37"/>
      <c r="D29" s="25"/>
      <c r="E29" s="76"/>
      <c r="F29" s="24"/>
      <c r="G29" s="24"/>
      <c r="H29" s="77"/>
      <c r="I29" s="10"/>
    </row>
    <row r="30" spans="1:9" ht="15.75" hidden="1" customHeight="1">
      <c r="A30" s="20"/>
      <c r="B30" s="25" t="s">
        <v>94</v>
      </c>
      <c r="C30" s="37" t="s">
        <v>88</v>
      </c>
      <c r="D30" s="25" t="s">
        <v>138</v>
      </c>
      <c r="E30" s="24">
        <v>637</v>
      </c>
      <c r="F30" s="24">
        <f>SUM(E30*48/1000)</f>
        <v>30.576000000000001</v>
      </c>
      <c r="G30" s="24">
        <v>204.44</v>
      </c>
      <c r="H30" s="77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133</v>
      </c>
      <c r="C31" s="37" t="s">
        <v>88</v>
      </c>
      <c r="D31" s="25" t="s">
        <v>139</v>
      </c>
      <c r="E31" s="24">
        <v>188</v>
      </c>
      <c r="F31" s="24">
        <f>SUM(E31*48/1000)</f>
        <v>9.0239999999999991</v>
      </c>
      <c r="G31" s="24">
        <v>339.21</v>
      </c>
      <c r="H31" s="77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88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7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140</v>
      </c>
      <c r="C33" s="37" t="s">
        <v>41</v>
      </c>
      <c r="D33" s="25" t="s">
        <v>141</v>
      </c>
      <c r="E33" s="24">
        <v>8</v>
      </c>
      <c r="F33" s="24">
        <f>SUM(E33*48/100)</f>
        <v>3.84</v>
      </c>
      <c r="G33" s="24">
        <v>1707.63</v>
      </c>
      <c r="H33" s="77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93</v>
      </c>
      <c r="C34" s="37" t="s">
        <v>31</v>
      </c>
      <c r="D34" s="25" t="s">
        <v>64</v>
      </c>
      <c r="E34" s="79">
        <f>1/3</f>
        <v>0.33333333333333331</v>
      </c>
      <c r="F34" s="24">
        <f>155/3</f>
        <v>51.666666666666664</v>
      </c>
      <c r="G34" s="24">
        <v>74.349999999999994</v>
      </c>
      <c r="H34" s="77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65</v>
      </c>
      <c r="C35" s="37" t="s">
        <v>33</v>
      </c>
      <c r="D35" s="25" t="s">
        <v>67</v>
      </c>
      <c r="E35" s="76"/>
      <c r="F35" s="24">
        <v>2</v>
      </c>
      <c r="G35" s="24">
        <v>250.92</v>
      </c>
      <c r="H35" s="77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66</v>
      </c>
      <c r="C36" s="37" t="s">
        <v>32</v>
      </c>
      <c r="D36" s="25" t="s">
        <v>67</v>
      </c>
      <c r="E36" s="76"/>
      <c r="F36" s="24">
        <v>3</v>
      </c>
      <c r="G36" s="24">
        <v>1490.31</v>
      </c>
      <c r="H36" s="77">
        <f t="shared" si="2"/>
        <v>4.4709300000000001</v>
      </c>
      <c r="I36" s="10">
        <v>0</v>
      </c>
    </row>
    <row r="37" spans="1:9" ht="15.75" customHeight="1">
      <c r="A37" s="20"/>
      <c r="B37" s="94" t="s">
        <v>5</v>
      </c>
      <c r="C37" s="37"/>
      <c r="D37" s="25"/>
      <c r="E37" s="76"/>
      <c r="F37" s="24"/>
      <c r="G37" s="24"/>
      <c r="H37" s="77" t="s">
        <v>129</v>
      </c>
      <c r="I37" s="10"/>
    </row>
    <row r="38" spans="1:9" ht="15.75" customHeight="1">
      <c r="A38" s="20">
        <v>7</v>
      </c>
      <c r="B38" s="26" t="s">
        <v>26</v>
      </c>
      <c r="C38" s="37" t="s">
        <v>32</v>
      </c>
      <c r="D38" s="25"/>
      <c r="E38" s="76"/>
      <c r="F38" s="24">
        <v>8</v>
      </c>
      <c r="G38" s="24">
        <v>2003</v>
      </c>
      <c r="H38" s="77">
        <f t="shared" ref="H38:H45" si="4">SUM(F38*G38/1000)</f>
        <v>16.024000000000001</v>
      </c>
      <c r="I38" s="10">
        <f>G38*1.4</f>
        <v>2804.2</v>
      </c>
    </row>
    <row r="39" spans="1:9" ht="15.75" customHeight="1">
      <c r="A39" s="20">
        <v>8</v>
      </c>
      <c r="B39" s="26" t="s">
        <v>68</v>
      </c>
      <c r="C39" s="51" t="s">
        <v>29</v>
      </c>
      <c r="D39" s="26" t="s">
        <v>217</v>
      </c>
      <c r="E39" s="27">
        <v>188</v>
      </c>
      <c r="F39" s="27">
        <f>SUM(E39*26/1000)</f>
        <v>4.8879999999999999</v>
      </c>
      <c r="G39" s="27">
        <v>2757.78</v>
      </c>
      <c r="H39" s="77">
        <f t="shared" si="4"/>
        <v>13.48002864</v>
      </c>
      <c r="I39" s="10">
        <f t="shared" ref="I39:I45" si="5">F39/6*G39</f>
        <v>2246.6714400000001</v>
      </c>
    </row>
    <row r="40" spans="1:9" ht="15.75" customHeight="1">
      <c r="A40" s="20">
        <v>9</v>
      </c>
      <c r="B40" s="25" t="s">
        <v>69</v>
      </c>
      <c r="C40" s="37" t="s">
        <v>29</v>
      </c>
      <c r="D40" s="25" t="s">
        <v>218</v>
      </c>
      <c r="E40" s="24">
        <v>188</v>
      </c>
      <c r="F40" s="27">
        <f>SUM(E40*155/1000)</f>
        <v>29.14</v>
      </c>
      <c r="G40" s="24">
        <v>460.02</v>
      </c>
      <c r="H40" s="77">
        <f t="shared" si="4"/>
        <v>13.404982799999999</v>
      </c>
      <c r="I40" s="10">
        <f t="shared" si="5"/>
        <v>2234.1637999999998</v>
      </c>
    </row>
    <row r="41" spans="1:9" ht="15.75" hidden="1" customHeight="1">
      <c r="A41" s="20"/>
      <c r="B41" s="25" t="s">
        <v>143</v>
      </c>
      <c r="C41" s="37" t="s">
        <v>144</v>
      </c>
      <c r="D41" s="25"/>
      <c r="E41" s="76"/>
      <c r="F41" s="27">
        <v>50</v>
      </c>
      <c r="G41" s="24">
        <v>213.2</v>
      </c>
      <c r="H41" s="77">
        <f t="shared" si="4"/>
        <v>10.66</v>
      </c>
      <c r="I41" s="10">
        <v>0</v>
      </c>
    </row>
    <row r="42" spans="1:9" ht="47.25" customHeight="1">
      <c r="A42" s="20">
        <v>10</v>
      </c>
      <c r="B42" s="25" t="s">
        <v>83</v>
      </c>
      <c r="C42" s="37" t="s">
        <v>88</v>
      </c>
      <c r="D42" s="25" t="s">
        <v>217</v>
      </c>
      <c r="E42" s="24">
        <v>188</v>
      </c>
      <c r="F42" s="27">
        <f>SUM(E42*26/1000)</f>
        <v>4.8879999999999999</v>
      </c>
      <c r="G42" s="24">
        <v>7611.16</v>
      </c>
      <c r="H42" s="77">
        <f t="shared" si="4"/>
        <v>37.20335008</v>
      </c>
      <c r="I42" s="10">
        <f t="shared" si="5"/>
        <v>6200.5583466666667</v>
      </c>
    </row>
    <row r="43" spans="1:9" ht="15.75" customHeight="1">
      <c r="A43" s="20">
        <v>11</v>
      </c>
      <c r="B43" s="25" t="s">
        <v>89</v>
      </c>
      <c r="C43" s="37" t="s">
        <v>88</v>
      </c>
      <c r="D43" s="25" t="s">
        <v>217</v>
      </c>
      <c r="E43" s="24">
        <v>188</v>
      </c>
      <c r="F43" s="27">
        <f>SUM(E43*24/1000)</f>
        <v>4.5119999999999996</v>
      </c>
      <c r="G43" s="24">
        <v>562.25</v>
      </c>
      <c r="H43" s="77">
        <f t="shared" si="4"/>
        <v>2.5368719999999998</v>
      </c>
      <c r="I43" s="10">
        <f>F43/7.5*G43</f>
        <v>338.24959999999993</v>
      </c>
    </row>
    <row r="44" spans="1:9" ht="15.75" customHeight="1">
      <c r="A44" s="20">
        <v>12</v>
      </c>
      <c r="B44" s="26" t="s">
        <v>70</v>
      </c>
      <c r="C44" s="51" t="s">
        <v>33</v>
      </c>
      <c r="D44" s="26"/>
      <c r="E44" s="80"/>
      <c r="F44" s="27">
        <v>0.9</v>
      </c>
      <c r="G44" s="27">
        <v>974.83</v>
      </c>
      <c r="H44" s="77">
        <f t="shared" si="4"/>
        <v>0.8773470000000001</v>
      </c>
      <c r="I44" s="10">
        <f>F44/7.5*G44</f>
        <v>116.97960000000002</v>
      </c>
    </row>
    <row r="45" spans="1:9" ht="15.75" customHeight="1">
      <c r="A45" s="20">
        <v>13</v>
      </c>
      <c r="B45" s="68" t="s">
        <v>146</v>
      </c>
      <c r="C45" s="55" t="s">
        <v>29</v>
      </c>
      <c r="D45" s="26" t="s">
        <v>214</v>
      </c>
      <c r="E45" s="80">
        <v>2.4</v>
      </c>
      <c r="F45" s="27">
        <f>SUM(E45*12/1000)</f>
        <v>2.8799999999999996E-2</v>
      </c>
      <c r="G45" s="27">
        <v>260.2</v>
      </c>
      <c r="H45" s="77">
        <f t="shared" si="4"/>
        <v>7.4937599999999986E-3</v>
      </c>
      <c r="I45" s="10">
        <f t="shared" si="5"/>
        <v>1.2489599999999998</v>
      </c>
    </row>
    <row r="46" spans="1:9" ht="15.75" hidden="1" customHeight="1">
      <c r="A46" s="177" t="s">
        <v>122</v>
      </c>
      <c r="B46" s="178"/>
      <c r="C46" s="178"/>
      <c r="D46" s="178"/>
      <c r="E46" s="178"/>
      <c r="F46" s="178"/>
      <c r="G46" s="178"/>
      <c r="H46" s="178"/>
      <c r="I46" s="179"/>
    </row>
    <row r="47" spans="1:9" ht="15.75" hidden="1" customHeight="1">
      <c r="A47" s="20"/>
      <c r="B47" s="25" t="s">
        <v>130</v>
      </c>
      <c r="C47" s="37" t="s">
        <v>88</v>
      </c>
      <c r="D47" s="25" t="s">
        <v>43</v>
      </c>
      <c r="E47" s="76">
        <v>1609.3</v>
      </c>
      <c r="F47" s="24">
        <f>SUM(E47*2/1000)</f>
        <v>3.2185999999999999</v>
      </c>
      <c r="G47" s="29">
        <v>1193.71</v>
      </c>
      <c r="H47" s="77">
        <f t="shared" ref="H47:H56" si="6">SUM(F47*G47/1000)</f>
        <v>3.842075006</v>
      </c>
      <c r="I47" s="10">
        <f t="shared" ref="I47:I55" si="7">F47/2*G47</f>
        <v>1921.037503</v>
      </c>
    </row>
    <row r="48" spans="1:9" ht="15.75" hidden="1" customHeight="1">
      <c r="A48" s="20"/>
      <c r="B48" s="25" t="s">
        <v>36</v>
      </c>
      <c r="C48" s="37" t="s">
        <v>88</v>
      </c>
      <c r="D48" s="25" t="s">
        <v>43</v>
      </c>
      <c r="E48" s="76">
        <v>104</v>
      </c>
      <c r="F48" s="24">
        <f>SUM(E48*2/1000)</f>
        <v>0.20799999999999999</v>
      </c>
      <c r="G48" s="29">
        <v>4419.05</v>
      </c>
      <c r="H48" s="77">
        <f t="shared" si="6"/>
        <v>0.91916240000000005</v>
      </c>
      <c r="I48" s="10">
        <f t="shared" si="7"/>
        <v>459.58120000000002</v>
      </c>
    </row>
    <row r="49" spans="1:9" ht="15.75" hidden="1" customHeight="1">
      <c r="A49" s="20"/>
      <c r="B49" s="25" t="s">
        <v>37</v>
      </c>
      <c r="C49" s="37" t="s">
        <v>88</v>
      </c>
      <c r="D49" s="25" t="s">
        <v>43</v>
      </c>
      <c r="E49" s="76">
        <v>1996.87</v>
      </c>
      <c r="F49" s="24">
        <f>SUM(E49*2/1000)</f>
        <v>3.9937399999999998</v>
      </c>
      <c r="G49" s="29">
        <v>1803.69</v>
      </c>
      <c r="H49" s="77">
        <f t="shared" si="6"/>
        <v>7.2034689005999999</v>
      </c>
      <c r="I49" s="10">
        <f t="shared" si="7"/>
        <v>3601.7344502999999</v>
      </c>
    </row>
    <row r="50" spans="1:9" ht="15.75" hidden="1" customHeight="1">
      <c r="A50" s="20"/>
      <c r="B50" s="25" t="s">
        <v>38</v>
      </c>
      <c r="C50" s="37" t="s">
        <v>88</v>
      </c>
      <c r="D50" s="25" t="s">
        <v>43</v>
      </c>
      <c r="E50" s="76">
        <v>2654.21</v>
      </c>
      <c r="F50" s="24">
        <f>SUM(E50*2/1000)</f>
        <v>5.3084199999999999</v>
      </c>
      <c r="G50" s="29">
        <v>1243.43</v>
      </c>
      <c r="H50" s="77">
        <f t="shared" si="6"/>
        <v>6.6006486806</v>
      </c>
      <c r="I50" s="10">
        <f t="shared" si="7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6">
        <v>128.53</v>
      </c>
      <c r="F51" s="24">
        <f>SUM(E51*2/100)</f>
        <v>2.5706000000000002</v>
      </c>
      <c r="G51" s="29">
        <v>1352.76</v>
      </c>
      <c r="H51" s="77">
        <f t="shared" si="6"/>
        <v>3.4774048560000002</v>
      </c>
      <c r="I51" s="10">
        <f t="shared" si="7"/>
        <v>1738.7024280000001</v>
      </c>
    </row>
    <row r="52" spans="1:9" ht="15.75" hidden="1" customHeight="1">
      <c r="A52" s="20"/>
      <c r="B52" s="25" t="s">
        <v>57</v>
      </c>
      <c r="C52" s="37" t="s">
        <v>88</v>
      </c>
      <c r="D52" s="25" t="s">
        <v>134</v>
      </c>
      <c r="E52" s="76">
        <v>4394.8999999999996</v>
      </c>
      <c r="F52" s="24">
        <f>SUM(E52*5/1000)</f>
        <v>21.974499999999999</v>
      </c>
      <c r="G52" s="29">
        <v>1803.69</v>
      </c>
      <c r="H52" s="77">
        <f t="shared" si="6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90</v>
      </c>
      <c r="C53" s="37" t="s">
        <v>88</v>
      </c>
      <c r="D53" s="25" t="s">
        <v>43</v>
      </c>
      <c r="E53" s="76">
        <v>4394.8999999999996</v>
      </c>
      <c r="F53" s="24">
        <f>SUM(E53*2/1000)</f>
        <v>8.7897999999999996</v>
      </c>
      <c r="G53" s="29">
        <v>1591.6</v>
      </c>
      <c r="H53" s="77">
        <f t="shared" si="6"/>
        <v>13.989845679999998</v>
      </c>
      <c r="I53" s="10">
        <f t="shared" si="7"/>
        <v>6994.9228399999993</v>
      </c>
    </row>
    <row r="54" spans="1:9" ht="31.5" hidden="1" customHeight="1">
      <c r="A54" s="20"/>
      <c r="B54" s="25" t="s">
        <v>91</v>
      </c>
      <c r="C54" s="37" t="s">
        <v>39</v>
      </c>
      <c r="D54" s="25" t="s">
        <v>43</v>
      </c>
      <c r="E54" s="76">
        <v>40</v>
      </c>
      <c r="F54" s="24">
        <f>SUM(E54*2/100)</f>
        <v>0.8</v>
      </c>
      <c r="G54" s="29">
        <v>4058.32</v>
      </c>
      <c r="H54" s="77">
        <f t="shared" si="6"/>
        <v>3.2466560000000002</v>
      </c>
      <c r="I54" s="10">
        <f t="shared" si="7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6">
        <v>1</v>
      </c>
      <c r="F55" s="24">
        <v>0.02</v>
      </c>
      <c r="G55" s="29">
        <v>7412.92</v>
      </c>
      <c r="H55" s="77">
        <f t="shared" si="6"/>
        <v>0.14825839999999998</v>
      </c>
      <c r="I55" s="10">
        <f t="shared" si="7"/>
        <v>74.129199999999997</v>
      </c>
    </row>
    <row r="56" spans="1:9" ht="15.75" hidden="1" customHeight="1">
      <c r="A56" s="20"/>
      <c r="B56" s="25" t="s">
        <v>42</v>
      </c>
      <c r="C56" s="37" t="s">
        <v>95</v>
      </c>
      <c r="D56" s="25" t="s">
        <v>71</v>
      </c>
      <c r="E56" s="76">
        <v>160</v>
      </c>
      <c r="F56" s="24">
        <f>SUM(E56)*3</f>
        <v>480</v>
      </c>
      <c r="G56" s="30">
        <v>86.15</v>
      </c>
      <c r="H56" s="77">
        <f t="shared" si="6"/>
        <v>41.351999999999997</v>
      </c>
      <c r="I56" s="10">
        <f>F56/3*G56</f>
        <v>13784</v>
      </c>
    </row>
    <row r="57" spans="1:9" ht="15.75" customHeight="1">
      <c r="A57" s="177" t="s">
        <v>126</v>
      </c>
      <c r="B57" s="178"/>
      <c r="C57" s="178"/>
      <c r="D57" s="178"/>
      <c r="E57" s="178"/>
      <c r="F57" s="178"/>
      <c r="G57" s="178"/>
      <c r="H57" s="178"/>
      <c r="I57" s="179"/>
    </row>
    <row r="58" spans="1:9" ht="15.75" hidden="1" customHeight="1">
      <c r="A58" s="20"/>
      <c r="B58" s="94" t="s">
        <v>44</v>
      </c>
      <c r="C58" s="37"/>
      <c r="D58" s="25"/>
      <c r="E58" s="76"/>
      <c r="F58" s="24"/>
      <c r="G58" s="24"/>
      <c r="H58" s="77"/>
      <c r="I58" s="10"/>
    </row>
    <row r="59" spans="1:9" ht="31.5" hidden="1" customHeight="1">
      <c r="A59" s="20">
        <v>15</v>
      </c>
      <c r="B59" s="25" t="s">
        <v>131</v>
      </c>
      <c r="C59" s="37" t="s">
        <v>86</v>
      </c>
      <c r="D59" s="25" t="s">
        <v>115</v>
      </c>
      <c r="E59" s="76">
        <v>160</v>
      </c>
      <c r="F59" s="24">
        <f>SUM(E59*6/100)</f>
        <v>9.6</v>
      </c>
      <c r="G59" s="29">
        <v>2029.3</v>
      </c>
      <c r="H59" s="77">
        <f>SUM(F59*G59/1000)</f>
        <v>19.481279999999998</v>
      </c>
      <c r="I59" s="10">
        <f t="shared" ref="I59" si="8">F59/6*G59</f>
        <v>3246.8799999999997</v>
      </c>
    </row>
    <row r="60" spans="1:9" ht="15.75" hidden="1" customHeight="1">
      <c r="A60" s="20">
        <v>16</v>
      </c>
      <c r="B60" s="25" t="s">
        <v>148</v>
      </c>
      <c r="C60" s="37" t="s">
        <v>149</v>
      </c>
      <c r="D60" s="25" t="s">
        <v>67</v>
      </c>
      <c r="E60" s="76"/>
      <c r="F60" s="24">
        <v>3</v>
      </c>
      <c r="G60" s="29">
        <v>1582.05</v>
      </c>
      <c r="H60" s="77">
        <f>SUM(F60*G60/1000)</f>
        <v>4.7461499999999992</v>
      </c>
      <c r="I60" s="10">
        <f>G60*2.5</f>
        <v>3955.125</v>
      </c>
    </row>
    <row r="61" spans="1:9" ht="15.75" customHeight="1">
      <c r="A61" s="20"/>
      <c r="B61" s="94" t="s">
        <v>45</v>
      </c>
      <c r="C61" s="37"/>
      <c r="D61" s="25"/>
      <c r="E61" s="76"/>
      <c r="F61" s="24"/>
      <c r="G61" s="96"/>
      <c r="H61" s="77"/>
      <c r="I61" s="10"/>
    </row>
    <row r="62" spans="1:9" ht="15.75" hidden="1" customHeight="1">
      <c r="A62" s="20"/>
      <c r="B62" s="25" t="s">
        <v>46</v>
      </c>
      <c r="C62" s="37" t="s">
        <v>86</v>
      </c>
      <c r="D62" s="25" t="s">
        <v>55</v>
      </c>
      <c r="E62" s="76">
        <v>206</v>
      </c>
      <c r="F62" s="24">
        <f>SUM(E62/100)</f>
        <v>2.06</v>
      </c>
      <c r="G62" s="24">
        <v>1040.8399999999999</v>
      </c>
      <c r="H62" s="77">
        <f>F62*G62/1000</f>
        <v>2.1441303999999999</v>
      </c>
      <c r="I62" s="10">
        <v>0</v>
      </c>
    </row>
    <row r="63" spans="1:9" ht="15.75" customHeight="1">
      <c r="A63" s="20">
        <v>14</v>
      </c>
      <c r="B63" s="25" t="s">
        <v>120</v>
      </c>
      <c r="C63" s="37" t="s">
        <v>25</v>
      </c>
      <c r="D63" s="25" t="s">
        <v>220</v>
      </c>
      <c r="E63" s="76">
        <v>325</v>
      </c>
      <c r="F63" s="24">
        <v>2400</v>
      </c>
      <c r="G63" s="24">
        <v>1.4</v>
      </c>
      <c r="H63" s="77">
        <f>F63*G63/1000</f>
        <v>3.36</v>
      </c>
      <c r="I63" s="10">
        <f>F63/12*G63</f>
        <v>280</v>
      </c>
    </row>
    <row r="64" spans="1:9" ht="15.75" customHeight="1">
      <c r="A64" s="20"/>
      <c r="B64" s="95" t="s">
        <v>47</v>
      </c>
      <c r="C64" s="82"/>
      <c r="D64" s="83"/>
      <c r="E64" s="84"/>
      <c r="F64" s="85"/>
      <c r="G64" s="85"/>
      <c r="H64" s="86" t="s">
        <v>129</v>
      </c>
      <c r="I64" s="10"/>
    </row>
    <row r="65" spans="1:9" ht="15.75" customHeight="1">
      <c r="A65" s="20">
        <v>15</v>
      </c>
      <c r="B65" s="52" t="s">
        <v>48</v>
      </c>
      <c r="C65" s="33" t="s">
        <v>95</v>
      </c>
      <c r="D65" s="25"/>
      <c r="E65" s="13">
        <v>10</v>
      </c>
      <c r="F65" s="24">
        <f>SUM(E65)</f>
        <v>10</v>
      </c>
      <c r="G65" s="29">
        <v>291.68</v>
      </c>
      <c r="H65" s="66">
        <f t="shared" ref="H65:H84" si="9">SUM(F65*G65/1000)</f>
        <v>2.9168000000000003</v>
      </c>
      <c r="I65" s="10">
        <f>G65*1</f>
        <v>291.68</v>
      </c>
    </row>
    <row r="66" spans="1:9" ht="15.75" hidden="1" customHeight="1">
      <c r="A66" s="20"/>
      <c r="B66" s="52" t="s">
        <v>49</v>
      </c>
      <c r="C66" s="33" t="s">
        <v>95</v>
      </c>
      <c r="D66" s="25" t="s">
        <v>67</v>
      </c>
      <c r="E66" s="13">
        <v>5</v>
      </c>
      <c r="F66" s="24">
        <f>SUM(E66)</f>
        <v>5</v>
      </c>
      <c r="G66" s="29">
        <v>100.01</v>
      </c>
      <c r="H66" s="66">
        <f t="shared" si="9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96</v>
      </c>
      <c r="D67" s="32" t="s">
        <v>55</v>
      </c>
      <c r="E67" s="76">
        <v>24063</v>
      </c>
      <c r="F67" s="30">
        <f>SUM(E67/100)</f>
        <v>240.63</v>
      </c>
      <c r="G67" s="29">
        <v>278.24</v>
      </c>
      <c r="H67" s="66">
        <f t="shared" si="9"/>
        <v>66.952891199999996</v>
      </c>
      <c r="I67" s="10">
        <f>F67*G67</f>
        <v>66952.891199999998</v>
      </c>
    </row>
    <row r="68" spans="1:9" ht="15.75" hidden="1" customHeight="1">
      <c r="A68" s="20"/>
      <c r="B68" s="52" t="s">
        <v>51</v>
      </c>
      <c r="C68" s="33" t="s">
        <v>97</v>
      </c>
      <c r="D68" s="32" t="s">
        <v>55</v>
      </c>
      <c r="E68" s="76">
        <v>24063</v>
      </c>
      <c r="F68" s="29">
        <f>SUM(E68/1000)</f>
        <v>24.062999999999999</v>
      </c>
      <c r="G68" s="29">
        <v>216.68</v>
      </c>
      <c r="H68" s="66">
        <f t="shared" si="9"/>
        <v>5.21397084</v>
      </c>
      <c r="I68" s="10">
        <f t="shared" ref="I68:I72" si="10">F68*G68</f>
        <v>5213.97084</v>
      </c>
    </row>
    <row r="69" spans="1:9" ht="15.75" hidden="1" customHeight="1">
      <c r="A69" s="20"/>
      <c r="B69" s="52" t="s">
        <v>52</v>
      </c>
      <c r="C69" s="33" t="s">
        <v>78</v>
      </c>
      <c r="D69" s="32" t="s">
        <v>55</v>
      </c>
      <c r="E69" s="76">
        <v>1300</v>
      </c>
      <c r="F69" s="29">
        <f>SUM(E69/100)</f>
        <v>13</v>
      </c>
      <c r="G69" s="29">
        <v>2720.94</v>
      </c>
      <c r="H69" s="66">
        <f t="shared" si="9"/>
        <v>35.372219999999999</v>
      </c>
      <c r="I69" s="10">
        <f t="shared" si="10"/>
        <v>35372.22</v>
      </c>
    </row>
    <row r="70" spans="1:9" ht="15.75" hidden="1" customHeight="1">
      <c r="A70" s="20"/>
      <c r="B70" s="48" t="s">
        <v>72</v>
      </c>
      <c r="C70" s="33" t="s">
        <v>33</v>
      </c>
      <c r="D70" s="32"/>
      <c r="E70" s="76">
        <v>10.4</v>
      </c>
      <c r="F70" s="29">
        <f>SUM(E70)</f>
        <v>10.4</v>
      </c>
      <c r="G70" s="29">
        <v>42.61</v>
      </c>
      <c r="H70" s="66">
        <f t="shared" si="9"/>
        <v>0.44314399999999998</v>
      </c>
      <c r="I70" s="10">
        <f t="shared" si="10"/>
        <v>443.14400000000001</v>
      </c>
    </row>
    <row r="71" spans="1:9" ht="31.5" hidden="1" customHeight="1">
      <c r="A71" s="20"/>
      <c r="B71" s="48" t="s">
        <v>73</v>
      </c>
      <c r="C71" s="33" t="s">
        <v>33</v>
      </c>
      <c r="D71" s="32"/>
      <c r="E71" s="76">
        <v>10.4</v>
      </c>
      <c r="F71" s="29">
        <f>SUM(E71)</f>
        <v>10.4</v>
      </c>
      <c r="G71" s="29">
        <v>46.04</v>
      </c>
      <c r="H71" s="66">
        <f t="shared" si="9"/>
        <v>0.47881600000000002</v>
      </c>
      <c r="I71" s="10">
        <f t="shared" si="10"/>
        <v>478.81600000000003</v>
      </c>
    </row>
    <row r="72" spans="1:9" ht="15.75" hidden="1" customHeight="1">
      <c r="A72" s="20"/>
      <c r="B72" s="32" t="s">
        <v>58</v>
      </c>
      <c r="C72" s="33" t="s">
        <v>59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6">
        <f t="shared" si="9"/>
        <v>0.3271</v>
      </c>
      <c r="I72" s="10">
        <f t="shared" si="10"/>
        <v>327.10000000000002</v>
      </c>
    </row>
    <row r="73" spans="1:9" ht="15.75" customHeight="1">
      <c r="A73" s="20"/>
      <c r="B73" s="45" t="s">
        <v>74</v>
      </c>
      <c r="C73" s="33"/>
      <c r="D73" s="32"/>
      <c r="E73" s="13"/>
      <c r="F73" s="29"/>
      <c r="G73" s="29"/>
      <c r="H73" s="66" t="s">
        <v>129</v>
      </c>
      <c r="I73" s="10"/>
    </row>
    <row r="74" spans="1:9" ht="15.75" hidden="1" customHeight="1">
      <c r="A74" s="20"/>
      <c r="B74" s="32" t="s">
        <v>150</v>
      </c>
      <c r="C74" s="33" t="s">
        <v>95</v>
      </c>
      <c r="D74" s="25" t="s">
        <v>67</v>
      </c>
      <c r="E74" s="13">
        <v>1</v>
      </c>
      <c r="F74" s="29">
        <v>1</v>
      </c>
      <c r="G74" s="29">
        <v>1029.1199999999999</v>
      </c>
      <c r="H74" s="66">
        <f t="shared" ref="H74:H77" si="11">SUM(F74*G74/1000)</f>
        <v>1.0291199999999998</v>
      </c>
      <c r="I74" s="10">
        <v>0</v>
      </c>
    </row>
    <row r="75" spans="1:9" ht="15.75" hidden="1" customHeight="1">
      <c r="A75" s="20"/>
      <c r="B75" s="32" t="s">
        <v>151</v>
      </c>
      <c r="C75" s="33" t="s">
        <v>152</v>
      </c>
      <c r="D75" s="32"/>
      <c r="E75" s="13">
        <v>1</v>
      </c>
      <c r="F75" s="29">
        <f>E75</f>
        <v>1</v>
      </c>
      <c r="G75" s="29">
        <v>735</v>
      </c>
      <c r="H75" s="66">
        <f t="shared" si="11"/>
        <v>0.73499999999999999</v>
      </c>
      <c r="I75" s="10">
        <v>0</v>
      </c>
    </row>
    <row r="76" spans="1:9" ht="15.75" hidden="1" customHeight="1">
      <c r="A76" s="20">
        <v>19</v>
      </c>
      <c r="B76" s="32" t="s">
        <v>75</v>
      </c>
      <c r="C76" s="33" t="s">
        <v>76</v>
      </c>
      <c r="D76" s="25" t="s">
        <v>67</v>
      </c>
      <c r="E76" s="13">
        <v>7</v>
      </c>
      <c r="F76" s="29">
        <f>E76/10</f>
        <v>0.7</v>
      </c>
      <c r="G76" s="29">
        <v>657.87</v>
      </c>
      <c r="H76" s="66">
        <f t="shared" si="11"/>
        <v>0.46050899999999995</v>
      </c>
      <c r="I76" s="10">
        <f>G76*0.9</f>
        <v>592.08299999999997</v>
      </c>
    </row>
    <row r="77" spans="1:9" ht="15.75" hidden="1" customHeight="1">
      <c r="A77" s="20"/>
      <c r="B77" s="32" t="s">
        <v>116</v>
      </c>
      <c r="C77" s="33" t="s">
        <v>95</v>
      </c>
      <c r="D77" s="25" t="s">
        <v>67</v>
      </c>
      <c r="E77" s="13">
        <v>1</v>
      </c>
      <c r="F77" s="24">
        <f>SUM(E77)</f>
        <v>1</v>
      </c>
      <c r="G77" s="29">
        <v>1118.72</v>
      </c>
      <c r="H77" s="66">
        <f t="shared" si="11"/>
        <v>1.1187199999999999</v>
      </c>
      <c r="I77" s="10">
        <v>0</v>
      </c>
    </row>
    <row r="78" spans="1:9" ht="15.75" hidden="1" customHeight="1">
      <c r="A78" s="20"/>
      <c r="B78" s="68" t="s">
        <v>153</v>
      </c>
      <c r="C78" s="55" t="s">
        <v>95</v>
      </c>
      <c r="D78" s="25" t="s">
        <v>67</v>
      </c>
      <c r="E78" s="13">
        <v>1</v>
      </c>
      <c r="F78" s="54">
        <v>1</v>
      </c>
      <c r="G78" s="29">
        <v>1605.83</v>
      </c>
      <c r="H78" s="66">
        <f>SUM(F78*G78/1000)</f>
        <v>1.6058299999999999</v>
      </c>
      <c r="I78" s="10">
        <v>0</v>
      </c>
    </row>
    <row r="79" spans="1:9" ht="15.75" customHeight="1">
      <c r="A79" s="20">
        <v>16</v>
      </c>
      <c r="B79" s="68" t="s">
        <v>154</v>
      </c>
      <c r="C79" s="55" t="s">
        <v>95</v>
      </c>
      <c r="D79" s="32" t="s">
        <v>215</v>
      </c>
      <c r="E79" s="87">
        <v>2</v>
      </c>
      <c r="F79" s="85">
        <f>E79*12</f>
        <v>24</v>
      </c>
      <c r="G79" s="88">
        <v>53.42</v>
      </c>
      <c r="H79" s="66">
        <f t="shared" ref="H79:H80" si="12">SUM(F79*G79/1000)</f>
        <v>1.2820799999999999</v>
      </c>
      <c r="I79" s="10">
        <f>F79/12*G79</f>
        <v>106.84</v>
      </c>
    </row>
    <row r="80" spans="1:9" ht="15.75" customHeight="1">
      <c r="A80" s="20">
        <v>17</v>
      </c>
      <c r="B80" s="62" t="s">
        <v>117</v>
      </c>
      <c r="C80" s="33"/>
      <c r="D80" s="32" t="s">
        <v>215</v>
      </c>
      <c r="E80" s="13">
        <v>1</v>
      </c>
      <c r="F80" s="29">
        <v>12</v>
      </c>
      <c r="G80" s="29">
        <v>1194</v>
      </c>
      <c r="H80" s="66">
        <f t="shared" si="12"/>
        <v>14.327999999999999</v>
      </c>
      <c r="I80" s="10">
        <f>F80/12*G80</f>
        <v>1194</v>
      </c>
    </row>
    <row r="81" spans="1:9" ht="15.75" customHeight="1">
      <c r="A81" s="20"/>
      <c r="B81" s="97" t="s">
        <v>155</v>
      </c>
      <c r="C81" s="55"/>
      <c r="D81" s="32"/>
      <c r="E81" s="13"/>
      <c r="F81" s="29"/>
      <c r="G81" s="29"/>
      <c r="H81" s="66"/>
      <c r="I81" s="10"/>
    </row>
    <row r="82" spans="1:9" ht="15.75" customHeight="1">
      <c r="A82" s="20">
        <v>18</v>
      </c>
      <c r="B82" s="32" t="s">
        <v>156</v>
      </c>
      <c r="C82" s="38" t="s">
        <v>157</v>
      </c>
      <c r="D82" s="25"/>
      <c r="E82" s="13">
        <v>4394.8999999999996</v>
      </c>
      <c r="F82" s="29">
        <f>SUM(E82*12)</f>
        <v>52738.799999999996</v>
      </c>
      <c r="G82" s="29">
        <v>2.2799999999999998</v>
      </c>
      <c r="H82" s="66">
        <f t="shared" ref="H82" si="13">SUM(F82*G82/1000)</f>
        <v>120.24446399999998</v>
      </c>
      <c r="I82" s="10">
        <f>F82/12*G82</f>
        <v>10020.371999999998</v>
      </c>
    </row>
    <row r="83" spans="1:9" ht="15.75" hidden="1" customHeight="1">
      <c r="A83" s="20"/>
      <c r="B83" s="46" t="s">
        <v>77</v>
      </c>
      <c r="C83" s="33"/>
      <c r="D83" s="32"/>
      <c r="E83" s="13"/>
      <c r="F83" s="29"/>
      <c r="G83" s="29" t="s">
        <v>129</v>
      </c>
      <c r="H83" s="66" t="s">
        <v>129</v>
      </c>
      <c r="I83" s="10"/>
    </row>
    <row r="84" spans="1:9" ht="15.75" hidden="1" customHeight="1">
      <c r="A84" s="20"/>
      <c r="B84" s="34" t="s">
        <v>100</v>
      </c>
      <c r="C84" s="35" t="s">
        <v>78</v>
      </c>
      <c r="D84" s="52"/>
      <c r="E84" s="89"/>
      <c r="F84" s="30">
        <v>0.6</v>
      </c>
      <c r="G84" s="30">
        <v>3619.09</v>
      </c>
      <c r="H84" s="66">
        <f t="shared" si="9"/>
        <v>2.1714540000000002</v>
      </c>
      <c r="I84" s="10">
        <v>0</v>
      </c>
    </row>
    <row r="85" spans="1:9" ht="15.75" hidden="1" customHeight="1">
      <c r="A85" s="20"/>
      <c r="B85" s="70" t="s">
        <v>92</v>
      </c>
      <c r="C85" s="64"/>
      <c r="D85" s="22"/>
      <c r="E85" s="23"/>
      <c r="F85" s="61"/>
      <c r="G85" s="61"/>
      <c r="H85" s="90">
        <f>SUM(H59:H84)</f>
        <v>284.91172943999999</v>
      </c>
      <c r="I85" s="10"/>
    </row>
    <row r="86" spans="1:9" ht="15.75" hidden="1" customHeight="1">
      <c r="A86" s="20"/>
      <c r="B86" s="25" t="s">
        <v>98</v>
      </c>
      <c r="C86" s="91"/>
      <c r="D86" s="92"/>
      <c r="E86" s="93"/>
      <c r="F86" s="31">
        <v>1</v>
      </c>
      <c r="G86" s="31">
        <v>18792</v>
      </c>
      <c r="H86" s="66">
        <f>G86*F86/1000</f>
        <v>18.792000000000002</v>
      </c>
      <c r="I86" s="10">
        <v>0</v>
      </c>
    </row>
    <row r="87" spans="1:9" ht="15.75" customHeight="1">
      <c r="A87" s="177" t="s">
        <v>127</v>
      </c>
      <c r="B87" s="178"/>
      <c r="C87" s="178"/>
      <c r="D87" s="178"/>
      <c r="E87" s="178"/>
      <c r="F87" s="178"/>
      <c r="G87" s="178"/>
      <c r="H87" s="178"/>
      <c r="I87" s="179"/>
    </row>
    <row r="88" spans="1:9" ht="15.75" customHeight="1">
      <c r="A88" s="20">
        <v>19</v>
      </c>
      <c r="B88" s="25" t="s">
        <v>99</v>
      </c>
      <c r="C88" s="33" t="s">
        <v>56</v>
      </c>
      <c r="D88" s="53"/>
      <c r="E88" s="29">
        <v>4394.8999999999996</v>
      </c>
      <c r="F88" s="29">
        <f>SUM(E88*12)</f>
        <v>52738.799999999996</v>
      </c>
      <c r="G88" s="29">
        <v>3.1</v>
      </c>
      <c r="H88" s="66">
        <f>SUM(F88*G88/1000)</f>
        <v>163.49028000000001</v>
      </c>
      <c r="I88" s="10">
        <f>F88/12*G88</f>
        <v>13624.189999999999</v>
      </c>
    </row>
    <row r="89" spans="1:9" ht="30.75" customHeight="1">
      <c r="A89" s="20">
        <v>20</v>
      </c>
      <c r="B89" s="32" t="s">
        <v>79</v>
      </c>
      <c r="C89" s="33"/>
      <c r="D89" s="53"/>
      <c r="E89" s="76">
        <f>E88</f>
        <v>4394.8999999999996</v>
      </c>
      <c r="F89" s="29">
        <f>E89*12</f>
        <v>52738.799999999996</v>
      </c>
      <c r="G89" s="29">
        <v>3.5</v>
      </c>
      <c r="H89" s="66">
        <f>F89*G89/1000</f>
        <v>184.58579999999998</v>
      </c>
      <c r="I89" s="10">
        <f>F89/12*G89</f>
        <v>15382.149999999998</v>
      </c>
    </row>
    <row r="90" spans="1:9" ht="15.75" customHeight="1">
      <c r="A90" s="20"/>
      <c r="B90" s="36" t="s">
        <v>81</v>
      </c>
      <c r="C90" s="64"/>
      <c r="D90" s="63"/>
      <c r="E90" s="61"/>
      <c r="F90" s="61"/>
      <c r="G90" s="61"/>
      <c r="H90" s="65">
        <f>SUM(H77)</f>
        <v>1.1187199999999999</v>
      </c>
      <c r="I90" s="61">
        <f>I89+I88+I82+I80+I79+I65+I63+I45+I44+I43+I42+I40+I39+I38+I26+I21+I18+I17+I16+I25</f>
        <v>77470.253028666644</v>
      </c>
    </row>
    <row r="91" spans="1:9" ht="15.75" customHeight="1">
      <c r="A91" s="180" t="s">
        <v>61</v>
      </c>
      <c r="B91" s="181"/>
      <c r="C91" s="181"/>
      <c r="D91" s="181"/>
      <c r="E91" s="181"/>
      <c r="F91" s="181"/>
      <c r="G91" s="181"/>
      <c r="H91" s="181"/>
      <c r="I91" s="182"/>
    </row>
    <row r="92" spans="1:9" ht="31.5" customHeight="1">
      <c r="A92" s="20">
        <v>21</v>
      </c>
      <c r="B92" s="68" t="s">
        <v>193</v>
      </c>
      <c r="C92" s="55" t="s">
        <v>29</v>
      </c>
      <c r="D92" s="67"/>
      <c r="E92" s="29"/>
      <c r="F92" s="29">
        <f>(3)/3</f>
        <v>1</v>
      </c>
      <c r="G92" s="29">
        <v>1739.68</v>
      </c>
      <c r="H92" s="66">
        <f t="shared" ref="H92:H97" si="14">G92*F92/1000</f>
        <v>1.7396800000000001</v>
      </c>
      <c r="I92" s="10">
        <f>G92*0.06</f>
        <v>104.38079999999999</v>
      </c>
    </row>
    <row r="93" spans="1:9" ht="14.25" customHeight="1">
      <c r="A93" s="20">
        <v>22</v>
      </c>
      <c r="B93" s="68" t="s">
        <v>160</v>
      </c>
      <c r="C93" s="55" t="s">
        <v>184</v>
      </c>
      <c r="D93" s="67"/>
      <c r="E93" s="29"/>
      <c r="F93" s="29">
        <v>14</v>
      </c>
      <c r="G93" s="29">
        <v>273</v>
      </c>
      <c r="H93" s="66">
        <f t="shared" si="14"/>
        <v>3.8220000000000001</v>
      </c>
      <c r="I93" s="10">
        <f>G93*12</f>
        <v>3276</v>
      </c>
    </row>
    <row r="94" spans="1:9" ht="31.5" customHeight="1">
      <c r="A94" s="20">
        <v>23</v>
      </c>
      <c r="B94" s="68" t="s">
        <v>166</v>
      </c>
      <c r="C94" s="55" t="s">
        <v>39</v>
      </c>
      <c r="D94" s="32"/>
      <c r="E94" s="13"/>
      <c r="F94" s="29">
        <v>7</v>
      </c>
      <c r="G94" s="29">
        <v>3914.31</v>
      </c>
      <c r="H94" s="66">
        <f t="shared" si="14"/>
        <v>27.400169999999999</v>
      </c>
      <c r="I94" s="10">
        <f>G94*0.01</f>
        <v>39.143099999999997</v>
      </c>
    </row>
    <row r="95" spans="1:9" ht="15.75" customHeight="1">
      <c r="A95" s="20">
        <v>24</v>
      </c>
      <c r="B95" s="68" t="s">
        <v>196</v>
      </c>
      <c r="C95" s="55" t="s">
        <v>136</v>
      </c>
      <c r="D95" s="33" t="s">
        <v>286</v>
      </c>
      <c r="E95" s="29"/>
      <c r="F95" s="29">
        <v>5</v>
      </c>
      <c r="G95" s="29">
        <v>214.07</v>
      </c>
      <c r="H95" s="66">
        <f t="shared" si="14"/>
        <v>1.0703499999999999</v>
      </c>
      <c r="I95" s="10">
        <f>G95*1</f>
        <v>214.07</v>
      </c>
    </row>
    <row r="96" spans="1:9" ht="15.75" customHeight="1">
      <c r="A96" s="20">
        <v>25</v>
      </c>
      <c r="B96" s="68" t="s">
        <v>284</v>
      </c>
      <c r="C96" s="55" t="s">
        <v>285</v>
      </c>
      <c r="D96" s="32"/>
      <c r="E96" s="13"/>
      <c r="F96" s="29">
        <v>7</v>
      </c>
      <c r="G96" s="29">
        <v>477.34</v>
      </c>
      <c r="H96" s="66">
        <f t="shared" si="14"/>
        <v>3.3413799999999996</v>
      </c>
      <c r="I96" s="10">
        <f>G96*1</f>
        <v>477.34</v>
      </c>
    </row>
    <row r="97" spans="1:9" ht="15.75" customHeight="1">
      <c r="A97" s="20">
        <v>26</v>
      </c>
      <c r="B97" s="68" t="s">
        <v>119</v>
      </c>
      <c r="C97" s="55" t="s">
        <v>95</v>
      </c>
      <c r="D97" s="32"/>
      <c r="E97" s="13"/>
      <c r="F97" s="29">
        <v>1</v>
      </c>
      <c r="G97" s="29">
        <v>58.39</v>
      </c>
      <c r="H97" s="66">
        <f t="shared" si="14"/>
        <v>5.8389999999999997E-2</v>
      </c>
      <c r="I97" s="10">
        <f>G97*1</f>
        <v>58.39</v>
      </c>
    </row>
    <row r="98" spans="1:9">
      <c r="A98" s="20"/>
      <c r="B98" s="43" t="s">
        <v>53</v>
      </c>
      <c r="C98" s="39"/>
      <c r="D98" s="49"/>
      <c r="E98" s="39">
        <v>1</v>
      </c>
      <c r="F98" s="39"/>
      <c r="G98" s="39"/>
      <c r="H98" s="39"/>
      <c r="I98" s="23">
        <f>SUM(I92:I97)</f>
        <v>4169.3239000000003</v>
      </c>
    </row>
    <row r="99" spans="1:9" ht="15.75" customHeight="1">
      <c r="A99" s="20"/>
      <c r="B99" s="47" t="s">
        <v>80</v>
      </c>
      <c r="C99" s="12"/>
      <c r="D99" s="12"/>
      <c r="E99" s="40"/>
      <c r="F99" s="40"/>
      <c r="G99" s="41"/>
      <c r="H99" s="41"/>
      <c r="I99" s="13">
        <v>0</v>
      </c>
    </row>
    <row r="100" spans="1:9" ht="15.75" customHeight="1">
      <c r="A100" s="50"/>
      <c r="B100" s="44" t="s">
        <v>158</v>
      </c>
      <c r="C100" s="28"/>
      <c r="D100" s="28"/>
      <c r="E100" s="28"/>
      <c r="F100" s="28"/>
      <c r="G100" s="28"/>
      <c r="H100" s="28"/>
      <c r="I100" s="42">
        <f>I90+I98</f>
        <v>81639.576928666647</v>
      </c>
    </row>
    <row r="101" spans="1:9" ht="15.75">
      <c r="A101" s="183" t="s">
        <v>287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 customHeight="1">
      <c r="A102" s="56"/>
      <c r="B102" s="184" t="s">
        <v>288</v>
      </c>
      <c r="C102" s="184"/>
      <c r="D102" s="184"/>
      <c r="E102" s="184"/>
      <c r="F102" s="184"/>
      <c r="G102" s="184"/>
      <c r="H102" s="59"/>
      <c r="I102" s="2"/>
    </row>
    <row r="103" spans="1:9" ht="15.75" customHeight="1">
      <c r="A103" s="75"/>
      <c r="B103" s="171" t="s">
        <v>6</v>
      </c>
      <c r="C103" s="171"/>
      <c r="D103" s="171"/>
      <c r="E103" s="171"/>
      <c r="F103" s="171"/>
      <c r="G103" s="171"/>
      <c r="H103" s="15"/>
      <c r="I103" s="4"/>
    </row>
    <row r="104" spans="1:9" ht="15.7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85" t="s">
        <v>7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 customHeight="1">
      <c r="A106" s="185" t="s">
        <v>8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>
      <c r="A107" s="175" t="s">
        <v>62</v>
      </c>
      <c r="B107" s="175"/>
      <c r="C107" s="175"/>
      <c r="D107" s="175"/>
      <c r="E107" s="175"/>
      <c r="F107" s="175"/>
      <c r="G107" s="175"/>
      <c r="H107" s="175"/>
      <c r="I107" s="175"/>
    </row>
    <row r="108" spans="1:9" ht="15.75" customHeight="1">
      <c r="A108" s="8"/>
    </row>
    <row r="109" spans="1:9" ht="15.75">
      <c r="A109" s="169" t="s">
        <v>9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15.75" customHeight="1">
      <c r="A110" s="3"/>
    </row>
    <row r="111" spans="1:9" ht="15.75">
      <c r="B111" s="72" t="s">
        <v>10</v>
      </c>
      <c r="C111" s="170" t="s">
        <v>124</v>
      </c>
      <c r="D111" s="170"/>
      <c r="E111" s="170"/>
      <c r="F111" s="57"/>
      <c r="I111" s="74"/>
    </row>
    <row r="112" spans="1:9">
      <c r="A112" s="75"/>
      <c r="C112" s="171" t="s">
        <v>11</v>
      </c>
      <c r="D112" s="171"/>
      <c r="E112" s="171"/>
      <c r="F112" s="15"/>
      <c r="I112" s="73" t="s">
        <v>12</v>
      </c>
    </row>
    <row r="113" spans="1:9" ht="15.75">
      <c r="A113" s="16"/>
      <c r="C113" s="9"/>
      <c r="D113" s="9"/>
      <c r="G113" s="9"/>
      <c r="H113" s="9"/>
    </row>
    <row r="114" spans="1:9" ht="15.75" customHeight="1">
      <c r="B114" s="72" t="s">
        <v>13</v>
      </c>
      <c r="C114" s="172"/>
      <c r="D114" s="172"/>
      <c r="E114" s="172"/>
      <c r="F114" s="58"/>
      <c r="I114" s="74"/>
    </row>
    <row r="115" spans="1:9" ht="15.75" customHeight="1">
      <c r="A115" s="75"/>
      <c r="C115" s="173" t="s">
        <v>11</v>
      </c>
      <c r="D115" s="173"/>
      <c r="E115" s="173"/>
      <c r="F115" s="75"/>
      <c r="I115" s="73" t="s">
        <v>12</v>
      </c>
    </row>
    <row r="116" spans="1:9" ht="15.75" customHeight="1">
      <c r="A116" s="3" t="s">
        <v>14</v>
      </c>
    </row>
    <row r="117" spans="1:9">
      <c r="A117" s="174" t="s">
        <v>15</v>
      </c>
      <c r="B117" s="174"/>
      <c r="C117" s="174"/>
      <c r="D117" s="174"/>
      <c r="E117" s="174"/>
      <c r="F117" s="174"/>
      <c r="G117" s="174"/>
      <c r="H117" s="174"/>
      <c r="I117" s="174"/>
    </row>
    <row r="118" spans="1:9" ht="45" customHeight="1">
      <c r="A118" s="168" t="s">
        <v>16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30" customHeight="1">
      <c r="A119" s="168" t="s">
        <v>17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0" customHeight="1">
      <c r="A120" s="168" t="s">
        <v>21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15" customHeight="1">
      <c r="A121" s="168" t="s">
        <v>20</v>
      </c>
      <c r="B121" s="168"/>
      <c r="C121" s="168"/>
      <c r="D121" s="168"/>
      <c r="E121" s="168"/>
      <c r="F121" s="168"/>
      <c r="G121" s="168"/>
      <c r="H121" s="168"/>
      <c r="I121" s="168"/>
    </row>
  </sheetData>
  <mergeCells count="28">
    <mergeCell ref="A118:I118"/>
    <mergeCell ref="A119:I119"/>
    <mergeCell ref="A120:I120"/>
    <mergeCell ref="A121:I121"/>
    <mergeCell ref="A28:I28"/>
    <mergeCell ref="A46:I46"/>
    <mergeCell ref="A57:I57"/>
    <mergeCell ref="A87:I87"/>
    <mergeCell ref="A109:I109"/>
    <mergeCell ref="C111:E111"/>
    <mergeCell ref="C112:E112"/>
    <mergeCell ref="C114:E114"/>
    <mergeCell ref="C115:E115"/>
    <mergeCell ref="A117:I117"/>
    <mergeCell ref="A101:I101"/>
    <mergeCell ref="B102:G102"/>
    <mergeCell ref="B103:G103"/>
    <mergeCell ref="A105:I105"/>
    <mergeCell ref="A106:I106"/>
    <mergeCell ref="A107:I107"/>
    <mergeCell ref="A15:I15"/>
    <mergeCell ref="A91:I9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9"/>
  <sheetViews>
    <sheetView tabSelected="1" topLeftCell="A10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101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289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71"/>
      <c r="C6" s="71"/>
      <c r="D6" s="71"/>
      <c r="E6" s="71"/>
      <c r="F6" s="71"/>
      <c r="G6" s="71"/>
      <c r="H6" s="71"/>
      <c r="I6" s="21">
        <v>43830</v>
      </c>
    </row>
    <row r="7" spans="1:9" ht="15.75">
      <c r="B7" s="72"/>
      <c r="C7" s="72"/>
      <c r="D7" s="72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.7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5.75" hidden="1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 ht="15.75" hidden="1" customHeight="1">
      <c r="A27" s="20">
        <v>6</v>
      </c>
      <c r="B27" s="81" t="s">
        <v>23</v>
      </c>
      <c r="C27" s="37" t="s">
        <v>24</v>
      </c>
      <c r="D27" s="81" t="s">
        <v>129</v>
      </c>
      <c r="E27" s="76">
        <v>4394.8999999999996</v>
      </c>
      <c r="F27" s="24">
        <f>SUM(E27*12)</f>
        <v>52738.799999999996</v>
      </c>
      <c r="G27" s="24">
        <v>3.34</v>
      </c>
      <c r="H27" s="77">
        <f>SUM(F27*G27/1000)</f>
        <v>176.14759199999997</v>
      </c>
      <c r="I27" s="10">
        <f>F27/12*G27</f>
        <v>14678.965999999999</v>
      </c>
    </row>
    <row r="28" spans="1:9" ht="15.75" customHeight="1">
      <c r="A28" s="177" t="s">
        <v>84</v>
      </c>
      <c r="B28" s="178"/>
      <c r="C28" s="178"/>
      <c r="D28" s="178"/>
      <c r="E28" s="178"/>
      <c r="F28" s="178"/>
      <c r="G28" s="178"/>
      <c r="H28" s="178"/>
      <c r="I28" s="179"/>
    </row>
    <row r="29" spans="1:9" ht="15.75" hidden="1" customHeight="1">
      <c r="A29" s="20"/>
      <c r="B29" s="94" t="s">
        <v>28</v>
      </c>
      <c r="C29" s="37"/>
      <c r="D29" s="25"/>
      <c r="E29" s="76"/>
      <c r="F29" s="24"/>
      <c r="G29" s="24"/>
      <c r="H29" s="77"/>
      <c r="I29" s="10"/>
    </row>
    <row r="30" spans="1:9" ht="15.75" hidden="1" customHeight="1">
      <c r="A30" s="20"/>
      <c r="B30" s="25" t="s">
        <v>94</v>
      </c>
      <c r="C30" s="37" t="s">
        <v>88</v>
      </c>
      <c r="D30" s="25" t="s">
        <v>138</v>
      </c>
      <c r="E30" s="24">
        <v>637</v>
      </c>
      <c r="F30" s="24">
        <f>SUM(E30*48/1000)</f>
        <v>30.576000000000001</v>
      </c>
      <c r="G30" s="24">
        <v>204.44</v>
      </c>
      <c r="H30" s="77">
        <f t="shared" ref="H30:H36" si="2">SUM(F30*G30/1000)</f>
        <v>6.2509574400000005</v>
      </c>
      <c r="I30" s="10">
        <f t="shared" ref="I30:I34" si="3">F30/6*G30</f>
        <v>1041.8262400000001</v>
      </c>
    </row>
    <row r="31" spans="1:9" ht="31.5" hidden="1" customHeight="1">
      <c r="A31" s="20"/>
      <c r="B31" s="25" t="s">
        <v>133</v>
      </c>
      <c r="C31" s="37" t="s">
        <v>88</v>
      </c>
      <c r="D31" s="25" t="s">
        <v>139</v>
      </c>
      <c r="E31" s="24">
        <v>188</v>
      </c>
      <c r="F31" s="24">
        <f>SUM(E31*48/1000)</f>
        <v>9.0239999999999991</v>
      </c>
      <c r="G31" s="24">
        <v>339.21</v>
      </c>
      <c r="H31" s="77">
        <f t="shared" si="2"/>
        <v>3.0610310399999996</v>
      </c>
      <c r="I31" s="10">
        <f t="shared" si="3"/>
        <v>510.17183999999992</v>
      </c>
    </row>
    <row r="32" spans="1:9" ht="15.75" hidden="1" customHeight="1">
      <c r="A32" s="20"/>
      <c r="B32" s="25" t="s">
        <v>27</v>
      </c>
      <c r="C32" s="37" t="s">
        <v>88</v>
      </c>
      <c r="D32" s="25" t="s">
        <v>55</v>
      </c>
      <c r="E32" s="24">
        <v>637</v>
      </c>
      <c r="F32" s="24">
        <f>SUM(E32/1000)</f>
        <v>0.63700000000000001</v>
      </c>
      <c r="G32" s="24">
        <v>3961.23</v>
      </c>
      <c r="H32" s="77">
        <f t="shared" si="2"/>
        <v>2.5233035100000003</v>
      </c>
      <c r="I32" s="10">
        <f>F32*G32</f>
        <v>2523.3035100000002</v>
      </c>
    </row>
    <row r="33" spans="1:9" ht="15.75" hidden="1" customHeight="1">
      <c r="A33" s="20"/>
      <c r="B33" s="25" t="s">
        <v>140</v>
      </c>
      <c r="C33" s="37" t="s">
        <v>41</v>
      </c>
      <c r="D33" s="25" t="s">
        <v>141</v>
      </c>
      <c r="E33" s="24">
        <v>8</v>
      </c>
      <c r="F33" s="24">
        <f>SUM(E33*48/100)</f>
        <v>3.84</v>
      </c>
      <c r="G33" s="24">
        <v>1707.63</v>
      </c>
      <c r="H33" s="77">
        <f t="shared" si="2"/>
        <v>6.5572992000000001</v>
      </c>
      <c r="I33" s="10">
        <f t="shared" si="3"/>
        <v>1092.8832</v>
      </c>
    </row>
    <row r="34" spans="1:9" ht="15.75" hidden="1" customHeight="1">
      <c r="A34" s="20"/>
      <c r="B34" s="25" t="s">
        <v>93</v>
      </c>
      <c r="C34" s="37" t="s">
        <v>31</v>
      </c>
      <c r="D34" s="25" t="s">
        <v>64</v>
      </c>
      <c r="E34" s="79">
        <f>1/3</f>
        <v>0.33333333333333331</v>
      </c>
      <c r="F34" s="24">
        <f>155/3</f>
        <v>51.666666666666664</v>
      </c>
      <c r="G34" s="24">
        <v>74.349999999999994</v>
      </c>
      <c r="H34" s="77">
        <f t="shared" si="2"/>
        <v>3.841416666666666</v>
      </c>
      <c r="I34" s="10">
        <f t="shared" si="3"/>
        <v>640.23611111111109</v>
      </c>
    </row>
    <row r="35" spans="1:9" ht="15.75" hidden="1" customHeight="1">
      <c r="A35" s="20"/>
      <c r="B35" s="25" t="s">
        <v>65</v>
      </c>
      <c r="C35" s="37" t="s">
        <v>33</v>
      </c>
      <c r="D35" s="25" t="s">
        <v>67</v>
      </c>
      <c r="E35" s="76"/>
      <c r="F35" s="24">
        <v>2</v>
      </c>
      <c r="G35" s="24">
        <v>250.92</v>
      </c>
      <c r="H35" s="77">
        <f t="shared" si="2"/>
        <v>0.50183999999999995</v>
      </c>
      <c r="I35" s="10">
        <v>0</v>
      </c>
    </row>
    <row r="36" spans="1:9" ht="15.75" hidden="1" customHeight="1">
      <c r="A36" s="20"/>
      <c r="B36" s="25" t="s">
        <v>66</v>
      </c>
      <c r="C36" s="37" t="s">
        <v>32</v>
      </c>
      <c r="D36" s="25" t="s">
        <v>67</v>
      </c>
      <c r="E36" s="76"/>
      <c r="F36" s="24">
        <v>3</v>
      </c>
      <c r="G36" s="24">
        <v>1490.31</v>
      </c>
      <c r="H36" s="77">
        <f t="shared" si="2"/>
        <v>4.4709300000000001</v>
      </c>
      <c r="I36" s="10">
        <v>0</v>
      </c>
    </row>
    <row r="37" spans="1:9" ht="15.75" customHeight="1">
      <c r="A37" s="20"/>
      <c r="B37" s="94" t="s">
        <v>5</v>
      </c>
      <c r="C37" s="37"/>
      <c r="D37" s="25"/>
      <c r="E37" s="76"/>
      <c r="F37" s="24"/>
      <c r="G37" s="24"/>
      <c r="H37" s="77" t="s">
        <v>129</v>
      </c>
      <c r="I37" s="10"/>
    </row>
    <row r="38" spans="1:9" ht="15.75" customHeight="1">
      <c r="A38" s="20">
        <v>6</v>
      </c>
      <c r="B38" s="26" t="s">
        <v>26</v>
      </c>
      <c r="C38" s="37" t="s">
        <v>32</v>
      </c>
      <c r="D38" s="25"/>
      <c r="E38" s="76"/>
      <c r="F38" s="24">
        <v>8</v>
      </c>
      <c r="G38" s="24">
        <v>2003</v>
      </c>
      <c r="H38" s="77">
        <f t="shared" ref="H38" si="4">SUM(F38*G38/1000)</f>
        <v>16.024000000000001</v>
      </c>
      <c r="I38" s="10">
        <f>G38*1.2</f>
        <v>2403.6</v>
      </c>
    </row>
    <row r="39" spans="1:9" ht="15.75" customHeight="1">
      <c r="A39" s="20">
        <v>7</v>
      </c>
      <c r="B39" s="26" t="s">
        <v>68</v>
      </c>
      <c r="C39" s="51" t="s">
        <v>29</v>
      </c>
      <c r="D39" s="26" t="s">
        <v>217</v>
      </c>
      <c r="E39" s="27">
        <v>188</v>
      </c>
      <c r="F39" s="27">
        <f>SUM(E39*26/1000)</f>
        <v>4.8879999999999999</v>
      </c>
      <c r="G39" s="27">
        <v>2757.78</v>
      </c>
      <c r="H39" s="77">
        <f t="shared" ref="H39:H45" si="5">SUM(F39*G39/1000)</f>
        <v>13.48002864</v>
      </c>
      <c r="I39" s="10">
        <f t="shared" ref="I39:I45" si="6">F39/6*G39</f>
        <v>2246.6714400000001</v>
      </c>
    </row>
    <row r="40" spans="1:9" ht="15.75" customHeight="1">
      <c r="A40" s="20">
        <v>8</v>
      </c>
      <c r="B40" s="25" t="s">
        <v>69</v>
      </c>
      <c r="C40" s="37" t="s">
        <v>29</v>
      </c>
      <c r="D40" s="25" t="s">
        <v>218</v>
      </c>
      <c r="E40" s="24">
        <v>188</v>
      </c>
      <c r="F40" s="27">
        <f>SUM(E40*155/1000)</f>
        <v>29.14</v>
      </c>
      <c r="G40" s="24">
        <v>460.02</v>
      </c>
      <c r="H40" s="77">
        <f t="shared" si="5"/>
        <v>13.404982799999999</v>
      </c>
      <c r="I40" s="10">
        <f t="shared" si="6"/>
        <v>2234.1637999999998</v>
      </c>
    </row>
    <row r="41" spans="1:9" ht="15.75" hidden="1" customHeight="1">
      <c r="A41" s="20"/>
      <c r="B41" s="25" t="s">
        <v>143</v>
      </c>
      <c r="C41" s="37" t="s">
        <v>144</v>
      </c>
      <c r="D41" s="25"/>
      <c r="E41" s="76"/>
      <c r="F41" s="27">
        <v>50</v>
      </c>
      <c r="G41" s="24">
        <v>213.2</v>
      </c>
      <c r="H41" s="77">
        <f t="shared" si="5"/>
        <v>10.66</v>
      </c>
      <c r="I41" s="10">
        <v>0</v>
      </c>
    </row>
    <row r="42" spans="1:9" ht="47.25" customHeight="1">
      <c r="A42" s="20">
        <v>9</v>
      </c>
      <c r="B42" s="25" t="s">
        <v>83</v>
      </c>
      <c r="C42" s="37" t="s">
        <v>88</v>
      </c>
      <c r="D42" s="25" t="s">
        <v>217</v>
      </c>
      <c r="E42" s="24">
        <v>188</v>
      </c>
      <c r="F42" s="27">
        <f>SUM(E42*26/1000)</f>
        <v>4.8879999999999999</v>
      </c>
      <c r="G42" s="24">
        <v>7611.16</v>
      </c>
      <c r="H42" s="77">
        <f t="shared" si="5"/>
        <v>37.20335008</v>
      </c>
      <c r="I42" s="10">
        <f t="shared" si="6"/>
        <v>6200.5583466666667</v>
      </c>
    </row>
    <row r="43" spans="1:9" ht="15.75" customHeight="1">
      <c r="A43" s="20">
        <v>10</v>
      </c>
      <c r="B43" s="25" t="s">
        <v>89</v>
      </c>
      <c r="C43" s="37" t="s">
        <v>88</v>
      </c>
      <c r="D43" s="25" t="s">
        <v>217</v>
      </c>
      <c r="E43" s="24">
        <v>188</v>
      </c>
      <c r="F43" s="27">
        <f>SUM(E43*24/1000)</f>
        <v>4.5119999999999996</v>
      </c>
      <c r="G43" s="24">
        <v>562.25</v>
      </c>
      <c r="H43" s="77">
        <f t="shared" si="5"/>
        <v>2.5368719999999998</v>
      </c>
      <c r="I43" s="10">
        <f>F43/7.5*G43</f>
        <v>338.24959999999993</v>
      </c>
    </row>
    <row r="44" spans="1:9" ht="15.75" customHeight="1">
      <c r="A44" s="20">
        <v>11</v>
      </c>
      <c r="B44" s="26" t="s">
        <v>70</v>
      </c>
      <c r="C44" s="51" t="s">
        <v>33</v>
      </c>
      <c r="D44" s="26"/>
      <c r="E44" s="80"/>
      <c r="F44" s="27">
        <v>0.9</v>
      </c>
      <c r="G44" s="27">
        <v>974.83</v>
      </c>
      <c r="H44" s="77">
        <f t="shared" si="5"/>
        <v>0.8773470000000001</v>
      </c>
      <c r="I44" s="10">
        <f>F44/7.5*G44</f>
        <v>116.97960000000002</v>
      </c>
    </row>
    <row r="45" spans="1:9" ht="15.75" customHeight="1">
      <c r="A45" s="20">
        <v>12</v>
      </c>
      <c r="B45" s="68" t="s">
        <v>146</v>
      </c>
      <c r="C45" s="55" t="s">
        <v>29</v>
      </c>
      <c r="D45" s="26" t="s">
        <v>214</v>
      </c>
      <c r="E45" s="80">
        <v>2.4</v>
      </c>
      <c r="F45" s="27">
        <f>SUM(E45*12/1000)</f>
        <v>2.8799999999999996E-2</v>
      </c>
      <c r="G45" s="27">
        <v>260.2</v>
      </c>
      <c r="H45" s="77">
        <f t="shared" si="5"/>
        <v>7.4937599999999986E-3</v>
      </c>
      <c r="I45" s="10">
        <f t="shared" si="6"/>
        <v>1.2489599999999998</v>
      </c>
    </row>
    <row r="46" spans="1:9" ht="15.75" customHeight="1">
      <c r="A46" s="177" t="s">
        <v>122</v>
      </c>
      <c r="B46" s="178"/>
      <c r="C46" s="178"/>
      <c r="D46" s="178"/>
      <c r="E46" s="178"/>
      <c r="F46" s="178"/>
      <c r="G46" s="178"/>
      <c r="H46" s="178"/>
      <c r="I46" s="179"/>
    </row>
    <row r="47" spans="1:9" ht="15.75" hidden="1" customHeight="1">
      <c r="A47" s="20"/>
      <c r="B47" s="25" t="s">
        <v>130</v>
      </c>
      <c r="C47" s="37" t="s">
        <v>88</v>
      </c>
      <c r="D47" s="25" t="s">
        <v>43</v>
      </c>
      <c r="E47" s="76">
        <v>1609.3</v>
      </c>
      <c r="F47" s="24">
        <f>SUM(E47*2/1000)</f>
        <v>3.2185999999999999</v>
      </c>
      <c r="G47" s="29">
        <v>1193.71</v>
      </c>
      <c r="H47" s="77">
        <f t="shared" ref="H47:H56" si="7">SUM(F47*G47/1000)</f>
        <v>3.842075006</v>
      </c>
      <c r="I47" s="10">
        <f t="shared" ref="I47:I55" si="8">F47/2*G47</f>
        <v>1921.037503</v>
      </c>
    </row>
    <row r="48" spans="1:9" ht="15.75" hidden="1" customHeight="1">
      <c r="A48" s="20"/>
      <c r="B48" s="25" t="s">
        <v>36</v>
      </c>
      <c r="C48" s="37" t="s">
        <v>88</v>
      </c>
      <c r="D48" s="25" t="s">
        <v>43</v>
      </c>
      <c r="E48" s="76">
        <v>104</v>
      </c>
      <c r="F48" s="24">
        <f>SUM(E48*2/1000)</f>
        <v>0.20799999999999999</v>
      </c>
      <c r="G48" s="29">
        <v>4419.05</v>
      </c>
      <c r="H48" s="77">
        <f t="shared" si="7"/>
        <v>0.91916240000000005</v>
      </c>
      <c r="I48" s="10">
        <f t="shared" si="8"/>
        <v>459.58120000000002</v>
      </c>
    </row>
    <row r="49" spans="1:9" ht="15.75" hidden="1" customHeight="1">
      <c r="A49" s="20"/>
      <c r="B49" s="25" t="s">
        <v>37</v>
      </c>
      <c r="C49" s="37" t="s">
        <v>88</v>
      </c>
      <c r="D49" s="25" t="s">
        <v>43</v>
      </c>
      <c r="E49" s="76">
        <v>1996.87</v>
      </c>
      <c r="F49" s="24">
        <f>SUM(E49*2/1000)</f>
        <v>3.9937399999999998</v>
      </c>
      <c r="G49" s="29">
        <v>1803.69</v>
      </c>
      <c r="H49" s="77">
        <f t="shared" si="7"/>
        <v>7.2034689005999999</v>
      </c>
      <c r="I49" s="10">
        <f t="shared" si="8"/>
        <v>3601.7344502999999</v>
      </c>
    </row>
    <row r="50" spans="1:9" ht="15.75" hidden="1" customHeight="1">
      <c r="A50" s="20"/>
      <c r="B50" s="25" t="s">
        <v>38</v>
      </c>
      <c r="C50" s="37" t="s">
        <v>88</v>
      </c>
      <c r="D50" s="25" t="s">
        <v>43</v>
      </c>
      <c r="E50" s="76">
        <v>2654.21</v>
      </c>
      <c r="F50" s="24">
        <f>SUM(E50*2/1000)</f>
        <v>5.3084199999999999</v>
      </c>
      <c r="G50" s="29">
        <v>1243.43</v>
      </c>
      <c r="H50" s="77">
        <f t="shared" si="7"/>
        <v>6.6006486806</v>
      </c>
      <c r="I50" s="10">
        <f t="shared" si="8"/>
        <v>3300.3243403000001</v>
      </c>
    </row>
    <row r="51" spans="1:9" ht="15.75" hidden="1" customHeight="1">
      <c r="A51" s="20"/>
      <c r="B51" s="25" t="s">
        <v>34</v>
      </c>
      <c r="C51" s="37" t="s">
        <v>35</v>
      </c>
      <c r="D51" s="25" t="s">
        <v>43</v>
      </c>
      <c r="E51" s="76">
        <v>128.53</v>
      </c>
      <c r="F51" s="24">
        <f>SUM(E51*2/100)</f>
        <v>2.5706000000000002</v>
      </c>
      <c r="G51" s="29">
        <v>1352.76</v>
      </c>
      <c r="H51" s="77">
        <f t="shared" si="7"/>
        <v>3.4774048560000002</v>
      </c>
      <c r="I51" s="10">
        <f t="shared" si="8"/>
        <v>1738.7024280000001</v>
      </c>
    </row>
    <row r="52" spans="1:9" ht="15.75" customHeight="1">
      <c r="A52" s="20">
        <v>13</v>
      </c>
      <c r="B52" s="25" t="s">
        <v>57</v>
      </c>
      <c r="C52" s="37" t="s">
        <v>88</v>
      </c>
      <c r="D52" s="25" t="s">
        <v>220</v>
      </c>
      <c r="E52" s="76">
        <v>4394.8999999999996</v>
      </c>
      <c r="F52" s="24">
        <f>SUM(E52*5/1000)</f>
        <v>21.974499999999999</v>
      </c>
      <c r="G52" s="29">
        <v>1803.69</v>
      </c>
      <c r="H52" s="77">
        <f t="shared" si="7"/>
        <v>39.635185905</v>
      </c>
      <c r="I52" s="10">
        <f>F52/5*G52</f>
        <v>7927.0371809999997</v>
      </c>
    </row>
    <row r="53" spans="1:9" ht="31.5" hidden="1" customHeight="1">
      <c r="A53" s="20"/>
      <c r="B53" s="25" t="s">
        <v>90</v>
      </c>
      <c r="C53" s="37" t="s">
        <v>88</v>
      </c>
      <c r="D53" s="25" t="s">
        <v>43</v>
      </c>
      <c r="E53" s="76">
        <v>4394.8999999999996</v>
      </c>
      <c r="F53" s="24">
        <f>SUM(E53*2/1000)</f>
        <v>8.7897999999999996</v>
      </c>
      <c r="G53" s="29">
        <v>1591.6</v>
      </c>
      <c r="H53" s="77">
        <f t="shared" si="7"/>
        <v>13.989845679999998</v>
      </c>
      <c r="I53" s="10">
        <f t="shared" si="8"/>
        <v>6994.9228399999993</v>
      </c>
    </row>
    <row r="54" spans="1:9" ht="31.5" hidden="1" customHeight="1">
      <c r="A54" s="20"/>
      <c r="B54" s="25" t="s">
        <v>91</v>
      </c>
      <c r="C54" s="37" t="s">
        <v>39</v>
      </c>
      <c r="D54" s="25" t="s">
        <v>43</v>
      </c>
      <c r="E54" s="76">
        <v>40</v>
      </c>
      <c r="F54" s="24">
        <f>SUM(E54*2/100)</f>
        <v>0.8</v>
      </c>
      <c r="G54" s="29">
        <v>4058.32</v>
      </c>
      <c r="H54" s="77">
        <f t="shared" si="7"/>
        <v>3.2466560000000002</v>
      </c>
      <c r="I54" s="10">
        <f t="shared" si="8"/>
        <v>1623.3280000000002</v>
      </c>
    </row>
    <row r="55" spans="1:9" ht="15.75" hidden="1" customHeight="1">
      <c r="A55" s="20"/>
      <c r="B55" s="25" t="s">
        <v>40</v>
      </c>
      <c r="C55" s="37" t="s">
        <v>41</v>
      </c>
      <c r="D55" s="25" t="s">
        <v>43</v>
      </c>
      <c r="E55" s="76">
        <v>1</v>
      </c>
      <c r="F55" s="24">
        <v>0.02</v>
      </c>
      <c r="G55" s="29">
        <v>7412.92</v>
      </c>
      <c r="H55" s="77">
        <f t="shared" si="7"/>
        <v>0.14825839999999998</v>
      </c>
      <c r="I55" s="10">
        <f t="shared" si="8"/>
        <v>74.129199999999997</v>
      </c>
    </row>
    <row r="56" spans="1:9" ht="15.75" hidden="1" customHeight="1">
      <c r="A56" s="20"/>
      <c r="B56" s="25" t="s">
        <v>42</v>
      </c>
      <c r="C56" s="37" t="s">
        <v>95</v>
      </c>
      <c r="D56" s="25" t="s">
        <v>71</v>
      </c>
      <c r="E56" s="76">
        <v>160</v>
      </c>
      <c r="F56" s="24">
        <f>SUM(E56)*3</f>
        <v>480</v>
      </c>
      <c r="G56" s="30">
        <v>86.15</v>
      </c>
      <c r="H56" s="77">
        <f t="shared" si="7"/>
        <v>41.351999999999997</v>
      </c>
      <c r="I56" s="10">
        <f>F56/3*G56</f>
        <v>13784</v>
      </c>
    </row>
    <row r="57" spans="1:9" ht="15.75" customHeight="1">
      <c r="A57" s="177" t="s">
        <v>123</v>
      </c>
      <c r="B57" s="178"/>
      <c r="C57" s="178"/>
      <c r="D57" s="178"/>
      <c r="E57" s="178"/>
      <c r="F57" s="178"/>
      <c r="G57" s="178"/>
      <c r="H57" s="178"/>
      <c r="I57" s="179"/>
    </row>
    <row r="58" spans="1:9" ht="15.75" hidden="1" customHeight="1">
      <c r="A58" s="20"/>
      <c r="B58" s="94" t="s">
        <v>44</v>
      </c>
      <c r="C58" s="37"/>
      <c r="D58" s="25"/>
      <c r="E58" s="76"/>
      <c r="F58" s="24"/>
      <c r="G58" s="24"/>
      <c r="H58" s="77"/>
      <c r="I58" s="10"/>
    </row>
    <row r="59" spans="1:9" ht="31.5" hidden="1" customHeight="1">
      <c r="A59" s="20">
        <v>14</v>
      </c>
      <c r="B59" s="25" t="s">
        <v>131</v>
      </c>
      <c r="C59" s="37" t="s">
        <v>86</v>
      </c>
      <c r="D59" s="25" t="s">
        <v>115</v>
      </c>
      <c r="E59" s="76">
        <v>160</v>
      </c>
      <c r="F59" s="24">
        <f>SUM(E59*6/100)</f>
        <v>9.6</v>
      </c>
      <c r="G59" s="29">
        <v>2029.3</v>
      </c>
      <c r="H59" s="77">
        <f>SUM(F59*G59/1000)</f>
        <v>19.481279999999998</v>
      </c>
      <c r="I59" s="10">
        <f t="shared" ref="I59" si="9">F59/6*G59</f>
        <v>3246.8799999999997</v>
      </c>
    </row>
    <row r="60" spans="1:9" ht="17.25" hidden="1" customHeight="1">
      <c r="A60" s="20">
        <v>15</v>
      </c>
      <c r="B60" s="25" t="s">
        <v>148</v>
      </c>
      <c r="C60" s="37" t="s">
        <v>149</v>
      </c>
      <c r="D60" s="25" t="s">
        <v>67</v>
      </c>
      <c r="E60" s="76"/>
      <c r="F60" s="24">
        <v>3</v>
      </c>
      <c r="G60" s="29">
        <v>1582.05</v>
      </c>
      <c r="H60" s="77">
        <f>SUM(F60*G60/1000)</f>
        <v>4.7461499999999992</v>
      </c>
      <c r="I60" s="10">
        <f>G60*1.5</f>
        <v>2373.0749999999998</v>
      </c>
    </row>
    <row r="61" spans="1:9" ht="15.75" customHeight="1">
      <c r="A61" s="20"/>
      <c r="B61" s="94" t="s">
        <v>45</v>
      </c>
      <c r="C61" s="37"/>
      <c r="D61" s="25"/>
      <c r="E61" s="76"/>
      <c r="F61" s="24"/>
      <c r="G61" s="96"/>
      <c r="H61" s="77"/>
      <c r="I61" s="10"/>
    </row>
    <row r="62" spans="1:9" ht="15.75" hidden="1" customHeight="1">
      <c r="A62" s="20"/>
      <c r="B62" s="25" t="s">
        <v>46</v>
      </c>
      <c r="C62" s="37" t="s">
        <v>86</v>
      </c>
      <c r="D62" s="25" t="s">
        <v>55</v>
      </c>
      <c r="E62" s="76">
        <v>206</v>
      </c>
      <c r="F62" s="24">
        <f>SUM(E62/100)</f>
        <v>2.06</v>
      </c>
      <c r="G62" s="24">
        <v>1040.8399999999999</v>
      </c>
      <c r="H62" s="77">
        <f>F62*G62/1000</f>
        <v>2.1441303999999999</v>
      </c>
      <c r="I62" s="10">
        <v>0</v>
      </c>
    </row>
    <row r="63" spans="1:9" ht="15.75" customHeight="1">
      <c r="A63" s="20">
        <v>14</v>
      </c>
      <c r="B63" s="25" t="s">
        <v>120</v>
      </c>
      <c r="C63" s="37" t="s">
        <v>25</v>
      </c>
      <c r="D63" s="25" t="s">
        <v>220</v>
      </c>
      <c r="E63" s="76">
        <v>325</v>
      </c>
      <c r="F63" s="24">
        <v>2400</v>
      </c>
      <c r="G63" s="24">
        <v>1.4</v>
      </c>
      <c r="H63" s="77">
        <f>F63*G63/1000</f>
        <v>3.36</v>
      </c>
      <c r="I63" s="10">
        <f>F63/12*G63</f>
        <v>280</v>
      </c>
    </row>
    <row r="64" spans="1:9" ht="17.25" hidden="1" customHeight="1">
      <c r="A64" s="20"/>
      <c r="B64" s="95" t="s">
        <v>47</v>
      </c>
      <c r="C64" s="82"/>
      <c r="D64" s="83"/>
      <c r="E64" s="84"/>
      <c r="F64" s="85"/>
      <c r="G64" s="85"/>
      <c r="H64" s="86" t="s">
        <v>129</v>
      </c>
      <c r="I64" s="10"/>
    </row>
    <row r="65" spans="1:9" ht="15.75" hidden="1" customHeight="1">
      <c r="A65" s="20">
        <v>17</v>
      </c>
      <c r="B65" s="52" t="s">
        <v>48</v>
      </c>
      <c r="C65" s="33" t="s">
        <v>95</v>
      </c>
      <c r="D65" s="25" t="s">
        <v>67</v>
      </c>
      <c r="E65" s="13">
        <v>10</v>
      </c>
      <c r="F65" s="24">
        <f>SUM(E65)</f>
        <v>10</v>
      </c>
      <c r="G65" s="29">
        <v>291.68</v>
      </c>
      <c r="H65" s="66">
        <f t="shared" ref="H65:H84" si="10">SUM(F65*G65/1000)</f>
        <v>2.9168000000000003</v>
      </c>
      <c r="I65" s="10">
        <f>G65*1</f>
        <v>291.68</v>
      </c>
    </row>
    <row r="66" spans="1:9" ht="12.75" hidden="1" customHeight="1">
      <c r="A66" s="20"/>
      <c r="B66" s="52" t="s">
        <v>49</v>
      </c>
      <c r="C66" s="33" t="s">
        <v>95</v>
      </c>
      <c r="D66" s="25" t="s">
        <v>67</v>
      </c>
      <c r="E66" s="13">
        <v>5</v>
      </c>
      <c r="F66" s="24">
        <f>SUM(E66)</f>
        <v>5</v>
      </c>
      <c r="G66" s="29">
        <v>100.01</v>
      </c>
      <c r="H66" s="66">
        <f t="shared" si="10"/>
        <v>0.50004999999999999</v>
      </c>
      <c r="I66" s="10">
        <v>0</v>
      </c>
    </row>
    <row r="67" spans="1:9" ht="15.75" hidden="1" customHeight="1">
      <c r="A67" s="20"/>
      <c r="B67" s="52" t="s">
        <v>50</v>
      </c>
      <c r="C67" s="35" t="s">
        <v>96</v>
      </c>
      <c r="D67" s="32" t="s">
        <v>55</v>
      </c>
      <c r="E67" s="76">
        <v>24063</v>
      </c>
      <c r="F67" s="30">
        <f>SUM(E67/100)</f>
        <v>240.63</v>
      </c>
      <c r="G67" s="29">
        <v>278.24</v>
      </c>
      <c r="H67" s="66">
        <f t="shared" si="10"/>
        <v>66.952891199999996</v>
      </c>
      <c r="I67" s="10">
        <f>F67*G67</f>
        <v>66952.891199999998</v>
      </c>
    </row>
    <row r="68" spans="1:9" ht="18" hidden="1" customHeight="1">
      <c r="A68" s="20"/>
      <c r="B68" s="52" t="s">
        <v>51</v>
      </c>
      <c r="C68" s="33" t="s">
        <v>97</v>
      </c>
      <c r="D68" s="32" t="s">
        <v>55</v>
      </c>
      <c r="E68" s="76">
        <v>24063</v>
      </c>
      <c r="F68" s="29">
        <f>SUM(E68/1000)</f>
        <v>24.062999999999999</v>
      </c>
      <c r="G68" s="29">
        <v>216.68</v>
      </c>
      <c r="H68" s="66">
        <f t="shared" si="10"/>
        <v>5.21397084</v>
      </c>
      <c r="I68" s="10">
        <f t="shared" ref="I68:I72" si="11">F68*G68</f>
        <v>5213.97084</v>
      </c>
    </row>
    <row r="69" spans="1:9" ht="17.25" hidden="1" customHeight="1">
      <c r="A69" s="20"/>
      <c r="B69" s="52" t="s">
        <v>52</v>
      </c>
      <c r="C69" s="33" t="s">
        <v>78</v>
      </c>
      <c r="D69" s="32" t="s">
        <v>55</v>
      </c>
      <c r="E69" s="76">
        <v>1300</v>
      </c>
      <c r="F69" s="29">
        <f>SUM(E69/100)</f>
        <v>13</v>
      </c>
      <c r="G69" s="29">
        <v>2720.94</v>
      </c>
      <c r="H69" s="66">
        <f t="shared" si="10"/>
        <v>35.372219999999999</v>
      </c>
      <c r="I69" s="10">
        <f t="shared" si="11"/>
        <v>35372.22</v>
      </c>
    </row>
    <row r="70" spans="1:9" ht="18" hidden="1" customHeight="1">
      <c r="A70" s="20"/>
      <c r="B70" s="48" t="s">
        <v>72</v>
      </c>
      <c r="C70" s="33" t="s">
        <v>33</v>
      </c>
      <c r="D70" s="32"/>
      <c r="E70" s="76">
        <v>10.4</v>
      </c>
      <c r="F70" s="29">
        <f>SUM(E70)</f>
        <v>10.4</v>
      </c>
      <c r="G70" s="29">
        <v>42.61</v>
      </c>
      <c r="H70" s="66">
        <f t="shared" si="10"/>
        <v>0.44314399999999998</v>
      </c>
      <c r="I70" s="10">
        <f t="shared" si="11"/>
        <v>443.14400000000001</v>
      </c>
    </row>
    <row r="71" spans="1:9" ht="17.25" hidden="1" customHeight="1">
      <c r="A71" s="20"/>
      <c r="B71" s="48" t="s">
        <v>73</v>
      </c>
      <c r="C71" s="33" t="s">
        <v>33</v>
      </c>
      <c r="D71" s="32"/>
      <c r="E71" s="76">
        <v>10.4</v>
      </c>
      <c r="F71" s="29">
        <f>SUM(E71)</f>
        <v>10.4</v>
      </c>
      <c r="G71" s="29">
        <v>46.04</v>
      </c>
      <c r="H71" s="66">
        <f t="shared" si="10"/>
        <v>0.47881600000000002</v>
      </c>
      <c r="I71" s="10">
        <f t="shared" si="11"/>
        <v>478.81600000000003</v>
      </c>
    </row>
    <row r="72" spans="1:9" ht="18.75" hidden="1" customHeight="1">
      <c r="A72" s="20"/>
      <c r="B72" s="32" t="s">
        <v>58</v>
      </c>
      <c r="C72" s="33" t="s">
        <v>59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6">
        <f t="shared" si="10"/>
        <v>0.3271</v>
      </c>
      <c r="I72" s="10">
        <f t="shared" si="11"/>
        <v>327.10000000000002</v>
      </c>
    </row>
    <row r="73" spans="1:9" ht="15.75" customHeight="1">
      <c r="A73" s="20"/>
      <c r="B73" s="45" t="s">
        <v>74</v>
      </c>
      <c r="C73" s="33"/>
      <c r="D73" s="32"/>
      <c r="E73" s="13"/>
      <c r="F73" s="29"/>
      <c r="G73" s="29"/>
      <c r="H73" s="66" t="s">
        <v>129</v>
      </c>
      <c r="I73" s="10"/>
    </row>
    <row r="74" spans="1:9" ht="17.25" hidden="1" customHeight="1">
      <c r="A74" s="20"/>
      <c r="B74" s="32" t="s">
        <v>150</v>
      </c>
      <c r="C74" s="33" t="s">
        <v>95</v>
      </c>
      <c r="D74" s="25" t="s">
        <v>67</v>
      </c>
      <c r="E74" s="13">
        <v>1</v>
      </c>
      <c r="F74" s="29">
        <v>1</v>
      </c>
      <c r="G74" s="29">
        <v>1029.1199999999999</v>
      </c>
      <c r="H74" s="66">
        <f t="shared" ref="H74:H77" si="12">SUM(F74*G74/1000)</f>
        <v>1.0291199999999998</v>
      </c>
      <c r="I74" s="10">
        <v>0</v>
      </c>
    </row>
    <row r="75" spans="1:9" ht="14.25" hidden="1" customHeight="1">
      <c r="A75" s="20"/>
      <c r="B75" s="32" t="s">
        <v>151</v>
      </c>
      <c r="C75" s="33" t="s">
        <v>152</v>
      </c>
      <c r="D75" s="32"/>
      <c r="E75" s="13">
        <v>1</v>
      </c>
      <c r="F75" s="29">
        <f>E75</f>
        <v>1</v>
      </c>
      <c r="G75" s="29">
        <v>735</v>
      </c>
      <c r="H75" s="66">
        <f t="shared" si="12"/>
        <v>0.73499999999999999</v>
      </c>
      <c r="I75" s="10">
        <v>0</v>
      </c>
    </row>
    <row r="76" spans="1:9" ht="17.25" hidden="1" customHeight="1">
      <c r="A76" s="20">
        <v>18</v>
      </c>
      <c r="B76" s="32" t="s">
        <v>75</v>
      </c>
      <c r="C76" s="33" t="s">
        <v>76</v>
      </c>
      <c r="D76" s="25" t="s">
        <v>67</v>
      </c>
      <c r="E76" s="13">
        <v>7</v>
      </c>
      <c r="F76" s="29">
        <f>E76/10</f>
        <v>0.7</v>
      </c>
      <c r="G76" s="29">
        <v>657.87</v>
      </c>
      <c r="H76" s="66">
        <f t="shared" si="12"/>
        <v>0.46050899999999995</v>
      </c>
      <c r="I76" s="10">
        <f>G76*0.4</f>
        <v>263.14800000000002</v>
      </c>
    </row>
    <row r="77" spans="1:9" ht="18.75" hidden="1" customHeight="1">
      <c r="A77" s="20"/>
      <c r="B77" s="32" t="s">
        <v>116</v>
      </c>
      <c r="C77" s="33" t="s">
        <v>95</v>
      </c>
      <c r="D77" s="25" t="s">
        <v>67</v>
      </c>
      <c r="E77" s="13">
        <v>1</v>
      </c>
      <c r="F77" s="24">
        <f>SUM(E77)</f>
        <v>1</v>
      </c>
      <c r="G77" s="29">
        <v>1118.72</v>
      </c>
      <c r="H77" s="66">
        <f t="shared" si="12"/>
        <v>1.1187199999999999</v>
      </c>
      <c r="I77" s="10">
        <v>0</v>
      </c>
    </row>
    <row r="78" spans="1:9" ht="14.25" hidden="1" customHeight="1">
      <c r="A78" s="20"/>
      <c r="B78" s="68" t="s">
        <v>153</v>
      </c>
      <c r="C78" s="55" t="s">
        <v>95</v>
      </c>
      <c r="D78" s="25" t="s">
        <v>67</v>
      </c>
      <c r="E78" s="13">
        <v>1</v>
      </c>
      <c r="F78" s="54">
        <v>1</v>
      </c>
      <c r="G78" s="29">
        <v>1605.83</v>
      </c>
      <c r="H78" s="66">
        <f>SUM(F78*G78/1000)</f>
        <v>1.6058299999999999</v>
      </c>
      <c r="I78" s="10">
        <v>0</v>
      </c>
    </row>
    <row r="79" spans="1:9" ht="15.75" customHeight="1">
      <c r="A79" s="20">
        <v>15</v>
      </c>
      <c r="B79" s="68" t="s">
        <v>154</v>
      </c>
      <c r="C79" s="55" t="s">
        <v>95</v>
      </c>
      <c r="D79" s="32" t="s">
        <v>220</v>
      </c>
      <c r="E79" s="87">
        <v>2</v>
      </c>
      <c r="F79" s="85">
        <f>E79*12</f>
        <v>24</v>
      </c>
      <c r="G79" s="88">
        <v>53.42</v>
      </c>
      <c r="H79" s="66">
        <f t="shared" ref="H79:H80" si="13">SUM(F79*G79/1000)</f>
        <v>1.2820799999999999</v>
      </c>
      <c r="I79" s="10">
        <f>F79/12*G79</f>
        <v>106.84</v>
      </c>
    </row>
    <row r="80" spans="1:9" ht="15.75" customHeight="1">
      <c r="A80" s="20">
        <v>16</v>
      </c>
      <c r="B80" s="62" t="s">
        <v>117</v>
      </c>
      <c r="C80" s="33"/>
      <c r="D80" s="32" t="s">
        <v>215</v>
      </c>
      <c r="E80" s="13">
        <v>1</v>
      </c>
      <c r="F80" s="29">
        <v>12</v>
      </c>
      <c r="G80" s="29">
        <v>1194</v>
      </c>
      <c r="H80" s="66">
        <f t="shared" si="13"/>
        <v>14.327999999999999</v>
      </c>
      <c r="I80" s="10">
        <f>F80/12*G80</f>
        <v>1194</v>
      </c>
    </row>
    <row r="81" spans="1:9" ht="15.75" customHeight="1">
      <c r="A81" s="20"/>
      <c r="B81" s="97" t="s">
        <v>155</v>
      </c>
      <c r="C81" s="55"/>
      <c r="D81" s="32"/>
      <c r="E81" s="13"/>
      <c r="F81" s="29"/>
      <c r="G81" s="29"/>
      <c r="H81" s="66"/>
      <c r="I81" s="10"/>
    </row>
    <row r="82" spans="1:9" ht="15.75" customHeight="1">
      <c r="A82" s="20">
        <v>17</v>
      </c>
      <c r="B82" s="32" t="s">
        <v>156</v>
      </c>
      <c r="C82" s="38" t="s">
        <v>157</v>
      </c>
      <c r="D82" s="25"/>
      <c r="E82" s="13">
        <v>4394.8999999999996</v>
      </c>
      <c r="F82" s="29">
        <f>SUM(E82*12)</f>
        <v>52738.799999999996</v>
      </c>
      <c r="G82" s="29">
        <v>2.2799999999999998</v>
      </c>
      <c r="H82" s="66">
        <f t="shared" ref="H82" si="14">SUM(F82*G82/1000)</f>
        <v>120.24446399999998</v>
      </c>
      <c r="I82" s="10">
        <f>F82/12*G82</f>
        <v>10020.371999999998</v>
      </c>
    </row>
    <row r="83" spans="1:9" ht="15.75" hidden="1" customHeight="1">
      <c r="A83" s="20"/>
      <c r="B83" s="46" t="s">
        <v>77</v>
      </c>
      <c r="C83" s="33"/>
      <c r="D83" s="32"/>
      <c r="E83" s="13"/>
      <c r="F83" s="29"/>
      <c r="G83" s="29" t="s">
        <v>129</v>
      </c>
      <c r="H83" s="66" t="s">
        <v>129</v>
      </c>
      <c r="I83" s="10"/>
    </row>
    <row r="84" spans="1:9" ht="15.75" hidden="1" customHeight="1">
      <c r="A84" s="20"/>
      <c r="B84" s="34" t="s">
        <v>100</v>
      </c>
      <c r="C84" s="35" t="s">
        <v>78</v>
      </c>
      <c r="D84" s="52"/>
      <c r="E84" s="89"/>
      <c r="F84" s="30">
        <v>0.6</v>
      </c>
      <c r="G84" s="30">
        <v>3619.09</v>
      </c>
      <c r="H84" s="66">
        <f t="shared" si="10"/>
        <v>2.1714540000000002</v>
      </c>
      <c r="I84" s="10">
        <v>0</v>
      </c>
    </row>
    <row r="85" spans="1:9" ht="15.75" hidden="1" customHeight="1">
      <c r="A85" s="20"/>
      <c r="B85" s="70" t="s">
        <v>92</v>
      </c>
      <c r="C85" s="64"/>
      <c r="D85" s="22"/>
      <c r="E85" s="23"/>
      <c r="F85" s="61"/>
      <c r="G85" s="61"/>
      <c r="H85" s="90">
        <f>SUM(H59:H84)</f>
        <v>284.91172943999999</v>
      </c>
      <c r="I85" s="10"/>
    </row>
    <row r="86" spans="1:9" ht="15.75" hidden="1" customHeight="1">
      <c r="A86" s="20"/>
      <c r="B86" s="25" t="s">
        <v>98</v>
      </c>
      <c r="C86" s="91"/>
      <c r="D86" s="92"/>
      <c r="E86" s="93"/>
      <c r="F86" s="31">
        <v>1</v>
      </c>
      <c r="G86" s="31">
        <v>18792</v>
      </c>
      <c r="H86" s="66">
        <f>G86*F86/1000</f>
        <v>18.792000000000002</v>
      </c>
      <c r="I86" s="10">
        <v>0</v>
      </c>
    </row>
    <row r="87" spans="1:9" ht="15.75" customHeight="1">
      <c r="A87" s="177" t="s">
        <v>125</v>
      </c>
      <c r="B87" s="178"/>
      <c r="C87" s="178"/>
      <c r="D87" s="178"/>
      <c r="E87" s="178"/>
      <c r="F87" s="178"/>
      <c r="G87" s="178"/>
      <c r="H87" s="178"/>
      <c r="I87" s="179"/>
    </row>
    <row r="88" spans="1:9" ht="15.75" customHeight="1">
      <c r="A88" s="20">
        <v>18</v>
      </c>
      <c r="B88" s="25" t="s">
        <v>99</v>
      </c>
      <c r="C88" s="33" t="s">
        <v>56</v>
      </c>
      <c r="D88" s="53"/>
      <c r="E88" s="29">
        <v>4394.8999999999996</v>
      </c>
      <c r="F88" s="29">
        <f>SUM(E88*12)</f>
        <v>52738.799999999996</v>
      </c>
      <c r="G88" s="29">
        <v>3.1</v>
      </c>
      <c r="H88" s="66">
        <f>SUM(F88*G88/1000)</f>
        <v>163.49028000000001</v>
      </c>
      <c r="I88" s="10">
        <f>F88/12*G88</f>
        <v>13624.189999999999</v>
      </c>
    </row>
    <row r="89" spans="1:9" ht="30.75" customHeight="1">
      <c r="A89" s="20">
        <v>19</v>
      </c>
      <c r="B89" s="32" t="s">
        <v>79</v>
      </c>
      <c r="C89" s="33"/>
      <c r="D89" s="53"/>
      <c r="E89" s="76">
        <f>E88</f>
        <v>4394.8999999999996</v>
      </c>
      <c r="F89" s="29">
        <f>E89*12</f>
        <v>52738.799999999996</v>
      </c>
      <c r="G89" s="29">
        <v>3.5</v>
      </c>
      <c r="H89" s="66">
        <f>F89*G89/1000</f>
        <v>184.58579999999998</v>
      </c>
      <c r="I89" s="10">
        <f>F89/12*G89</f>
        <v>15382.149999999998</v>
      </c>
    </row>
    <row r="90" spans="1:9" ht="15.75" customHeight="1">
      <c r="A90" s="20"/>
      <c r="B90" s="36" t="s">
        <v>81</v>
      </c>
      <c r="C90" s="64"/>
      <c r="D90" s="63"/>
      <c r="E90" s="61"/>
      <c r="F90" s="61"/>
      <c r="G90" s="61"/>
      <c r="H90" s="65">
        <f>SUM(H77)</f>
        <v>1.1187199999999999</v>
      </c>
      <c r="I90" s="61">
        <f>I89+I88+I82+I80+I79+I63+I52+I45+I44+I43+I42+I40+I39+I38+I26+I25+I18+I17+I16</f>
        <v>84679.273857666645</v>
      </c>
    </row>
    <row r="91" spans="1:9" ht="15.75" customHeight="1">
      <c r="A91" s="180" t="s">
        <v>61</v>
      </c>
      <c r="B91" s="181"/>
      <c r="C91" s="181"/>
      <c r="D91" s="181"/>
      <c r="E91" s="181"/>
      <c r="F91" s="181"/>
      <c r="G91" s="181"/>
      <c r="H91" s="181"/>
      <c r="I91" s="182"/>
    </row>
    <row r="92" spans="1:9" ht="29.25" customHeight="1">
      <c r="A92" s="20">
        <v>20</v>
      </c>
      <c r="B92" s="32" t="s">
        <v>183</v>
      </c>
      <c r="C92" s="33" t="s">
        <v>184</v>
      </c>
      <c r="D92" s="161" t="s">
        <v>290</v>
      </c>
      <c r="E92" s="10"/>
      <c r="F92" s="10">
        <v>158</v>
      </c>
      <c r="G92" s="29">
        <v>1465</v>
      </c>
      <c r="H92" s="66">
        <f t="shared" ref="H92:H94" si="15">G92*F92/1000</f>
        <v>231.47</v>
      </c>
      <c r="I92" s="10">
        <f>G92*0.5</f>
        <v>732.5</v>
      </c>
    </row>
    <row r="93" spans="1:9" ht="31.5" customHeight="1">
      <c r="A93" s="20">
        <v>21</v>
      </c>
      <c r="B93" s="68" t="s">
        <v>173</v>
      </c>
      <c r="C93" s="55" t="s">
        <v>118</v>
      </c>
      <c r="D93" s="161" t="s">
        <v>291</v>
      </c>
      <c r="E93" s="29"/>
      <c r="F93" s="29">
        <f>7/3</f>
        <v>2.3333333333333335</v>
      </c>
      <c r="G93" s="29">
        <v>644.72</v>
      </c>
      <c r="H93" s="66">
        <f t="shared" si="15"/>
        <v>1.5043466666666667</v>
      </c>
      <c r="I93" s="10">
        <f>G93*2</f>
        <v>1289.44</v>
      </c>
    </row>
    <row r="94" spans="1:9" ht="33" customHeight="1">
      <c r="A94" s="20">
        <v>22</v>
      </c>
      <c r="B94" s="68" t="s">
        <v>249</v>
      </c>
      <c r="C94" s="55" t="s">
        <v>118</v>
      </c>
      <c r="D94" s="161" t="s">
        <v>290</v>
      </c>
      <c r="E94" s="10"/>
      <c r="F94" s="10">
        <v>1</v>
      </c>
      <c r="G94" s="29">
        <v>878.3</v>
      </c>
      <c r="H94" s="66">
        <f t="shared" si="15"/>
        <v>0.87829999999999997</v>
      </c>
      <c r="I94" s="10">
        <f>G94*1</f>
        <v>878.3</v>
      </c>
    </row>
    <row r="95" spans="1:9" ht="16.5" customHeight="1">
      <c r="A95" s="20">
        <v>23</v>
      </c>
      <c r="B95" s="68" t="s">
        <v>160</v>
      </c>
      <c r="C95" s="55" t="s">
        <v>184</v>
      </c>
      <c r="D95" s="47"/>
      <c r="E95" s="10"/>
      <c r="F95" s="10">
        <v>1</v>
      </c>
      <c r="G95" s="29">
        <v>273</v>
      </c>
      <c r="H95" s="66">
        <f>G95*F95/1000</f>
        <v>0.27300000000000002</v>
      </c>
      <c r="I95" s="10">
        <f>G95*5</f>
        <v>1365</v>
      </c>
    </row>
    <row r="96" spans="1:9">
      <c r="A96" s="20"/>
      <c r="B96" s="43" t="s">
        <v>53</v>
      </c>
      <c r="C96" s="39"/>
      <c r="D96" s="49"/>
      <c r="E96" s="39">
        <v>1</v>
      </c>
      <c r="F96" s="39"/>
      <c r="G96" s="39"/>
      <c r="H96" s="39"/>
      <c r="I96" s="23">
        <f>SUM(I92:I95)</f>
        <v>4265.24</v>
      </c>
    </row>
    <row r="97" spans="1:9" ht="15.75" customHeight="1">
      <c r="A97" s="20"/>
      <c r="B97" s="47" t="s">
        <v>80</v>
      </c>
      <c r="C97" s="12"/>
      <c r="D97" s="12"/>
      <c r="E97" s="40"/>
      <c r="F97" s="40"/>
      <c r="G97" s="41"/>
      <c r="H97" s="41"/>
      <c r="I97" s="13">
        <v>0</v>
      </c>
    </row>
    <row r="98" spans="1:9" ht="15.75" customHeight="1">
      <c r="A98" s="50"/>
      <c r="B98" s="44" t="s">
        <v>158</v>
      </c>
      <c r="C98" s="28"/>
      <c r="D98" s="28"/>
      <c r="E98" s="28"/>
      <c r="F98" s="28"/>
      <c r="G98" s="28"/>
      <c r="H98" s="28"/>
      <c r="I98" s="42">
        <f>I90+I96</f>
        <v>88944.51385766665</v>
      </c>
    </row>
    <row r="99" spans="1:9" ht="15.75">
      <c r="A99" s="183" t="s">
        <v>292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 customHeight="1">
      <c r="A100" s="56"/>
      <c r="B100" s="184" t="s">
        <v>293</v>
      </c>
      <c r="C100" s="184"/>
      <c r="D100" s="184"/>
      <c r="E100" s="184"/>
      <c r="F100" s="184"/>
      <c r="G100" s="184"/>
      <c r="H100" s="59"/>
      <c r="I100" s="2"/>
    </row>
    <row r="101" spans="1:9" ht="15.75" customHeight="1">
      <c r="A101" s="75"/>
      <c r="B101" s="171" t="s">
        <v>6</v>
      </c>
      <c r="C101" s="171"/>
      <c r="D101" s="171"/>
      <c r="E101" s="171"/>
      <c r="F101" s="171"/>
      <c r="G101" s="171"/>
      <c r="H101" s="15"/>
      <c r="I101" s="4"/>
    </row>
    <row r="102" spans="1:9" ht="15.7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85" t="s">
        <v>7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 customHeight="1">
      <c r="A104" s="185" t="s">
        <v>8</v>
      </c>
      <c r="B104" s="185"/>
      <c r="C104" s="185"/>
      <c r="D104" s="185"/>
      <c r="E104" s="185"/>
      <c r="F104" s="185"/>
      <c r="G104" s="185"/>
      <c r="H104" s="185"/>
      <c r="I104" s="185"/>
    </row>
    <row r="105" spans="1:9" ht="15.75">
      <c r="A105" s="175" t="s">
        <v>62</v>
      </c>
      <c r="B105" s="175"/>
      <c r="C105" s="175"/>
      <c r="D105" s="175"/>
      <c r="E105" s="175"/>
      <c r="F105" s="175"/>
      <c r="G105" s="175"/>
      <c r="H105" s="175"/>
      <c r="I105" s="175"/>
    </row>
    <row r="106" spans="1:9" ht="15.75" customHeight="1">
      <c r="A106" s="8"/>
    </row>
    <row r="107" spans="1:9" ht="15.75">
      <c r="A107" s="169" t="s">
        <v>9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 customHeight="1">
      <c r="A108" s="3"/>
    </row>
    <row r="109" spans="1:9" ht="15.75">
      <c r="B109" s="72" t="s">
        <v>10</v>
      </c>
      <c r="C109" s="170" t="s">
        <v>124</v>
      </c>
      <c r="D109" s="170"/>
      <c r="E109" s="170"/>
      <c r="F109" s="57"/>
      <c r="I109" s="74"/>
    </row>
    <row r="110" spans="1:9">
      <c r="A110" s="75"/>
      <c r="C110" s="171" t="s">
        <v>11</v>
      </c>
      <c r="D110" s="171"/>
      <c r="E110" s="171"/>
      <c r="F110" s="15"/>
      <c r="I110" s="73" t="s">
        <v>12</v>
      </c>
    </row>
    <row r="111" spans="1:9" ht="15.75">
      <c r="A111" s="16"/>
      <c r="C111" s="9"/>
      <c r="D111" s="9"/>
      <c r="G111" s="9"/>
      <c r="H111" s="9"/>
    </row>
    <row r="112" spans="1:9" ht="15.75" customHeight="1">
      <c r="B112" s="72" t="s">
        <v>13</v>
      </c>
      <c r="C112" s="172"/>
      <c r="D112" s="172"/>
      <c r="E112" s="172"/>
      <c r="F112" s="58"/>
      <c r="I112" s="74"/>
    </row>
    <row r="113" spans="1:9" ht="15.75" customHeight="1">
      <c r="A113" s="75"/>
      <c r="C113" s="173" t="s">
        <v>11</v>
      </c>
      <c r="D113" s="173"/>
      <c r="E113" s="173"/>
      <c r="F113" s="75"/>
      <c r="I113" s="73" t="s">
        <v>12</v>
      </c>
    </row>
    <row r="114" spans="1:9" ht="15.75" customHeight="1">
      <c r="A114" s="3" t="s">
        <v>14</v>
      </c>
    </row>
    <row r="115" spans="1:9">
      <c r="A115" s="174" t="s">
        <v>15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45" customHeight="1">
      <c r="A116" s="168" t="s">
        <v>16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30" customHeight="1">
      <c r="A117" s="168" t="s">
        <v>17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30" customHeight="1">
      <c r="A118" s="168" t="s">
        <v>21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15" customHeight="1">
      <c r="A119" s="168" t="s">
        <v>20</v>
      </c>
      <c r="B119" s="168"/>
      <c r="C119" s="168"/>
      <c r="D119" s="168"/>
      <c r="E119" s="168"/>
      <c r="F119" s="168"/>
      <c r="G119" s="168"/>
      <c r="H119" s="168"/>
      <c r="I119" s="168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6:I46"/>
    <mergeCell ref="A57:I57"/>
    <mergeCell ref="A87:I87"/>
    <mergeCell ref="A91:I91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1"/>
  <sheetViews>
    <sheetView view="pageBreakPreview" topLeftCell="A86" zoomScale="60" workbookViewId="0">
      <selection activeCell="B97" sqref="B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135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189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3"/>
      <c r="C6" s="103"/>
      <c r="D6" s="103"/>
      <c r="E6" s="103"/>
      <c r="F6" s="103"/>
      <c r="G6" s="103"/>
      <c r="H6" s="103"/>
      <c r="I6" s="21">
        <v>43524</v>
      </c>
    </row>
    <row r="7" spans="1:9" ht="15.75">
      <c r="B7" s="101"/>
      <c r="C7" s="101"/>
      <c r="D7" s="101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.7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5.75" hidden="1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 ht="15.75" customHeight="1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15.75" hidden="1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5.75" hidden="1" customHeight="1">
      <c r="A29" s="20"/>
      <c r="B29" s="25" t="s">
        <v>94</v>
      </c>
      <c r="C29" s="37" t="s">
        <v>88</v>
      </c>
      <c r="D29" s="25" t="s">
        <v>138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20"/>
      <c r="B30" s="25" t="s">
        <v>133</v>
      </c>
      <c r="C30" s="37" t="s">
        <v>88</v>
      </c>
      <c r="D30" s="25" t="s">
        <v>139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t="15.75" hidden="1" customHeight="1">
      <c r="A31" s="20"/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5.75" hidden="1" customHeight="1">
      <c r="A32" s="20"/>
      <c r="B32" s="25" t="s">
        <v>140</v>
      </c>
      <c r="C32" s="37" t="s">
        <v>41</v>
      </c>
      <c r="D32" s="25" t="s">
        <v>141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t="15.75" hidden="1" customHeight="1">
      <c r="A33" s="20"/>
      <c r="B33" s="25" t="s">
        <v>93</v>
      </c>
      <c r="C33" s="37" t="s">
        <v>31</v>
      </c>
      <c r="D33" s="25" t="s">
        <v>64</v>
      </c>
      <c r="E33" s="79">
        <f>1/3</f>
        <v>0.33333333333333331</v>
      </c>
      <c r="F33" s="24">
        <f>155/3</f>
        <v>51.666666666666664</v>
      </c>
      <c r="G33" s="24">
        <v>74.349999999999994</v>
      </c>
      <c r="H33" s="77">
        <f t="shared" si="2"/>
        <v>3.841416666666666</v>
      </c>
      <c r="I33" s="10">
        <f t="shared" si="3"/>
        <v>640.23611111111109</v>
      </c>
    </row>
    <row r="34" spans="1:9" ht="15.75" hidden="1" customHeight="1">
      <c r="A34" s="20"/>
      <c r="B34" s="25" t="s">
        <v>65</v>
      </c>
      <c r="C34" s="37" t="s">
        <v>33</v>
      </c>
      <c r="D34" s="25" t="s">
        <v>67</v>
      </c>
      <c r="E34" s="76"/>
      <c r="F34" s="24">
        <v>2</v>
      </c>
      <c r="G34" s="24">
        <v>250.92</v>
      </c>
      <c r="H34" s="77">
        <f t="shared" si="2"/>
        <v>0.50183999999999995</v>
      </c>
      <c r="I34" s="10">
        <v>0</v>
      </c>
    </row>
    <row r="35" spans="1:9" ht="15.75" hidden="1" customHeight="1">
      <c r="A35" s="20"/>
      <c r="B35" s="25" t="s">
        <v>66</v>
      </c>
      <c r="C35" s="37" t="s">
        <v>32</v>
      </c>
      <c r="D35" s="25" t="s">
        <v>67</v>
      </c>
      <c r="E35" s="76"/>
      <c r="F35" s="24">
        <v>3</v>
      </c>
      <c r="G35" s="24">
        <v>1490.31</v>
      </c>
      <c r="H35" s="77">
        <f t="shared" si="2"/>
        <v>4.4709300000000001</v>
      </c>
      <c r="I35" s="10">
        <v>0</v>
      </c>
    </row>
    <row r="36" spans="1:9" ht="15.75" customHeight="1">
      <c r="A36" s="20"/>
      <c r="B36" s="94" t="s">
        <v>5</v>
      </c>
      <c r="C36" s="37"/>
      <c r="D36" s="25"/>
      <c r="E36" s="76"/>
      <c r="F36" s="24"/>
      <c r="G36" s="24"/>
      <c r="H36" s="77" t="s">
        <v>129</v>
      </c>
      <c r="I36" s="10"/>
    </row>
    <row r="37" spans="1:9" ht="15.75" customHeight="1">
      <c r="A37" s="20">
        <v>6</v>
      </c>
      <c r="B37" s="26" t="s">
        <v>26</v>
      </c>
      <c r="C37" s="37" t="s">
        <v>32</v>
      </c>
      <c r="D37" s="25"/>
      <c r="E37" s="76"/>
      <c r="F37" s="24">
        <v>8</v>
      </c>
      <c r="G37" s="24">
        <v>2003</v>
      </c>
      <c r="H37" s="77">
        <f t="shared" ref="H37:H44" si="4">SUM(F37*G37/1000)</f>
        <v>16.024000000000001</v>
      </c>
      <c r="I37" s="10">
        <f>G37*1.2</f>
        <v>2403.6</v>
      </c>
    </row>
    <row r="38" spans="1:9" ht="15.75" customHeight="1">
      <c r="A38" s="20">
        <v>7</v>
      </c>
      <c r="B38" s="26" t="s">
        <v>68</v>
      </c>
      <c r="C38" s="51" t="s">
        <v>29</v>
      </c>
      <c r="D38" s="26" t="s">
        <v>217</v>
      </c>
      <c r="E38" s="27">
        <v>188</v>
      </c>
      <c r="F38" s="27">
        <f>SUM(E38*26/1000)</f>
        <v>4.8879999999999999</v>
      </c>
      <c r="G38" s="27">
        <v>2757.78</v>
      </c>
      <c r="H38" s="77">
        <f t="shared" si="4"/>
        <v>13.48002864</v>
      </c>
      <c r="I38" s="10">
        <f t="shared" ref="I38:I44" si="5">F38/6*G38</f>
        <v>2246.6714400000001</v>
      </c>
    </row>
    <row r="39" spans="1:9" ht="15.75" customHeight="1">
      <c r="A39" s="20">
        <v>8</v>
      </c>
      <c r="B39" s="25" t="s">
        <v>69</v>
      </c>
      <c r="C39" s="37" t="s">
        <v>29</v>
      </c>
      <c r="D39" s="25" t="s">
        <v>218</v>
      </c>
      <c r="E39" s="24">
        <v>188</v>
      </c>
      <c r="F39" s="27">
        <f>SUM(E39*155/1000)</f>
        <v>29.14</v>
      </c>
      <c r="G39" s="24">
        <v>460.02</v>
      </c>
      <c r="H39" s="77">
        <f t="shared" si="4"/>
        <v>13.404982799999999</v>
      </c>
      <c r="I39" s="10">
        <f t="shared" si="5"/>
        <v>2234.1637999999998</v>
      </c>
    </row>
    <row r="40" spans="1:9" ht="15.75" hidden="1" customHeight="1">
      <c r="A40" s="20">
        <v>11</v>
      </c>
      <c r="B40" s="25" t="s">
        <v>143</v>
      </c>
      <c r="C40" s="37" t="s">
        <v>144</v>
      </c>
      <c r="D40" s="25"/>
      <c r="E40" s="76"/>
      <c r="F40" s="27">
        <v>50</v>
      </c>
      <c r="G40" s="24">
        <v>213.2</v>
      </c>
      <c r="H40" s="77">
        <f t="shared" si="4"/>
        <v>10.66</v>
      </c>
      <c r="I40" s="10">
        <v>0</v>
      </c>
    </row>
    <row r="41" spans="1:9" ht="47.25" customHeight="1">
      <c r="A41" s="20">
        <v>9</v>
      </c>
      <c r="B41" s="25" t="s">
        <v>83</v>
      </c>
      <c r="C41" s="37" t="s">
        <v>88</v>
      </c>
      <c r="D41" s="25" t="s">
        <v>217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4"/>
        <v>37.20335008</v>
      </c>
      <c r="I41" s="10">
        <f t="shared" si="5"/>
        <v>6200.5583466666667</v>
      </c>
    </row>
    <row r="42" spans="1:9" ht="15.75" customHeight="1">
      <c r="A42" s="20">
        <v>10</v>
      </c>
      <c r="B42" s="25" t="s">
        <v>89</v>
      </c>
      <c r="C42" s="37" t="s">
        <v>88</v>
      </c>
      <c r="D42" s="25" t="s">
        <v>217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4"/>
        <v>2.5368719999999998</v>
      </c>
      <c r="I42" s="10">
        <f>F42/7.5*G42</f>
        <v>338.24959999999993</v>
      </c>
    </row>
    <row r="43" spans="1:9" ht="15.75" customHeight="1">
      <c r="A43" s="20">
        <v>11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4"/>
        <v>0.8773470000000001</v>
      </c>
      <c r="I43" s="10">
        <f>F43/7.5*G43</f>
        <v>116.97960000000002</v>
      </c>
    </row>
    <row r="44" spans="1:9" ht="15.75" customHeight="1">
      <c r="A44" s="20">
        <v>12</v>
      </c>
      <c r="B44" s="68" t="s">
        <v>146</v>
      </c>
      <c r="C44" s="55" t="s">
        <v>29</v>
      </c>
      <c r="D44" s="26" t="s">
        <v>219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4"/>
        <v>7.4937599999999986E-3</v>
      </c>
      <c r="I44" s="10">
        <f t="shared" si="5"/>
        <v>1.2489599999999998</v>
      </c>
    </row>
    <row r="45" spans="1:9" ht="15.75" customHeight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t="15.75" hidden="1" customHeight="1">
      <c r="A46" s="20"/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6">SUM(F46*G46/1000)</f>
        <v>3.842075006</v>
      </c>
      <c r="I46" s="10">
        <f t="shared" ref="I46:I54" si="7">F46/2*G46</f>
        <v>1921.037503</v>
      </c>
    </row>
    <row r="47" spans="1:9" ht="15.75" hidden="1" customHeight="1">
      <c r="A47" s="20"/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6"/>
        <v>0.91916240000000005</v>
      </c>
      <c r="I47" s="10">
        <f t="shared" si="7"/>
        <v>459.58120000000002</v>
      </c>
    </row>
    <row r="48" spans="1:9" ht="15.75" hidden="1" customHeight="1">
      <c r="A48" s="20"/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6"/>
        <v>7.2034689005999999</v>
      </c>
      <c r="I48" s="10">
        <f t="shared" si="7"/>
        <v>3601.7344502999999</v>
      </c>
    </row>
    <row r="49" spans="1:9" ht="15.75" hidden="1" customHeight="1">
      <c r="A49" s="20"/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6"/>
        <v>6.6006486806</v>
      </c>
      <c r="I49" s="10">
        <f t="shared" si="7"/>
        <v>3300.3243403000001</v>
      </c>
    </row>
    <row r="50" spans="1:9" ht="15.75" hidden="1" customHeight="1">
      <c r="A50" s="20"/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6"/>
        <v>3.4774048560000002</v>
      </c>
      <c r="I50" s="10">
        <f t="shared" si="7"/>
        <v>1738.7024280000001</v>
      </c>
    </row>
    <row r="51" spans="1:9" ht="15.75" customHeight="1">
      <c r="A51" s="20">
        <v>13</v>
      </c>
      <c r="B51" s="25" t="s">
        <v>57</v>
      </c>
      <c r="C51" s="37" t="s">
        <v>88</v>
      </c>
      <c r="D51" s="25" t="s">
        <v>220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6"/>
        <v>39.635185905</v>
      </c>
      <c r="I51" s="10">
        <f>F51/5*G51</f>
        <v>7927.0371809999997</v>
      </c>
    </row>
    <row r="52" spans="1:9" ht="31.5" hidden="1" customHeight="1">
      <c r="A52" s="20"/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6"/>
        <v>13.989845679999998</v>
      </c>
      <c r="I52" s="10">
        <f t="shared" si="7"/>
        <v>6994.9228399999993</v>
      </c>
    </row>
    <row r="53" spans="1:9" ht="31.5" hidden="1" customHeight="1">
      <c r="A53" s="20"/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6"/>
        <v>3.2466560000000002</v>
      </c>
      <c r="I53" s="10">
        <f t="shared" si="7"/>
        <v>1623.3280000000002</v>
      </c>
    </row>
    <row r="54" spans="1:9" ht="15.75" hidden="1" customHeight="1">
      <c r="A54" s="20"/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6"/>
        <v>0.14825839999999998</v>
      </c>
      <c r="I54" s="10">
        <f t="shared" si="7"/>
        <v>74.129199999999997</v>
      </c>
    </row>
    <row r="55" spans="1:9" ht="16.5" customHeight="1">
      <c r="A55" s="20">
        <v>14</v>
      </c>
      <c r="B55" s="25" t="s">
        <v>42</v>
      </c>
      <c r="C55" s="37" t="s">
        <v>95</v>
      </c>
      <c r="D55" s="166">
        <v>43510</v>
      </c>
      <c r="E55" s="76">
        <v>160</v>
      </c>
      <c r="F55" s="24">
        <f>SUM(E55)*3</f>
        <v>480</v>
      </c>
      <c r="G55" s="30">
        <v>86.15</v>
      </c>
      <c r="H55" s="77">
        <f t="shared" si="6"/>
        <v>41.351999999999997</v>
      </c>
      <c r="I55" s="10">
        <f>F55/3*G55</f>
        <v>13784</v>
      </c>
    </row>
    <row r="56" spans="1:9" ht="15.75" customHeight="1">
      <c r="A56" s="177" t="s">
        <v>123</v>
      </c>
      <c r="B56" s="178"/>
      <c r="C56" s="178"/>
      <c r="D56" s="178"/>
      <c r="E56" s="178"/>
      <c r="F56" s="178"/>
      <c r="G56" s="178"/>
      <c r="H56" s="178"/>
      <c r="I56" s="179"/>
    </row>
    <row r="57" spans="1:9" ht="15.75" hidden="1" customHeight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31.5" hidden="1" customHeight="1">
      <c r="A58" s="20">
        <v>15</v>
      </c>
      <c r="B58" s="25" t="s">
        <v>131</v>
      </c>
      <c r="C58" s="37" t="s">
        <v>86</v>
      </c>
      <c r="D58" s="25" t="s">
        <v>115</v>
      </c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>G58*0.1</f>
        <v>202.93</v>
      </c>
    </row>
    <row r="59" spans="1:9" ht="15.75" hidden="1" customHeight="1">
      <c r="A59" s="20">
        <v>16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G59*1.5</f>
        <v>2373.0749999999998</v>
      </c>
    </row>
    <row r="60" spans="1:9" ht="15.7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t="15.75" hidden="1" customHeight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5.75" customHeight="1">
      <c r="A62" s="20">
        <v>15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t="16.5" customHeight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21" customHeight="1">
      <c r="A64" s="20">
        <v>16</v>
      </c>
      <c r="B64" s="52" t="s">
        <v>48</v>
      </c>
      <c r="C64" s="33" t="s">
        <v>95</v>
      </c>
      <c r="D64" s="25" t="s">
        <v>220</v>
      </c>
      <c r="E64" s="13">
        <v>10</v>
      </c>
      <c r="F64" s="24">
        <f>SUM(E64)</f>
        <v>10</v>
      </c>
      <c r="G64" s="29">
        <v>291.68</v>
      </c>
      <c r="H64" s="66">
        <f t="shared" ref="H64:H83" si="8">SUM(F64*G64/1000)</f>
        <v>2.9168000000000003</v>
      </c>
      <c r="I64" s="10">
        <f>G64*1</f>
        <v>291.68</v>
      </c>
    </row>
    <row r="65" spans="1:9" ht="19.5" hidden="1" customHeight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8"/>
        <v>0.50004999999999999</v>
      </c>
      <c r="I65" s="10">
        <v>0</v>
      </c>
    </row>
    <row r="66" spans="1:9" ht="17.25" hidden="1" customHeight="1">
      <c r="A66" s="20"/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8"/>
        <v>66.952891199999996</v>
      </c>
      <c r="I66" s="10">
        <f>F66*G66</f>
        <v>66952.891199999998</v>
      </c>
    </row>
    <row r="67" spans="1:9" ht="19.5" hidden="1" customHeight="1">
      <c r="A67" s="20"/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8"/>
        <v>5.21397084</v>
      </c>
      <c r="I67" s="10">
        <f t="shared" ref="I67:I71" si="9">F67*G67</f>
        <v>5213.97084</v>
      </c>
    </row>
    <row r="68" spans="1:9" ht="20.25" hidden="1" customHeight="1">
      <c r="A68" s="20"/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8"/>
        <v>35.372219999999999</v>
      </c>
      <c r="I68" s="10">
        <f t="shared" si="9"/>
        <v>35372.22</v>
      </c>
    </row>
    <row r="69" spans="1:9" ht="18" hidden="1" customHeight="1">
      <c r="A69" s="20"/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8"/>
        <v>0.44314399999999998</v>
      </c>
      <c r="I69" s="10">
        <f t="shared" si="9"/>
        <v>443.14400000000001</v>
      </c>
    </row>
    <row r="70" spans="1:9" ht="13.5" hidden="1" customHeight="1">
      <c r="A70" s="20"/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8"/>
        <v>0.47881600000000002</v>
      </c>
      <c r="I70" s="10">
        <f t="shared" si="9"/>
        <v>478.81600000000003</v>
      </c>
    </row>
    <row r="71" spans="1:9" ht="15" hidden="1" customHeight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8"/>
        <v>0.3271</v>
      </c>
      <c r="I71" s="10">
        <f t="shared" si="9"/>
        <v>327.10000000000002</v>
      </c>
    </row>
    <row r="72" spans="1:9" ht="15.7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t="15.75" hidden="1" customHeight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0">SUM(F73*G73/1000)</f>
        <v>1.0291199999999998</v>
      </c>
      <c r="I73" s="10">
        <v>0</v>
      </c>
    </row>
    <row r="74" spans="1:9" ht="15.75" hidden="1" customHeight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0"/>
        <v>0.73499999999999999</v>
      </c>
      <c r="I74" s="10">
        <v>0</v>
      </c>
    </row>
    <row r="75" spans="1:9" ht="15.75" hidden="1" customHeight="1">
      <c r="A75" s="20">
        <v>19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0"/>
        <v>0.46050899999999995</v>
      </c>
      <c r="I75" s="10">
        <f>G75*0.9</f>
        <v>592.08299999999997</v>
      </c>
    </row>
    <row r="76" spans="1:9" ht="15.75" hidden="1" customHeight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0"/>
        <v>1.1187199999999999</v>
      </c>
      <c r="I76" s="10">
        <v>0</v>
      </c>
    </row>
    <row r="77" spans="1:9" ht="15.75" hidden="1" customHeight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15.75" customHeight="1">
      <c r="A78" s="20">
        <v>17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1">SUM(F78*G78/1000)</f>
        <v>1.2820799999999999</v>
      </c>
      <c r="I78" s="10">
        <f>F78/12*G78</f>
        <v>106.84</v>
      </c>
    </row>
    <row r="79" spans="1:9" ht="15.75" customHeight="1">
      <c r="A79" s="20">
        <v>18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1"/>
        <v>14.327999999999999</v>
      </c>
      <c r="I79" s="10">
        <f>F79/12*G79</f>
        <v>1194</v>
      </c>
    </row>
    <row r="80" spans="1:9" ht="15.75" customHeight="1">
      <c r="A80" s="20"/>
      <c r="B80" s="97" t="s">
        <v>155</v>
      </c>
      <c r="C80" s="55"/>
      <c r="D80" s="32"/>
      <c r="E80" s="13"/>
      <c r="F80" s="29"/>
      <c r="G80" s="29"/>
      <c r="H80" s="66"/>
      <c r="I80" s="10"/>
    </row>
    <row r="81" spans="1:11" ht="15.75" customHeight="1">
      <c r="A81" s="20">
        <v>19</v>
      </c>
      <c r="B81" s="32" t="s">
        <v>156</v>
      </c>
      <c r="C81" s="38" t="s">
        <v>157</v>
      </c>
      <c r="D81" s="25"/>
      <c r="E81" s="13">
        <v>4394.8999999999996</v>
      </c>
      <c r="F81" s="29">
        <f>SUM(E81*12)</f>
        <v>52738.799999999996</v>
      </c>
      <c r="G81" s="29">
        <v>2.2799999999999998</v>
      </c>
      <c r="H81" s="66">
        <f t="shared" ref="H81" si="12">SUM(F81*G81/1000)</f>
        <v>120.24446399999998</v>
      </c>
      <c r="I81" s="10">
        <f>F81/12*G81</f>
        <v>10020.371999999998</v>
      </c>
    </row>
    <row r="82" spans="1:11" ht="15.75" hidden="1" customHeight="1">
      <c r="A82" s="20"/>
      <c r="B82" s="46" t="s">
        <v>77</v>
      </c>
      <c r="C82" s="33"/>
      <c r="D82" s="32"/>
      <c r="E82" s="13"/>
      <c r="F82" s="29"/>
      <c r="G82" s="29" t="s">
        <v>129</v>
      </c>
      <c r="H82" s="66" t="s">
        <v>129</v>
      </c>
      <c r="I82" s="10"/>
    </row>
    <row r="83" spans="1:11" ht="15.75" hidden="1" customHeight="1">
      <c r="A83" s="20"/>
      <c r="B83" s="34" t="s">
        <v>100</v>
      </c>
      <c r="C83" s="35" t="s">
        <v>78</v>
      </c>
      <c r="D83" s="52"/>
      <c r="E83" s="89"/>
      <c r="F83" s="30">
        <v>0.6</v>
      </c>
      <c r="G83" s="30">
        <v>3619.09</v>
      </c>
      <c r="H83" s="66">
        <f t="shared" si="8"/>
        <v>2.1714540000000002</v>
      </c>
      <c r="I83" s="10">
        <v>0</v>
      </c>
    </row>
    <row r="84" spans="1:11" ht="15.75" hidden="1" customHeight="1">
      <c r="A84" s="20"/>
      <c r="B84" s="102" t="s">
        <v>92</v>
      </c>
      <c r="C84" s="64"/>
      <c r="D84" s="22"/>
      <c r="E84" s="23"/>
      <c r="F84" s="61"/>
      <c r="G84" s="61"/>
      <c r="H84" s="90">
        <f>SUM(H58:H83)</f>
        <v>284.91172943999999</v>
      </c>
      <c r="I84" s="10"/>
    </row>
    <row r="85" spans="1:11" ht="15.75" hidden="1" customHeight="1">
      <c r="A85" s="20">
        <v>21</v>
      </c>
      <c r="B85" s="25" t="s">
        <v>98</v>
      </c>
      <c r="C85" s="91"/>
      <c r="D85" s="92"/>
      <c r="E85" s="93"/>
      <c r="F85" s="31">
        <v>1</v>
      </c>
      <c r="G85" s="31">
        <v>20004</v>
      </c>
      <c r="H85" s="66">
        <f>G85*F85/1000</f>
        <v>20.004000000000001</v>
      </c>
      <c r="I85" s="10">
        <v>5268</v>
      </c>
    </row>
    <row r="86" spans="1:11" ht="15.75" customHeight="1">
      <c r="A86" s="177" t="s">
        <v>125</v>
      </c>
      <c r="B86" s="178"/>
      <c r="C86" s="178"/>
      <c r="D86" s="178"/>
      <c r="E86" s="178"/>
      <c r="F86" s="178"/>
      <c r="G86" s="178"/>
      <c r="H86" s="178"/>
      <c r="I86" s="179"/>
    </row>
    <row r="87" spans="1:11" ht="15.75" customHeight="1">
      <c r="A87" s="20">
        <v>20</v>
      </c>
      <c r="B87" s="25" t="s">
        <v>99</v>
      </c>
      <c r="C87" s="33" t="s">
        <v>56</v>
      </c>
      <c r="D87" s="53"/>
      <c r="E87" s="29">
        <v>4394.8999999999996</v>
      </c>
      <c r="F87" s="29">
        <f>SUM(E87*12)</f>
        <v>52738.799999999996</v>
      </c>
      <c r="G87" s="29">
        <v>3.1</v>
      </c>
      <c r="H87" s="66">
        <f>SUM(F87*G87/1000)</f>
        <v>163.49028000000001</v>
      </c>
      <c r="I87" s="10">
        <f>F87/12*G87</f>
        <v>13624.189999999999</v>
      </c>
    </row>
    <row r="88" spans="1:11" ht="30.75" customHeight="1">
      <c r="A88" s="20">
        <v>21</v>
      </c>
      <c r="B88" s="32" t="s">
        <v>79</v>
      </c>
      <c r="C88" s="33"/>
      <c r="D88" s="53"/>
      <c r="E88" s="76">
        <f>E87</f>
        <v>4394.8999999999996</v>
      </c>
      <c r="F88" s="29">
        <f>E88*12</f>
        <v>52738.799999999996</v>
      </c>
      <c r="G88" s="29">
        <v>3.5</v>
      </c>
      <c r="H88" s="66">
        <f>F88*G88/1000</f>
        <v>184.58579999999998</v>
      </c>
      <c r="I88" s="10">
        <f>F88/12*G88</f>
        <v>15382.149999999998</v>
      </c>
      <c r="K88" s="111"/>
    </row>
    <row r="89" spans="1:11" ht="15.75" customHeight="1">
      <c r="A89" s="20"/>
      <c r="B89" s="36" t="s">
        <v>81</v>
      </c>
      <c r="C89" s="64"/>
      <c r="D89" s="63"/>
      <c r="E89" s="61"/>
      <c r="F89" s="61"/>
      <c r="G89" s="61"/>
      <c r="H89" s="65">
        <f>SUM(H76)</f>
        <v>1.1187199999999999</v>
      </c>
      <c r="I89" s="61">
        <f>I88+I87+I81+I79+I78+I64+I62+I51+I44+I43+I42+I41+I39+I38+I37+I26+I25+I18+I17+I16+I55</f>
        <v>98754.953857666638</v>
      </c>
    </row>
    <row r="90" spans="1:11" ht="15.75" customHeight="1">
      <c r="A90" s="180" t="s">
        <v>61</v>
      </c>
      <c r="B90" s="181"/>
      <c r="C90" s="181"/>
      <c r="D90" s="181"/>
      <c r="E90" s="181"/>
      <c r="F90" s="181"/>
      <c r="G90" s="181"/>
      <c r="H90" s="181"/>
      <c r="I90" s="182"/>
    </row>
    <row r="91" spans="1:11" ht="33" customHeight="1">
      <c r="A91" s="20">
        <v>22</v>
      </c>
      <c r="B91" s="68" t="s">
        <v>173</v>
      </c>
      <c r="C91" s="55" t="s">
        <v>118</v>
      </c>
      <c r="D91" s="32"/>
      <c r="E91" s="13"/>
      <c r="F91" s="29">
        <v>1</v>
      </c>
      <c r="G91" s="29">
        <v>644.72</v>
      </c>
      <c r="H91" s="66">
        <f t="shared" ref="H91" si="13">G91*F91/1000</f>
        <v>0.64472000000000007</v>
      </c>
      <c r="I91" s="110">
        <f>G91*1</f>
        <v>644.72</v>
      </c>
    </row>
    <row r="92" spans="1:11" ht="31.5" customHeight="1">
      <c r="A92" s="20">
        <v>23</v>
      </c>
      <c r="B92" s="68" t="s">
        <v>186</v>
      </c>
      <c r="C92" s="55" t="s">
        <v>118</v>
      </c>
      <c r="D92" s="32"/>
      <c r="E92" s="13"/>
      <c r="F92" s="29">
        <v>15</v>
      </c>
      <c r="G92" s="29">
        <v>561.86</v>
      </c>
      <c r="H92" s="66">
        <f>G92*F92/1000</f>
        <v>8.4278999999999993</v>
      </c>
      <c r="I92" s="110">
        <f>G92*1</f>
        <v>561.86</v>
      </c>
    </row>
    <row r="93" spans="1:11" ht="15.75" customHeight="1">
      <c r="A93" s="20">
        <v>24</v>
      </c>
      <c r="B93" s="68" t="s">
        <v>160</v>
      </c>
      <c r="C93" s="55" t="s">
        <v>184</v>
      </c>
      <c r="D93" s="32"/>
      <c r="E93" s="13"/>
      <c r="F93" s="29"/>
      <c r="G93" s="29">
        <v>273</v>
      </c>
      <c r="H93" s="66"/>
      <c r="I93" s="110">
        <f>G93*25</f>
        <v>6825</v>
      </c>
    </row>
    <row r="94" spans="1:11" ht="33.75" customHeight="1">
      <c r="A94" s="20">
        <v>25</v>
      </c>
      <c r="B94" s="68" t="s">
        <v>166</v>
      </c>
      <c r="C94" s="55" t="s">
        <v>39</v>
      </c>
      <c r="D94" s="32"/>
      <c r="E94" s="13"/>
      <c r="F94" s="29"/>
      <c r="G94" s="29">
        <v>3914.31</v>
      </c>
      <c r="H94" s="66"/>
      <c r="I94" s="110">
        <f>G94*0.02</f>
        <v>78.286199999999994</v>
      </c>
    </row>
    <row r="95" spans="1:11" ht="15.75" customHeight="1">
      <c r="A95" s="20">
        <v>26</v>
      </c>
      <c r="B95" s="68" t="s">
        <v>190</v>
      </c>
      <c r="C95" s="55" t="s">
        <v>191</v>
      </c>
      <c r="D95" s="32"/>
      <c r="E95" s="13"/>
      <c r="F95" s="29"/>
      <c r="G95" s="29">
        <v>412.8</v>
      </c>
      <c r="H95" s="66"/>
      <c r="I95" s="110">
        <f>G95*1</f>
        <v>412.8</v>
      </c>
    </row>
    <row r="96" spans="1:11" ht="36" customHeight="1">
      <c r="A96" s="20">
        <v>27</v>
      </c>
      <c r="B96" s="68" t="s">
        <v>185</v>
      </c>
      <c r="C96" s="55" t="s">
        <v>164</v>
      </c>
      <c r="D96" s="32"/>
      <c r="E96" s="13"/>
      <c r="F96" s="29"/>
      <c r="G96" s="121">
        <v>26095.37</v>
      </c>
      <c r="H96" s="66"/>
      <c r="I96" s="110">
        <f>G96*0.01</f>
        <v>260.95369999999997</v>
      </c>
    </row>
    <row r="97" spans="1:9" ht="15.75" customHeight="1">
      <c r="A97" s="20">
        <v>28</v>
      </c>
      <c r="B97" s="68" t="s">
        <v>119</v>
      </c>
      <c r="C97" s="55" t="s">
        <v>95</v>
      </c>
      <c r="D97" s="47"/>
      <c r="E97" s="10"/>
      <c r="F97" s="10"/>
      <c r="G97" s="29">
        <v>58.39</v>
      </c>
      <c r="H97" s="60"/>
      <c r="I97" s="110">
        <f>G97*1</f>
        <v>58.39</v>
      </c>
    </row>
    <row r="98" spans="1:9">
      <c r="A98" s="20"/>
      <c r="B98" s="43" t="s">
        <v>53</v>
      </c>
      <c r="C98" s="39"/>
      <c r="D98" s="49"/>
      <c r="E98" s="39">
        <v>1</v>
      </c>
      <c r="F98" s="39"/>
      <c r="G98" s="39"/>
      <c r="H98" s="39"/>
      <c r="I98" s="23">
        <f>SUM(I91:I97)</f>
        <v>8842.0098999999991</v>
      </c>
    </row>
    <row r="99" spans="1:9" ht="15.75" customHeight="1">
      <c r="A99" s="20"/>
      <c r="B99" s="47" t="s">
        <v>80</v>
      </c>
      <c r="C99" s="12"/>
      <c r="D99" s="12"/>
      <c r="E99" s="40"/>
      <c r="F99" s="40"/>
      <c r="G99" s="41"/>
      <c r="H99" s="41"/>
      <c r="I99" s="13">
        <v>0</v>
      </c>
    </row>
    <row r="100" spans="1:9" ht="15.75" customHeight="1">
      <c r="A100" s="50"/>
      <c r="B100" s="44" t="s">
        <v>158</v>
      </c>
      <c r="C100" s="28"/>
      <c r="D100" s="28"/>
      <c r="E100" s="28"/>
      <c r="F100" s="28"/>
      <c r="G100" s="28"/>
      <c r="H100" s="28"/>
      <c r="I100" s="42">
        <f>I89+I98</f>
        <v>107596.96375766664</v>
      </c>
    </row>
    <row r="101" spans="1:9" ht="15.75">
      <c r="A101" s="183" t="s">
        <v>224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 customHeight="1">
      <c r="A102" s="56"/>
      <c r="B102" s="184" t="s">
        <v>225</v>
      </c>
      <c r="C102" s="184"/>
      <c r="D102" s="184"/>
      <c r="E102" s="184"/>
      <c r="F102" s="184"/>
      <c r="G102" s="184"/>
      <c r="H102" s="59"/>
      <c r="I102" s="2"/>
    </row>
    <row r="103" spans="1:9" ht="15.75" customHeight="1">
      <c r="A103" s="100"/>
      <c r="B103" s="171" t="s">
        <v>6</v>
      </c>
      <c r="C103" s="171"/>
      <c r="D103" s="171"/>
      <c r="E103" s="171"/>
      <c r="F103" s="171"/>
      <c r="G103" s="171"/>
      <c r="H103" s="15"/>
      <c r="I103" s="4"/>
    </row>
    <row r="104" spans="1:9" ht="15.7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85" t="s">
        <v>7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 customHeight="1">
      <c r="A106" s="185" t="s">
        <v>8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>
      <c r="A107" s="175" t="s">
        <v>62</v>
      </c>
      <c r="B107" s="175"/>
      <c r="C107" s="175"/>
      <c r="D107" s="175"/>
      <c r="E107" s="175"/>
      <c r="F107" s="175"/>
      <c r="G107" s="175"/>
      <c r="H107" s="175"/>
      <c r="I107" s="175"/>
    </row>
    <row r="108" spans="1:9" ht="15.75" customHeight="1">
      <c r="A108" s="8"/>
    </row>
    <row r="109" spans="1:9" ht="15.75">
      <c r="A109" s="169" t="s">
        <v>9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15.75" customHeight="1">
      <c r="A110" s="3"/>
    </row>
    <row r="111" spans="1:9" ht="15.75">
      <c r="B111" s="101" t="s">
        <v>10</v>
      </c>
      <c r="C111" s="170" t="s">
        <v>124</v>
      </c>
      <c r="D111" s="170"/>
      <c r="E111" s="170"/>
      <c r="F111" s="57"/>
      <c r="I111" s="99"/>
    </row>
    <row r="112" spans="1:9">
      <c r="A112" s="100"/>
      <c r="C112" s="171" t="s">
        <v>11</v>
      </c>
      <c r="D112" s="171"/>
      <c r="E112" s="171"/>
      <c r="F112" s="15"/>
      <c r="I112" s="98" t="s">
        <v>12</v>
      </c>
    </row>
    <row r="113" spans="1:9" ht="15.75">
      <c r="A113" s="16"/>
      <c r="C113" s="9"/>
      <c r="D113" s="9"/>
      <c r="G113" s="9"/>
      <c r="H113" s="9"/>
    </row>
    <row r="114" spans="1:9" ht="15.75" customHeight="1">
      <c r="B114" s="101" t="s">
        <v>13</v>
      </c>
      <c r="C114" s="172"/>
      <c r="D114" s="172"/>
      <c r="E114" s="172"/>
      <c r="F114" s="58"/>
      <c r="I114" s="99"/>
    </row>
    <row r="115" spans="1:9" ht="15.75" customHeight="1">
      <c r="A115" s="100"/>
      <c r="C115" s="173" t="s">
        <v>11</v>
      </c>
      <c r="D115" s="173"/>
      <c r="E115" s="173"/>
      <c r="F115" s="100"/>
      <c r="I115" s="98" t="s">
        <v>12</v>
      </c>
    </row>
    <row r="116" spans="1:9" ht="15.75" customHeight="1">
      <c r="A116" s="3" t="s">
        <v>14</v>
      </c>
    </row>
    <row r="117" spans="1:9">
      <c r="A117" s="174" t="s">
        <v>15</v>
      </c>
      <c r="B117" s="174"/>
      <c r="C117" s="174"/>
      <c r="D117" s="174"/>
      <c r="E117" s="174"/>
      <c r="F117" s="174"/>
      <c r="G117" s="174"/>
      <c r="H117" s="174"/>
      <c r="I117" s="174"/>
    </row>
    <row r="118" spans="1:9" ht="45" customHeight="1">
      <c r="A118" s="168" t="s">
        <v>16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30" customHeight="1">
      <c r="A119" s="168" t="s">
        <v>17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0" customHeight="1">
      <c r="A120" s="168" t="s">
        <v>21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15" customHeight="1">
      <c r="A121" s="168" t="s">
        <v>20</v>
      </c>
      <c r="B121" s="168"/>
      <c r="C121" s="168"/>
      <c r="D121" s="168"/>
      <c r="E121" s="168"/>
      <c r="F121" s="168"/>
      <c r="G121" s="168"/>
      <c r="H121" s="168"/>
      <c r="I121" s="168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5:I45"/>
    <mergeCell ref="A56:I56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22"/>
  <sheetViews>
    <sheetView workbookViewId="0">
      <selection activeCell="B98" sqref="B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2.710937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  <col min="11" max="11" width="10" bestFit="1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161</v>
      </c>
      <c r="B3" s="187"/>
      <c r="C3" s="187"/>
      <c r="D3" s="187"/>
      <c r="E3" s="187"/>
      <c r="F3" s="187"/>
      <c r="G3" s="187"/>
      <c r="H3" s="187"/>
      <c r="I3" s="187"/>
    </row>
    <row r="4" spans="1:9" ht="31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192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05"/>
      <c r="C6" s="105"/>
      <c r="D6" s="105"/>
      <c r="E6" s="105"/>
      <c r="F6" s="105"/>
      <c r="G6" s="105"/>
      <c r="H6" s="105"/>
      <c r="I6" s="21">
        <v>43555</v>
      </c>
    </row>
    <row r="7" spans="1:9" ht="15.75">
      <c r="B7" s="106"/>
      <c r="C7" s="106"/>
      <c r="D7" s="106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47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 ht="15.75" customHeight="1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.7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.7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5.7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t="15.75" hidden="1" customHeight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t="15.75" hidden="1" customHeight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5.75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t="15.75" hidden="1" customHeight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t="15.75" hidden="1" customHeight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t="15.75" hidden="1" customHeight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5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 ht="15.75" customHeight="1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15.75" hidden="1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5.75" hidden="1" customHeight="1">
      <c r="A29" s="20"/>
      <c r="B29" s="25" t="s">
        <v>94</v>
      </c>
      <c r="C29" s="37" t="s">
        <v>88</v>
      </c>
      <c r="D29" s="25" t="s">
        <v>138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1.5" hidden="1" customHeight="1">
      <c r="A30" s="20"/>
      <c r="B30" s="25" t="s">
        <v>133</v>
      </c>
      <c r="C30" s="37" t="s">
        <v>88</v>
      </c>
      <c r="D30" s="25" t="s">
        <v>139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t="15.75" hidden="1" customHeight="1">
      <c r="A31" s="20"/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5.75" hidden="1" customHeight="1">
      <c r="A32" s="20"/>
      <c r="B32" s="25" t="s">
        <v>140</v>
      </c>
      <c r="C32" s="37" t="s">
        <v>41</v>
      </c>
      <c r="D32" s="25" t="s">
        <v>141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t="15.75" hidden="1" customHeight="1">
      <c r="A33" s="20"/>
      <c r="B33" s="25" t="s">
        <v>93</v>
      </c>
      <c r="C33" s="37" t="s">
        <v>31</v>
      </c>
      <c r="D33" s="25" t="s">
        <v>64</v>
      </c>
      <c r="E33" s="79">
        <f>1/3</f>
        <v>0.33333333333333331</v>
      </c>
      <c r="F33" s="24">
        <f>155/3</f>
        <v>51.666666666666664</v>
      </c>
      <c r="G33" s="24">
        <v>74.349999999999994</v>
      </c>
      <c r="H33" s="77">
        <f t="shared" si="2"/>
        <v>3.841416666666666</v>
      </c>
      <c r="I33" s="10">
        <f t="shared" si="3"/>
        <v>640.23611111111109</v>
      </c>
    </row>
    <row r="34" spans="1:9" ht="15.75" hidden="1" customHeight="1">
      <c r="A34" s="20"/>
      <c r="B34" s="25" t="s">
        <v>65</v>
      </c>
      <c r="C34" s="37" t="s">
        <v>33</v>
      </c>
      <c r="D34" s="25" t="s">
        <v>67</v>
      </c>
      <c r="E34" s="76"/>
      <c r="F34" s="24">
        <v>2</v>
      </c>
      <c r="G34" s="24">
        <v>250.92</v>
      </c>
      <c r="H34" s="77">
        <f t="shared" si="2"/>
        <v>0.50183999999999995</v>
      </c>
      <c r="I34" s="10">
        <v>0</v>
      </c>
    </row>
    <row r="35" spans="1:9" ht="15.75" hidden="1" customHeight="1">
      <c r="A35" s="20"/>
      <c r="B35" s="25" t="s">
        <v>66</v>
      </c>
      <c r="C35" s="37" t="s">
        <v>32</v>
      </c>
      <c r="D35" s="25" t="s">
        <v>67</v>
      </c>
      <c r="E35" s="76"/>
      <c r="F35" s="24">
        <v>3</v>
      </c>
      <c r="G35" s="24">
        <v>1490.31</v>
      </c>
      <c r="H35" s="77">
        <f t="shared" si="2"/>
        <v>4.4709300000000001</v>
      </c>
      <c r="I35" s="10">
        <v>0</v>
      </c>
    </row>
    <row r="36" spans="1:9" ht="15.75" customHeight="1">
      <c r="A36" s="20"/>
      <c r="B36" s="94" t="s">
        <v>5</v>
      </c>
      <c r="C36" s="37"/>
      <c r="D36" s="25"/>
      <c r="E36" s="76"/>
      <c r="F36" s="24"/>
      <c r="G36" s="24"/>
      <c r="H36" s="77" t="s">
        <v>129</v>
      </c>
      <c r="I36" s="10"/>
    </row>
    <row r="37" spans="1:9" ht="15.75" customHeight="1">
      <c r="A37" s="20">
        <v>7</v>
      </c>
      <c r="B37" s="26" t="s">
        <v>26</v>
      </c>
      <c r="C37" s="37" t="s">
        <v>32</v>
      </c>
      <c r="D37" s="25"/>
      <c r="E37" s="76"/>
      <c r="F37" s="24">
        <v>8</v>
      </c>
      <c r="G37" s="24">
        <v>2003</v>
      </c>
      <c r="H37" s="77">
        <f t="shared" ref="H37:H44" si="4">SUM(F37*G37/1000)</f>
        <v>16.024000000000001</v>
      </c>
      <c r="I37" s="10">
        <f>G37*3.3</f>
        <v>6609.9</v>
      </c>
    </row>
    <row r="38" spans="1:9" ht="15.75" customHeight="1">
      <c r="A38" s="20">
        <v>8</v>
      </c>
      <c r="B38" s="26" t="s">
        <v>68</v>
      </c>
      <c r="C38" s="51" t="s">
        <v>29</v>
      </c>
      <c r="D38" s="26" t="s">
        <v>217</v>
      </c>
      <c r="E38" s="27">
        <v>188</v>
      </c>
      <c r="F38" s="27">
        <f>SUM(E38*26/1000)</f>
        <v>4.8879999999999999</v>
      </c>
      <c r="G38" s="27">
        <v>2757.78</v>
      </c>
      <c r="H38" s="77">
        <f t="shared" si="4"/>
        <v>13.48002864</v>
      </c>
      <c r="I38" s="10">
        <f t="shared" ref="I38:I44" si="5">F38/6*G38</f>
        <v>2246.6714400000001</v>
      </c>
    </row>
    <row r="39" spans="1:9" ht="15.75" customHeight="1">
      <c r="A39" s="20">
        <v>9</v>
      </c>
      <c r="B39" s="25" t="s">
        <v>69</v>
      </c>
      <c r="C39" s="37" t="s">
        <v>29</v>
      </c>
      <c r="D39" s="25" t="s">
        <v>218</v>
      </c>
      <c r="E39" s="24">
        <v>188</v>
      </c>
      <c r="F39" s="27">
        <f>SUM(E39*155/1000)</f>
        <v>29.14</v>
      </c>
      <c r="G39" s="24">
        <v>460.02</v>
      </c>
      <c r="H39" s="77">
        <f t="shared" si="4"/>
        <v>13.404982799999999</v>
      </c>
      <c r="I39" s="10">
        <f t="shared" si="5"/>
        <v>2234.1637999999998</v>
      </c>
    </row>
    <row r="40" spans="1:9" ht="15.75" hidden="1" customHeight="1">
      <c r="A40" s="20">
        <v>11</v>
      </c>
      <c r="B40" s="25" t="s">
        <v>143</v>
      </c>
      <c r="C40" s="37" t="s">
        <v>144</v>
      </c>
      <c r="D40" s="25"/>
      <c r="E40" s="76"/>
      <c r="F40" s="27">
        <v>50</v>
      </c>
      <c r="G40" s="24">
        <v>213.2</v>
      </c>
      <c r="H40" s="77">
        <f t="shared" si="4"/>
        <v>10.66</v>
      </c>
      <c r="I40" s="10">
        <v>0</v>
      </c>
    </row>
    <row r="41" spans="1:9" ht="47.25" customHeight="1">
      <c r="A41" s="20">
        <v>10</v>
      </c>
      <c r="B41" s="25" t="s">
        <v>83</v>
      </c>
      <c r="C41" s="37" t="s">
        <v>88</v>
      </c>
      <c r="D41" s="25" t="s">
        <v>217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4"/>
        <v>37.20335008</v>
      </c>
      <c r="I41" s="10">
        <f t="shared" si="5"/>
        <v>6200.5583466666667</v>
      </c>
    </row>
    <row r="42" spans="1:9" ht="15.75" customHeight="1">
      <c r="A42" s="20">
        <v>11</v>
      </c>
      <c r="B42" s="25" t="s">
        <v>89</v>
      </c>
      <c r="C42" s="37" t="s">
        <v>88</v>
      </c>
      <c r="D42" s="25" t="s">
        <v>217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4"/>
        <v>2.5368719999999998</v>
      </c>
      <c r="I42" s="10">
        <f>(F42/7.5*1.5)*G42</f>
        <v>507.37439999999992</v>
      </c>
    </row>
    <row r="43" spans="1:9" ht="15.75" customHeight="1">
      <c r="A43" s="20">
        <v>12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4"/>
        <v>0.8773470000000001</v>
      </c>
      <c r="I43" s="10">
        <f>(F43/7.5*1.5)*G43</f>
        <v>175.46940000000004</v>
      </c>
    </row>
    <row r="44" spans="1:9" ht="15.75" customHeight="1">
      <c r="A44" s="20">
        <v>13</v>
      </c>
      <c r="B44" s="68" t="s">
        <v>146</v>
      </c>
      <c r="C44" s="55" t="s">
        <v>29</v>
      </c>
      <c r="D44" s="26" t="s">
        <v>219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4"/>
        <v>7.4937599999999986E-3</v>
      </c>
      <c r="I44" s="10">
        <f t="shared" si="5"/>
        <v>1.2489599999999998</v>
      </c>
    </row>
    <row r="45" spans="1:9" ht="15.75" hidden="1" customHeight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t="15.75" hidden="1" customHeight="1">
      <c r="A46" s="20"/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6">SUM(F46*G46/1000)</f>
        <v>3.842075006</v>
      </c>
      <c r="I46" s="10">
        <f t="shared" ref="I46:I54" si="7">F46/2*G46</f>
        <v>1921.037503</v>
      </c>
    </row>
    <row r="47" spans="1:9" ht="15.75" hidden="1" customHeight="1">
      <c r="A47" s="20"/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6"/>
        <v>0.91916240000000005</v>
      </c>
      <c r="I47" s="10">
        <f t="shared" si="7"/>
        <v>459.58120000000002</v>
      </c>
    </row>
    <row r="48" spans="1:9" ht="15.75" hidden="1" customHeight="1">
      <c r="A48" s="20"/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6"/>
        <v>7.2034689005999999</v>
      </c>
      <c r="I48" s="10">
        <f t="shared" si="7"/>
        <v>3601.7344502999999</v>
      </c>
    </row>
    <row r="49" spans="1:9" ht="15.75" hidden="1" customHeight="1">
      <c r="A49" s="20"/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6"/>
        <v>6.6006486806</v>
      </c>
      <c r="I49" s="10">
        <f t="shared" si="7"/>
        <v>3300.3243403000001</v>
      </c>
    </row>
    <row r="50" spans="1:9" ht="15.75" hidden="1" customHeight="1">
      <c r="A50" s="20"/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6"/>
        <v>3.4774048560000002</v>
      </c>
      <c r="I50" s="10">
        <f t="shared" si="7"/>
        <v>1738.7024280000001</v>
      </c>
    </row>
    <row r="51" spans="1:9" ht="15.75" hidden="1" customHeight="1">
      <c r="A51" s="20">
        <v>15</v>
      </c>
      <c r="B51" s="25" t="s">
        <v>57</v>
      </c>
      <c r="C51" s="37" t="s">
        <v>88</v>
      </c>
      <c r="D51" s="25" t="s">
        <v>134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6"/>
        <v>39.635185905</v>
      </c>
      <c r="I51" s="10">
        <f>F51/5*G51</f>
        <v>7927.0371809999997</v>
      </c>
    </row>
    <row r="52" spans="1:9" ht="31.5" hidden="1" customHeight="1">
      <c r="A52" s="20"/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6"/>
        <v>13.989845679999998</v>
      </c>
      <c r="I52" s="10">
        <f t="shared" si="7"/>
        <v>6994.9228399999993</v>
      </c>
    </row>
    <row r="53" spans="1:9" ht="31.5" hidden="1" customHeight="1">
      <c r="A53" s="20"/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6"/>
        <v>3.2466560000000002</v>
      </c>
      <c r="I53" s="10">
        <f t="shared" si="7"/>
        <v>1623.3280000000002</v>
      </c>
    </row>
    <row r="54" spans="1:9" ht="15.75" hidden="1" customHeight="1">
      <c r="A54" s="20"/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6"/>
        <v>0.14825839999999998</v>
      </c>
      <c r="I54" s="10">
        <f t="shared" si="7"/>
        <v>74.129199999999997</v>
      </c>
    </row>
    <row r="55" spans="1:9" ht="15.75" hidden="1" customHeight="1">
      <c r="A55" s="20">
        <v>16</v>
      </c>
      <c r="B55" s="25" t="s">
        <v>42</v>
      </c>
      <c r="C55" s="37" t="s">
        <v>95</v>
      </c>
      <c r="D55" s="25" t="s">
        <v>71</v>
      </c>
      <c r="E55" s="76">
        <v>160</v>
      </c>
      <c r="F55" s="24">
        <f>SUM(E55)*3</f>
        <v>480</v>
      </c>
      <c r="G55" s="30">
        <v>86.15</v>
      </c>
      <c r="H55" s="77">
        <f t="shared" si="6"/>
        <v>41.351999999999997</v>
      </c>
      <c r="I55" s="10">
        <f>F55/3*G55</f>
        <v>13784</v>
      </c>
    </row>
    <row r="56" spans="1:9" ht="15.75" customHeight="1">
      <c r="A56" s="177" t="s">
        <v>126</v>
      </c>
      <c r="B56" s="178"/>
      <c r="C56" s="178"/>
      <c r="D56" s="178"/>
      <c r="E56" s="178"/>
      <c r="F56" s="178"/>
      <c r="G56" s="178"/>
      <c r="H56" s="178"/>
      <c r="I56" s="179"/>
    </row>
    <row r="57" spans="1:9" ht="15.75" hidden="1" customHeight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30" customHeight="1">
      <c r="A58" s="20">
        <v>14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>G58*0.125</f>
        <v>253.66249999999999</v>
      </c>
    </row>
    <row r="59" spans="1:9" ht="19.5" customHeight="1">
      <c r="A59" s="20">
        <v>15</v>
      </c>
      <c r="B59" s="25" t="s">
        <v>148</v>
      </c>
      <c r="C59" s="37" t="s">
        <v>149</v>
      </c>
      <c r="D59" s="25" t="s">
        <v>226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G59*1</f>
        <v>1582.05</v>
      </c>
    </row>
    <row r="60" spans="1:9" ht="15.7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t="19.5" hidden="1" customHeight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5.75" customHeight="1">
      <c r="A62" s="20">
        <v>16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t="15.75" hidden="1" customHeight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15.75" hidden="1" customHeight="1">
      <c r="A64" s="20">
        <v>18</v>
      </c>
      <c r="B64" s="52" t="s">
        <v>48</v>
      </c>
      <c r="C64" s="33" t="s">
        <v>95</v>
      </c>
      <c r="D64" s="25" t="s">
        <v>67</v>
      </c>
      <c r="E64" s="13">
        <v>10</v>
      </c>
      <c r="F64" s="24">
        <f>SUM(E64)</f>
        <v>10</v>
      </c>
      <c r="G64" s="29">
        <v>291.68</v>
      </c>
      <c r="H64" s="66">
        <f t="shared" ref="H64:H83" si="8">SUM(F64*G64/1000)</f>
        <v>2.9168000000000003</v>
      </c>
      <c r="I64" s="10">
        <f>G64*3</f>
        <v>875.04</v>
      </c>
    </row>
    <row r="65" spans="1:9" ht="15.75" hidden="1" customHeight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8"/>
        <v>0.50004999999999999</v>
      </c>
      <c r="I65" s="10">
        <v>0</v>
      </c>
    </row>
    <row r="66" spans="1:9" ht="15.75" hidden="1" customHeight="1">
      <c r="A66" s="20"/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8"/>
        <v>66.952891199999996</v>
      </c>
      <c r="I66" s="10">
        <f>F66*G66</f>
        <v>66952.891199999998</v>
      </c>
    </row>
    <row r="67" spans="1:9" ht="15.75" hidden="1" customHeight="1">
      <c r="A67" s="20"/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8"/>
        <v>5.21397084</v>
      </c>
      <c r="I67" s="10">
        <f t="shared" ref="I67:I71" si="9">F67*G67</f>
        <v>5213.97084</v>
      </c>
    </row>
    <row r="68" spans="1:9" ht="15.75" hidden="1" customHeight="1">
      <c r="A68" s="20"/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8"/>
        <v>35.372219999999999</v>
      </c>
      <c r="I68" s="10">
        <f t="shared" si="9"/>
        <v>35372.22</v>
      </c>
    </row>
    <row r="69" spans="1:9" ht="15.75" hidden="1" customHeight="1">
      <c r="A69" s="20"/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8"/>
        <v>0.44314399999999998</v>
      </c>
      <c r="I69" s="10">
        <f t="shared" si="9"/>
        <v>443.14400000000001</v>
      </c>
    </row>
    <row r="70" spans="1:9" ht="31.5" hidden="1" customHeight="1">
      <c r="A70" s="20"/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8"/>
        <v>0.47881600000000002</v>
      </c>
      <c r="I70" s="10">
        <f t="shared" si="9"/>
        <v>478.81600000000003</v>
      </c>
    </row>
    <row r="71" spans="1:9" ht="15.75" hidden="1" customHeight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8"/>
        <v>0.3271</v>
      </c>
      <c r="I71" s="10">
        <f t="shared" si="9"/>
        <v>327.10000000000002</v>
      </c>
    </row>
    <row r="72" spans="1:9" ht="15.7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t="15.75" hidden="1" customHeight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0">SUM(F73*G73/1000)</f>
        <v>1.0291199999999998</v>
      </c>
      <c r="I73" s="10">
        <v>0</v>
      </c>
    </row>
    <row r="74" spans="1:9" ht="15.75" hidden="1" customHeight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0"/>
        <v>0.73499999999999999</v>
      </c>
      <c r="I74" s="10">
        <v>0</v>
      </c>
    </row>
    <row r="75" spans="1:9" ht="15.75" hidden="1" customHeight="1">
      <c r="A75" s="20">
        <v>19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0"/>
        <v>0.46050899999999995</v>
      </c>
      <c r="I75" s="10">
        <f>G75*0.9</f>
        <v>592.08299999999997</v>
      </c>
    </row>
    <row r="76" spans="1:9" ht="15.75" hidden="1" customHeight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0"/>
        <v>1.1187199999999999</v>
      </c>
      <c r="I76" s="10">
        <v>0</v>
      </c>
    </row>
    <row r="77" spans="1:9" ht="15.75" hidden="1" customHeight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15.75" customHeight="1">
      <c r="A78" s="20">
        <v>17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1">SUM(F78*G78/1000)</f>
        <v>1.2820799999999999</v>
      </c>
      <c r="I78" s="10">
        <f>F78/12*G78</f>
        <v>106.84</v>
      </c>
    </row>
    <row r="79" spans="1:9" ht="15.75" customHeight="1">
      <c r="A79" s="20">
        <v>18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1"/>
        <v>14.327999999999999</v>
      </c>
      <c r="I79" s="10">
        <f>F79/12*G79</f>
        <v>1194</v>
      </c>
    </row>
    <row r="80" spans="1:9" ht="15.75" customHeight="1">
      <c r="A80" s="20"/>
      <c r="B80" s="97" t="s">
        <v>155</v>
      </c>
      <c r="C80" s="55"/>
      <c r="D80" s="32"/>
      <c r="E80" s="13"/>
      <c r="F80" s="29"/>
      <c r="G80" s="29"/>
      <c r="H80" s="66"/>
      <c r="I80" s="10"/>
    </row>
    <row r="81" spans="1:11" ht="15.75" customHeight="1">
      <c r="A81" s="20">
        <v>19</v>
      </c>
      <c r="B81" s="32" t="s">
        <v>156</v>
      </c>
      <c r="C81" s="38" t="s">
        <v>157</v>
      </c>
      <c r="D81" s="25"/>
      <c r="E81" s="13">
        <v>4394.8999999999996</v>
      </c>
      <c r="F81" s="29">
        <f>SUM(E81*12)</f>
        <v>52738.799999999996</v>
      </c>
      <c r="G81" s="29">
        <v>2.2799999999999998</v>
      </c>
      <c r="H81" s="66">
        <f t="shared" ref="H81" si="12">SUM(F81*G81/1000)</f>
        <v>120.24446399999998</v>
      </c>
      <c r="I81" s="10">
        <f>F81/12*G81</f>
        <v>10020.371999999998</v>
      </c>
    </row>
    <row r="82" spans="1:11" ht="15.75" hidden="1" customHeight="1">
      <c r="A82" s="20"/>
      <c r="B82" s="46" t="s">
        <v>77</v>
      </c>
      <c r="C82" s="33"/>
      <c r="D82" s="32"/>
      <c r="E82" s="13"/>
      <c r="F82" s="29"/>
      <c r="G82" s="29" t="s">
        <v>129</v>
      </c>
      <c r="H82" s="66" t="s">
        <v>129</v>
      </c>
      <c r="I82" s="10"/>
    </row>
    <row r="83" spans="1:11" ht="15.75" hidden="1" customHeight="1">
      <c r="A83" s="20"/>
      <c r="B83" s="34" t="s">
        <v>100</v>
      </c>
      <c r="C83" s="35" t="s">
        <v>78</v>
      </c>
      <c r="D83" s="52"/>
      <c r="E83" s="89"/>
      <c r="F83" s="30">
        <v>0.6</v>
      </c>
      <c r="G83" s="30">
        <v>3619.09</v>
      </c>
      <c r="H83" s="66">
        <f t="shared" si="8"/>
        <v>2.1714540000000002</v>
      </c>
      <c r="I83" s="10">
        <v>0</v>
      </c>
    </row>
    <row r="84" spans="1:11" ht="15.75" hidden="1" customHeight="1">
      <c r="A84" s="20"/>
      <c r="B84" s="104" t="s">
        <v>92</v>
      </c>
      <c r="C84" s="64"/>
      <c r="D84" s="22"/>
      <c r="E84" s="23"/>
      <c r="F84" s="61"/>
      <c r="G84" s="61"/>
      <c r="H84" s="90">
        <f>SUM(H58:H83)</f>
        <v>284.91172943999999</v>
      </c>
      <c r="I84" s="10"/>
    </row>
    <row r="85" spans="1:11" ht="15.75" hidden="1" customHeight="1">
      <c r="A85" s="20"/>
      <c r="B85" s="25" t="s">
        <v>98</v>
      </c>
      <c r="C85" s="91"/>
      <c r="D85" s="92"/>
      <c r="E85" s="93"/>
      <c r="F85" s="31">
        <v>1</v>
      </c>
      <c r="G85" s="31">
        <v>18792</v>
      </c>
      <c r="H85" s="66">
        <f>G85*F85/1000</f>
        <v>18.792000000000002</v>
      </c>
      <c r="I85" s="10">
        <v>0</v>
      </c>
    </row>
    <row r="86" spans="1:11" ht="15.75" customHeight="1">
      <c r="A86" s="177" t="s">
        <v>127</v>
      </c>
      <c r="B86" s="178"/>
      <c r="C86" s="178"/>
      <c r="D86" s="178"/>
      <c r="E86" s="178"/>
      <c r="F86" s="178"/>
      <c r="G86" s="178"/>
      <c r="H86" s="178"/>
      <c r="I86" s="179"/>
    </row>
    <row r="87" spans="1:11" ht="15.75" customHeight="1">
      <c r="A87" s="20">
        <v>20</v>
      </c>
      <c r="B87" s="25" t="s">
        <v>99</v>
      </c>
      <c r="C87" s="33" t="s">
        <v>56</v>
      </c>
      <c r="D87" s="53"/>
      <c r="E87" s="29">
        <v>4394.8999999999996</v>
      </c>
      <c r="F87" s="29">
        <f>SUM(E87*12)</f>
        <v>52738.799999999996</v>
      </c>
      <c r="G87" s="29">
        <v>3.1</v>
      </c>
      <c r="H87" s="66">
        <f>SUM(F87*G87/1000)</f>
        <v>163.49028000000001</v>
      </c>
      <c r="I87" s="10">
        <f>F87/12*G87</f>
        <v>13624.189999999999</v>
      </c>
    </row>
    <row r="88" spans="1:11" ht="30.75" customHeight="1">
      <c r="A88" s="20">
        <v>21</v>
      </c>
      <c r="B88" s="32" t="s">
        <v>79</v>
      </c>
      <c r="C88" s="33"/>
      <c r="D88" s="53"/>
      <c r="E88" s="76">
        <f>E87</f>
        <v>4394.8999999999996</v>
      </c>
      <c r="F88" s="29">
        <f>E88*12</f>
        <v>52738.799999999996</v>
      </c>
      <c r="G88" s="29">
        <v>3.5</v>
      </c>
      <c r="H88" s="66">
        <f>F88*G88/1000</f>
        <v>184.58579999999998</v>
      </c>
      <c r="I88" s="10">
        <f>F88/12*G88</f>
        <v>15382.149999999998</v>
      </c>
      <c r="K88" s="111"/>
    </row>
    <row r="89" spans="1:11" ht="15.75" customHeight="1">
      <c r="A89" s="20"/>
      <c r="B89" s="36" t="s">
        <v>81</v>
      </c>
      <c r="C89" s="64"/>
      <c r="D89" s="63"/>
      <c r="E89" s="61"/>
      <c r="F89" s="61"/>
      <c r="G89" s="61"/>
      <c r="H89" s="65">
        <f>SUM(H76)</f>
        <v>1.1187199999999999</v>
      </c>
      <c r="I89" s="61">
        <f>I88+I87+I81+I79+I78+I62+I59+I58+I44+I43+I42+I41+I39+I38+I37+I26+I25+I21+I18+I17+I16</f>
        <v>83047.600128666643</v>
      </c>
    </row>
    <row r="90" spans="1:11" ht="15.75" customHeight="1">
      <c r="A90" s="180" t="s">
        <v>61</v>
      </c>
      <c r="B90" s="181"/>
      <c r="C90" s="181"/>
      <c r="D90" s="181"/>
      <c r="E90" s="181"/>
      <c r="F90" s="181"/>
      <c r="G90" s="181"/>
      <c r="H90" s="181"/>
      <c r="I90" s="182"/>
    </row>
    <row r="91" spans="1:11" ht="28.5" customHeight="1">
      <c r="A91" s="20">
        <v>22</v>
      </c>
      <c r="B91" s="32" t="s">
        <v>183</v>
      </c>
      <c r="C91" s="33" t="s">
        <v>184</v>
      </c>
      <c r="D91" s="161" t="s">
        <v>176</v>
      </c>
      <c r="E91" s="10"/>
      <c r="F91" s="10">
        <v>158</v>
      </c>
      <c r="G91" s="29">
        <v>1465</v>
      </c>
      <c r="H91" s="60">
        <f>G91*F91/1000</f>
        <v>231.47</v>
      </c>
      <c r="I91" s="110">
        <f>G91*4</f>
        <v>5860</v>
      </c>
    </row>
    <row r="92" spans="1:11" ht="30.75" customHeight="1">
      <c r="A92" s="20">
        <v>23</v>
      </c>
      <c r="B92" s="68" t="s">
        <v>193</v>
      </c>
      <c r="C92" s="55" t="s">
        <v>29</v>
      </c>
      <c r="D92" s="32"/>
      <c r="E92" s="13"/>
      <c r="F92" s="29">
        <v>42</v>
      </c>
      <c r="G92" s="29">
        <v>1739.68</v>
      </c>
      <c r="H92" s="66">
        <f>G92*F92/1000</f>
        <v>73.066559999999996</v>
      </c>
      <c r="I92" s="110">
        <f>G92*0.549</f>
        <v>955.08432000000016</v>
      </c>
    </row>
    <row r="93" spans="1:11" ht="14.25" customHeight="1">
      <c r="A93" s="20">
        <v>24</v>
      </c>
      <c r="B93" s="68" t="s">
        <v>160</v>
      </c>
      <c r="C93" s="55" t="s">
        <v>184</v>
      </c>
      <c r="D93" s="67"/>
      <c r="E93" s="29"/>
      <c r="F93" s="29">
        <v>1</v>
      </c>
      <c r="G93" s="29">
        <v>273</v>
      </c>
      <c r="H93" s="60">
        <f>G93*F93/1000</f>
        <v>0.27300000000000002</v>
      </c>
      <c r="I93" s="110">
        <f>G93*39</f>
        <v>10647</v>
      </c>
    </row>
    <row r="94" spans="1:11" ht="31.5" customHeight="1">
      <c r="A94" s="20">
        <v>25</v>
      </c>
      <c r="B94" s="68" t="s">
        <v>166</v>
      </c>
      <c r="C94" s="55" t="s">
        <v>39</v>
      </c>
      <c r="D94" s="67"/>
      <c r="E94" s="29"/>
      <c r="F94" s="29"/>
      <c r="G94" s="29">
        <v>3914.31</v>
      </c>
      <c r="H94" s="60"/>
      <c r="I94" s="110">
        <f>G94*0.01</f>
        <v>39.143099999999997</v>
      </c>
    </row>
    <row r="95" spans="1:11" ht="31.5" customHeight="1">
      <c r="A95" s="20">
        <v>26</v>
      </c>
      <c r="B95" s="118" t="s">
        <v>194</v>
      </c>
      <c r="C95" s="38" t="s">
        <v>195</v>
      </c>
      <c r="D95" s="67"/>
      <c r="E95" s="29"/>
      <c r="F95" s="29"/>
      <c r="G95" s="29">
        <v>2114.96</v>
      </c>
      <c r="H95" s="60"/>
      <c r="I95" s="110">
        <f>G95*1</f>
        <v>2114.96</v>
      </c>
    </row>
    <row r="96" spans="1:11" ht="15.75" customHeight="1">
      <c r="A96" s="20">
        <v>27</v>
      </c>
      <c r="B96" s="68" t="s">
        <v>82</v>
      </c>
      <c r="C96" s="55" t="s">
        <v>95</v>
      </c>
      <c r="D96" s="47"/>
      <c r="E96" s="10"/>
      <c r="F96" s="10">
        <v>4</v>
      </c>
      <c r="G96" s="29">
        <v>207.55</v>
      </c>
      <c r="H96" s="66">
        <f t="shared" ref="H96" si="13">G96*F96/1000</f>
        <v>0.83020000000000005</v>
      </c>
      <c r="I96" s="110">
        <f>G96*1</f>
        <v>207.55</v>
      </c>
    </row>
    <row r="97" spans="1:9" ht="15.75" customHeight="1">
      <c r="A97" s="20">
        <v>28</v>
      </c>
      <c r="B97" s="68" t="s">
        <v>196</v>
      </c>
      <c r="C97" s="55" t="s">
        <v>136</v>
      </c>
      <c r="D97" s="47"/>
      <c r="E97" s="10"/>
      <c r="F97" s="10"/>
      <c r="G97" s="29">
        <v>214.07</v>
      </c>
      <c r="H97" s="66"/>
      <c r="I97" s="110">
        <f>G97*1</f>
        <v>214.07</v>
      </c>
    </row>
    <row r="98" spans="1:9" ht="15.75" customHeight="1">
      <c r="A98" s="20">
        <v>29</v>
      </c>
      <c r="B98" s="68" t="s">
        <v>119</v>
      </c>
      <c r="C98" s="55" t="s">
        <v>95</v>
      </c>
      <c r="D98" s="47"/>
      <c r="E98" s="10"/>
      <c r="F98" s="10"/>
      <c r="G98" s="29">
        <v>58.39</v>
      </c>
      <c r="H98" s="60"/>
      <c r="I98" s="110">
        <f>G98*1</f>
        <v>58.39</v>
      </c>
    </row>
    <row r="99" spans="1:9">
      <c r="A99" s="20"/>
      <c r="B99" s="43" t="s">
        <v>53</v>
      </c>
      <c r="C99" s="39"/>
      <c r="D99" s="49"/>
      <c r="E99" s="39">
        <v>1</v>
      </c>
      <c r="F99" s="39"/>
      <c r="G99" s="39"/>
      <c r="H99" s="39"/>
      <c r="I99" s="23">
        <f>SUM(I91:I98)</f>
        <v>20096.19742</v>
      </c>
    </row>
    <row r="100" spans="1:9" ht="15.75" customHeight="1">
      <c r="A100" s="20"/>
      <c r="B100" s="47" t="s">
        <v>80</v>
      </c>
      <c r="C100" s="12"/>
      <c r="D100" s="12"/>
      <c r="E100" s="40"/>
      <c r="F100" s="40"/>
      <c r="G100" s="41"/>
      <c r="H100" s="41"/>
      <c r="I100" s="13">
        <v>0</v>
      </c>
    </row>
    <row r="101" spans="1:9" ht="15.75" customHeight="1">
      <c r="A101" s="50"/>
      <c r="B101" s="44" t="s">
        <v>158</v>
      </c>
      <c r="C101" s="28"/>
      <c r="D101" s="28"/>
      <c r="E101" s="28"/>
      <c r="F101" s="28"/>
      <c r="G101" s="28"/>
      <c r="H101" s="28"/>
      <c r="I101" s="42">
        <f>I89+I99</f>
        <v>103143.79754866664</v>
      </c>
    </row>
    <row r="102" spans="1:9" ht="15.75">
      <c r="A102" s="183" t="s">
        <v>227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 customHeight="1">
      <c r="A103" s="56"/>
      <c r="B103" s="184" t="s">
        <v>228</v>
      </c>
      <c r="C103" s="184"/>
      <c r="D103" s="184"/>
      <c r="E103" s="184"/>
      <c r="F103" s="184"/>
      <c r="G103" s="184"/>
      <c r="H103" s="59"/>
      <c r="I103" s="2"/>
    </row>
    <row r="104" spans="1:9" ht="15.75" customHeight="1">
      <c r="A104" s="109"/>
      <c r="B104" s="171" t="s">
        <v>6</v>
      </c>
      <c r="C104" s="171"/>
      <c r="D104" s="171"/>
      <c r="E104" s="171"/>
      <c r="F104" s="171"/>
      <c r="G104" s="171"/>
      <c r="H104" s="15"/>
      <c r="I104" s="4"/>
    </row>
    <row r="105" spans="1:9" ht="15.7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 customHeight="1">
      <c r="A106" s="185" t="s">
        <v>7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 customHeight="1">
      <c r="A107" s="185" t="s">
        <v>8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>
      <c r="A108" s="175" t="s">
        <v>62</v>
      </c>
      <c r="B108" s="175"/>
      <c r="C108" s="175"/>
      <c r="D108" s="175"/>
      <c r="E108" s="175"/>
      <c r="F108" s="175"/>
      <c r="G108" s="175"/>
      <c r="H108" s="175"/>
      <c r="I108" s="175"/>
    </row>
    <row r="109" spans="1:9" ht="15.75" customHeight="1">
      <c r="A109" s="8"/>
    </row>
    <row r="110" spans="1:9" ht="15.75">
      <c r="A110" s="169" t="s">
        <v>9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15.75" customHeight="1">
      <c r="A111" s="3"/>
    </row>
    <row r="112" spans="1:9" ht="15.75">
      <c r="B112" s="106" t="s">
        <v>10</v>
      </c>
      <c r="C112" s="170" t="s">
        <v>124</v>
      </c>
      <c r="D112" s="170"/>
      <c r="E112" s="170"/>
      <c r="F112" s="57"/>
      <c r="I112" s="108"/>
    </row>
    <row r="113" spans="1:9">
      <c r="A113" s="109"/>
      <c r="C113" s="171" t="s">
        <v>11</v>
      </c>
      <c r="D113" s="171"/>
      <c r="E113" s="171"/>
      <c r="F113" s="15"/>
      <c r="I113" s="107" t="s">
        <v>12</v>
      </c>
    </row>
    <row r="114" spans="1:9" ht="15.75">
      <c r="A114" s="16"/>
      <c r="C114" s="9"/>
      <c r="D114" s="9"/>
      <c r="G114" s="9"/>
      <c r="H114" s="9"/>
    </row>
    <row r="115" spans="1:9" ht="15.75" customHeight="1">
      <c r="B115" s="106" t="s">
        <v>13</v>
      </c>
      <c r="C115" s="172"/>
      <c r="D115" s="172"/>
      <c r="E115" s="172"/>
      <c r="F115" s="58"/>
      <c r="I115" s="108"/>
    </row>
    <row r="116" spans="1:9" ht="15.75" customHeight="1">
      <c r="A116" s="109"/>
      <c r="C116" s="173" t="s">
        <v>11</v>
      </c>
      <c r="D116" s="173"/>
      <c r="E116" s="173"/>
      <c r="F116" s="109"/>
      <c r="I116" s="107" t="s">
        <v>12</v>
      </c>
    </row>
    <row r="117" spans="1:9" ht="15.75" customHeight="1">
      <c r="A117" s="3" t="s">
        <v>14</v>
      </c>
    </row>
    <row r="118" spans="1:9">
      <c r="A118" s="174" t="s">
        <v>15</v>
      </c>
      <c r="B118" s="174"/>
      <c r="C118" s="174"/>
      <c r="D118" s="174"/>
      <c r="E118" s="174"/>
      <c r="F118" s="174"/>
      <c r="G118" s="174"/>
      <c r="H118" s="174"/>
      <c r="I118" s="174"/>
    </row>
    <row r="119" spans="1:9" ht="45" customHeight="1">
      <c r="A119" s="168" t="s">
        <v>16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0" customHeight="1">
      <c r="A120" s="168" t="s">
        <v>17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30" customHeight="1">
      <c r="A121" s="168" t="s">
        <v>21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15" customHeight="1">
      <c r="A122" s="168" t="s">
        <v>20</v>
      </c>
      <c r="B122" s="168"/>
      <c r="C122" s="168"/>
      <c r="D122" s="168"/>
      <c r="E122" s="168"/>
      <c r="F122" s="168"/>
      <c r="G122" s="168"/>
      <c r="H122" s="168"/>
      <c r="I122" s="168"/>
    </row>
  </sheetData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7:I27"/>
    <mergeCell ref="A45:I45"/>
    <mergeCell ref="A56:I56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3"/>
  <sheetViews>
    <sheetView workbookViewId="0">
      <selection activeCell="B16" sqref="B16:I26"/>
    </sheetView>
  </sheetViews>
  <sheetFormatPr defaultRowHeight="15"/>
  <cols>
    <col min="2" max="2" width="54.7109375" customWidth="1"/>
    <col min="3" max="3" width="18" customWidth="1"/>
    <col min="4" max="4" width="18.28515625" customWidth="1"/>
    <col min="5" max="6" width="0" hidden="1" customWidth="1"/>
    <col min="7" max="7" width="17.42578125" customWidth="1"/>
    <col min="8" max="8" width="0" hidden="1" customWidth="1"/>
    <col min="9" max="9" width="18.425781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169</v>
      </c>
      <c r="B3" s="187"/>
      <c r="C3" s="187"/>
      <c r="D3" s="187"/>
      <c r="E3" s="187"/>
      <c r="F3" s="187"/>
      <c r="G3" s="187"/>
      <c r="H3" s="187"/>
      <c r="I3" s="187"/>
    </row>
    <row r="4" spans="1:9" ht="32.2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197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16"/>
      <c r="C6" s="116"/>
      <c r="D6" s="116"/>
      <c r="E6" s="116"/>
      <c r="F6" s="116"/>
      <c r="G6" s="116"/>
      <c r="H6" s="116"/>
      <c r="I6" s="21">
        <v>43585</v>
      </c>
    </row>
    <row r="7" spans="1:9" ht="15.75">
      <c r="B7" s="115"/>
      <c r="C7" s="115"/>
      <c r="D7" s="115"/>
      <c r="E7" s="2"/>
      <c r="F7" s="2"/>
      <c r="G7" s="2"/>
      <c r="H7" s="2"/>
    </row>
    <row r="8" spans="1:9" ht="81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3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54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/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idden="1">
      <c r="A20" s="20"/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idden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idden="1">
      <c r="A22" s="20"/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/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idden="1">
      <c r="A24" s="20"/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idden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idden="1">
      <c r="A29" s="20"/>
      <c r="B29" s="25" t="s">
        <v>94</v>
      </c>
      <c r="C29" s="37" t="s">
        <v>88</v>
      </c>
      <c r="D29" s="25" t="s">
        <v>138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5" si="2">SUM(F29*G29/1000)</f>
        <v>6.2509574400000005</v>
      </c>
      <c r="I29" s="10">
        <f t="shared" ref="I29:I33" si="3">F29/6*G29</f>
        <v>1041.8262400000001</v>
      </c>
    </row>
    <row r="30" spans="1:9" ht="30" hidden="1">
      <c r="A30" s="20"/>
      <c r="B30" s="25" t="s">
        <v>133</v>
      </c>
      <c r="C30" s="37" t="s">
        <v>88</v>
      </c>
      <c r="D30" s="25" t="s">
        <v>139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idden="1">
      <c r="A31" s="20"/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idden="1">
      <c r="A32" s="20"/>
      <c r="B32" s="25" t="s">
        <v>140</v>
      </c>
      <c r="C32" s="37" t="s">
        <v>41</v>
      </c>
      <c r="D32" s="25" t="s">
        <v>141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idden="1">
      <c r="A33" s="20"/>
      <c r="B33" s="25" t="s">
        <v>93</v>
      </c>
      <c r="C33" s="37" t="s">
        <v>31</v>
      </c>
      <c r="D33" s="25" t="s">
        <v>64</v>
      </c>
      <c r="E33" s="79">
        <f>1/3</f>
        <v>0.33333333333333331</v>
      </c>
      <c r="F33" s="24">
        <f>155/3</f>
        <v>51.666666666666664</v>
      </c>
      <c r="G33" s="24">
        <v>74.349999999999994</v>
      </c>
      <c r="H33" s="77">
        <f t="shared" si="2"/>
        <v>3.841416666666666</v>
      </c>
      <c r="I33" s="10">
        <f t="shared" si="3"/>
        <v>640.23611111111109</v>
      </c>
    </row>
    <row r="34" spans="1:9" hidden="1">
      <c r="A34" s="20"/>
      <c r="B34" s="25" t="s">
        <v>65</v>
      </c>
      <c r="C34" s="37" t="s">
        <v>33</v>
      </c>
      <c r="D34" s="25" t="s">
        <v>67</v>
      </c>
      <c r="E34" s="76"/>
      <c r="F34" s="24">
        <v>2</v>
      </c>
      <c r="G34" s="24">
        <v>250.92</v>
      </c>
      <c r="H34" s="77">
        <f t="shared" si="2"/>
        <v>0.50183999999999995</v>
      </c>
      <c r="I34" s="10">
        <v>0</v>
      </c>
    </row>
    <row r="35" spans="1:9" hidden="1">
      <c r="A35" s="20"/>
      <c r="B35" s="25" t="s">
        <v>66</v>
      </c>
      <c r="C35" s="37" t="s">
        <v>32</v>
      </c>
      <c r="D35" s="25" t="s">
        <v>67</v>
      </c>
      <c r="E35" s="76"/>
      <c r="F35" s="24">
        <v>3</v>
      </c>
      <c r="G35" s="24">
        <v>1490.31</v>
      </c>
      <c r="H35" s="77">
        <f t="shared" si="2"/>
        <v>4.4709300000000001</v>
      </c>
      <c r="I35" s="10">
        <v>0</v>
      </c>
    </row>
    <row r="36" spans="1:9">
      <c r="A36" s="20"/>
      <c r="B36" s="94" t="s">
        <v>5</v>
      </c>
      <c r="C36" s="37"/>
      <c r="D36" s="25"/>
      <c r="E36" s="76"/>
      <c r="F36" s="24"/>
      <c r="G36" s="24"/>
      <c r="H36" s="77" t="s">
        <v>129</v>
      </c>
      <c r="I36" s="10"/>
    </row>
    <row r="37" spans="1:9" hidden="1">
      <c r="A37" s="20">
        <v>8</v>
      </c>
      <c r="B37" s="26" t="s">
        <v>26</v>
      </c>
      <c r="C37" s="37" t="s">
        <v>32</v>
      </c>
      <c r="D37" s="25"/>
      <c r="E37" s="76"/>
      <c r="F37" s="24">
        <v>8</v>
      </c>
      <c r="G37" s="24">
        <v>2003</v>
      </c>
      <c r="H37" s="77">
        <f t="shared" ref="H37:H45" si="4">SUM(F37*G37/1000)</f>
        <v>16.024000000000001</v>
      </c>
      <c r="I37" s="10">
        <f t="shared" ref="I37:I45" si="5">F37/6*G37</f>
        <v>2670.6666666666665</v>
      </c>
    </row>
    <row r="38" spans="1:9">
      <c r="A38" s="20">
        <v>6</v>
      </c>
      <c r="B38" s="26" t="s">
        <v>68</v>
      </c>
      <c r="C38" s="51" t="s">
        <v>29</v>
      </c>
      <c r="D38" s="26" t="s">
        <v>217</v>
      </c>
      <c r="E38" s="27">
        <v>188</v>
      </c>
      <c r="F38" s="27">
        <f>SUM(E38*26/1000)</f>
        <v>4.8879999999999999</v>
      </c>
      <c r="G38" s="27">
        <v>2757.78</v>
      </c>
      <c r="H38" s="77">
        <f t="shared" si="4"/>
        <v>13.48002864</v>
      </c>
      <c r="I38" s="10">
        <f t="shared" si="5"/>
        <v>2246.6714400000001</v>
      </c>
    </row>
    <row r="39" spans="1:9" ht="30.75" customHeight="1">
      <c r="A39" s="20">
        <v>7</v>
      </c>
      <c r="B39" s="25" t="s">
        <v>69</v>
      </c>
      <c r="C39" s="37" t="s">
        <v>29</v>
      </c>
      <c r="D39" s="25" t="s">
        <v>218</v>
      </c>
      <c r="E39" s="24">
        <v>188</v>
      </c>
      <c r="F39" s="27">
        <f>SUM(E39*155/1000)</f>
        <v>29.14</v>
      </c>
      <c r="G39" s="24">
        <v>460.02</v>
      </c>
      <c r="H39" s="77">
        <f t="shared" si="4"/>
        <v>13.404982799999999</v>
      </c>
      <c r="I39" s="10">
        <f t="shared" si="5"/>
        <v>2234.1637999999998</v>
      </c>
    </row>
    <row r="40" spans="1:9" hidden="1">
      <c r="A40" s="20">
        <v>11</v>
      </c>
      <c r="B40" s="25" t="s">
        <v>143</v>
      </c>
      <c r="C40" s="37" t="s">
        <v>144</v>
      </c>
      <c r="D40" s="25"/>
      <c r="E40" s="76"/>
      <c r="F40" s="27">
        <v>50</v>
      </c>
      <c r="G40" s="24">
        <v>213.2</v>
      </c>
      <c r="H40" s="77">
        <f t="shared" si="4"/>
        <v>10.66</v>
      </c>
      <c r="I40" s="10">
        <v>0</v>
      </c>
    </row>
    <row r="41" spans="1:9">
      <c r="A41" s="20">
        <v>8</v>
      </c>
      <c r="B41" s="25" t="s">
        <v>143</v>
      </c>
      <c r="C41" s="37" t="s">
        <v>144</v>
      </c>
      <c r="D41" s="124" t="s">
        <v>198</v>
      </c>
      <c r="E41" s="76"/>
      <c r="F41" s="27"/>
      <c r="G41" s="24">
        <v>213.2</v>
      </c>
      <c r="H41" s="77"/>
      <c r="I41" s="10">
        <f>G41*40</f>
        <v>8528</v>
      </c>
    </row>
    <row r="42" spans="1:9" ht="45">
      <c r="A42" s="20">
        <v>9</v>
      </c>
      <c r="B42" s="25" t="s">
        <v>83</v>
      </c>
      <c r="C42" s="37" t="s">
        <v>88</v>
      </c>
      <c r="D42" s="25" t="s">
        <v>217</v>
      </c>
      <c r="E42" s="24">
        <v>188</v>
      </c>
      <c r="F42" s="27">
        <f>SUM(E42*26/1000)</f>
        <v>4.8879999999999999</v>
      </c>
      <c r="G42" s="24">
        <v>7611.16</v>
      </c>
      <c r="H42" s="77">
        <f t="shared" si="4"/>
        <v>37.20335008</v>
      </c>
      <c r="I42" s="10">
        <f t="shared" si="5"/>
        <v>6200.5583466666667</v>
      </c>
    </row>
    <row r="43" spans="1:9">
      <c r="A43" s="20">
        <v>10</v>
      </c>
      <c r="B43" s="25" t="s">
        <v>89</v>
      </c>
      <c r="C43" s="37" t="s">
        <v>88</v>
      </c>
      <c r="D43" s="25" t="s">
        <v>217</v>
      </c>
      <c r="E43" s="24">
        <v>188</v>
      </c>
      <c r="F43" s="27">
        <f>SUM(E43*24/1000)</f>
        <v>4.5119999999999996</v>
      </c>
      <c r="G43" s="24">
        <v>562.25</v>
      </c>
      <c r="H43" s="77">
        <f t="shared" si="4"/>
        <v>2.5368719999999998</v>
      </c>
      <c r="I43" s="10">
        <f>(F43/7.5*1.5)*G43</f>
        <v>507.37439999999992</v>
      </c>
    </row>
    <row r="44" spans="1:9">
      <c r="A44" s="20">
        <v>11</v>
      </c>
      <c r="B44" s="26" t="s">
        <v>70</v>
      </c>
      <c r="C44" s="51" t="s">
        <v>33</v>
      </c>
      <c r="D44" s="26"/>
      <c r="E44" s="80"/>
      <c r="F44" s="27">
        <v>0.9</v>
      </c>
      <c r="G44" s="27">
        <v>974.83</v>
      </c>
      <c r="H44" s="77">
        <f t="shared" si="4"/>
        <v>0.8773470000000001</v>
      </c>
      <c r="I44" s="10">
        <f>(F44/7.5*1.5)*G44</f>
        <v>175.46940000000004</v>
      </c>
    </row>
    <row r="45" spans="1:9" ht="30">
      <c r="A45" s="20">
        <v>12</v>
      </c>
      <c r="B45" s="68" t="s">
        <v>146</v>
      </c>
      <c r="C45" s="55" t="s">
        <v>29</v>
      </c>
      <c r="D45" s="26" t="s">
        <v>219</v>
      </c>
      <c r="E45" s="80">
        <v>2.4</v>
      </c>
      <c r="F45" s="27">
        <f>SUM(E45*12/1000)</f>
        <v>2.8799999999999996E-2</v>
      </c>
      <c r="G45" s="27">
        <v>260.2</v>
      </c>
      <c r="H45" s="77">
        <f t="shared" si="4"/>
        <v>7.4937599999999986E-3</v>
      </c>
      <c r="I45" s="10">
        <f t="shared" si="5"/>
        <v>1.2489599999999998</v>
      </c>
    </row>
    <row r="46" spans="1:9" hidden="1">
      <c r="A46" s="177" t="s">
        <v>122</v>
      </c>
      <c r="B46" s="178"/>
      <c r="C46" s="178"/>
      <c r="D46" s="178"/>
      <c r="E46" s="178"/>
      <c r="F46" s="178"/>
      <c r="G46" s="178"/>
      <c r="H46" s="178"/>
      <c r="I46" s="179"/>
    </row>
    <row r="47" spans="1:9" hidden="1">
      <c r="A47" s="20"/>
      <c r="B47" s="25" t="s">
        <v>130</v>
      </c>
      <c r="C47" s="37" t="s">
        <v>88</v>
      </c>
      <c r="D47" s="25" t="s">
        <v>43</v>
      </c>
      <c r="E47" s="76">
        <v>1609.3</v>
      </c>
      <c r="F47" s="24">
        <f>SUM(E47*2/1000)</f>
        <v>3.2185999999999999</v>
      </c>
      <c r="G47" s="29">
        <v>1193.71</v>
      </c>
      <c r="H47" s="77">
        <f t="shared" ref="H47:H56" si="6">SUM(F47*G47/1000)</f>
        <v>3.842075006</v>
      </c>
      <c r="I47" s="10">
        <f t="shared" ref="I47:I55" si="7">F47/2*G47</f>
        <v>1921.037503</v>
      </c>
    </row>
    <row r="48" spans="1:9" hidden="1">
      <c r="A48" s="20"/>
      <c r="B48" s="25" t="s">
        <v>36</v>
      </c>
      <c r="C48" s="37" t="s">
        <v>88</v>
      </c>
      <c r="D48" s="25" t="s">
        <v>43</v>
      </c>
      <c r="E48" s="76">
        <v>104</v>
      </c>
      <c r="F48" s="24">
        <f>SUM(E48*2/1000)</f>
        <v>0.20799999999999999</v>
      </c>
      <c r="G48" s="29">
        <v>4419.05</v>
      </c>
      <c r="H48" s="77">
        <f t="shared" si="6"/>
        <v>0.91916240000000005</v>
      </c>
      <c r="I48" s="10">
        <f t="shared" si="7"/>
        <v>459.58120000000002</v>
      </c>
    </row>
    <row r="49" spans="1:9" hidden="1">
      <c r="A49" s="20"/>
      <c r="B49" s="25" t="s">
        <v>37</v>
      </c>
      <c r="C49" s="37" t="s">
        <v>88</v>
      </c>
      <c r="D49" s="25" t="s">
        <v>43</v>
      </c>
      <c r="E49" s="76">
        <v>1996.87</v>
      </c>
      <c r="F49" s="24">
        <f>SUM(E49*2/1000)</f>
        <v>3.9937399999999998</v>
      </c>
      <c r="G49" s="29">
        <v>1803.69</v>
      </c>
      <c r="H49" s="77">
        <f t="shared" si="6"/>
        <v>7.2034689005999999</v>
      </c>
      <c r="I49" s="10">
        <f t="shared" si="7"/>
        <v>3601.7344502999999</v>
      </c>
    </row>
    <row r="50" spans="1:9" hidden="1">
      <c r="A50" s="20"/>
      <c r="B50" s="25" t="s">
        <v>38</v>
      </c>
      <c r="C50" s="37" t="s">
        <v>88</v>
      </c>
      <c r="D50" s="25" t="s">
        <v>43</v>
      </c>
      <c r="E50" s="76">
        <v>2654.21</v>
      </c>
      <c r="F50" s="24">
        <f>SUM(E50*2/1000)</f>
        <v>5.3084199999999999</v>
      </c>
      <c r="G50" s="29">
        <v>1243.43</v>
      </c>
      <c r="H50" s="77">
        <f t="shared" si="6"/>
        <v>6.6006486806</v>
      </c>
      <c r="I50" s="10">
        <f t="shared" si="7"/>
        <v>3300.3243403000001</v>
      </c>
    </row>
    <row r="51" spans="1:9" hidden="1">
      <c r="A51" s="20"/>
      <c r="B51" s="25" t="s">
        <v>34</v>
      </c>
      <c r="C51" s="37" t="s">
        <v>35</v>
      </c>
      <c r="D51" s="25" t="s">
        <v>43</v>
      </c>
      <c r="E51" s="76">
        <v>128.53</v>
      </c>
      <c r="F51" s="24">
        <f>SUM(E51*2/100)</f>
        <v>2.5706000000000002</v>
      </c>
      <c r="G51" s="29">
        <v>1352.76</v>
      </c>
      <c r="H51" s="77">
        <f t="shared" si="6"/>
        <v>3.4774048560000002</v>
      </c>
      <c r="I51" s="10">
        <f t="shared" si="7"/>
        <v>1738.7024280000001</v>
      </c>
    </row>
    <row r="52" spans="1:9" hidden="1">
      <c r="A52" s="20">
        <v>15</v>
      </c>
      <c r="B52" s="25" t="s">
        <v>57</v>
      </c>
      <c r="C52" s="37" t="s">
        <v>88</v>
      </c>
      <c r="D52" s="25" t="s">
        <v>134</v>
      </c>
      <c r="E52" s="76">
        <v>4394.8999999999996</v>
      </c>
      <c r="F52" s="24">
        <f>SUM(E52*5/1000)</f>
        <v>21.974499999999999</v>
      </c>
      <c r="G52" s="29">
        <v>1803.69</v>
      </c>
      <c r="H52" s="77">
        <f t="shared" si="6"/>
        <v>39.635185905</v>
      </c>
      <c r="I52" s="10">
        <f>F52/5*G52</f>
        <v>7927.0371809999997</v>
      </c>
    </row>
    <row r="53" spans="1:9" ht="30" hidden="1">
      <c r="A53" s="20"/>
      <c r="B53" s="25" t="s">
        <v>90</v>
      </c>
      <c r="C53" s="37" t="s">
        <v>88</v>
      </c>
      <c r="D53" s="25" t="s">
        <v>43</v>
      </c>
      <c r="E53" s="76">
        <v>4394.8999999999996</v>
      </c>
      <c r="F53" s="24">
        <f>SUM(E53*2/1000)</f>
        <v>8.7897999999999996</v>
      </c>
      <c r="G53" s="29">
        <v>1591.6</v>
      </c>
      <c r="H53" s="77">
        <f t="shared" si="6"/>
        <v>13.989845679999998</v>
      </c>
      <c r="I53" s="10">
        <f t="shared" si="7"/>
        <v>6994.9228399999993</v>
      </c>
    </row>
    <row r="54" spans="1:9" ht="30" hidden="1">
      <c r="A54" s="20"/>
      <c r="B54" s="25" t="s">
        <v>91</v>
      </c>
      <c r="C54" s="37" t="s">
        <v>39</v>
      </c>
      <c r="D54" s="25" t="s">
        <v>43</v>
      </c>
      <c r="E54" s="76">
        <v>40</v>
      </c>
      <c r="F54" s="24">
        <f>SUM(E54*2/100)</f>
        <v>0.8</v>
      </c>
      <c r="G54" s="29">
        <v>4058.32</v>
      </c>
      <c r="H54" s="77">
        <f t="shared" si="6"/>
        <v>3.2466560000000002</v>
      </c>
      <c r="I54" s="10">
        <f t="shared" si="7"/>
        <v>1623.3280000000002</v>
      </c>
    </row>
    <row r="55" spans="1:9" hidden="1">
      <c r="A55" s="20"/>
      <c r="B55" s="25" t="s">
        <v>40</v>
      </c>
      <c r="C55" s="37" t="s">
        <v>41</v>
      </c>
      <c r="D55" s="25" t="s">
        <v>43</v>
      </c>
      <c r="E55" s="76">
        <v>1</v>
      </c>
      <c r="F55" s="24">
        <v>0.02</v>
      </c>
      <c r="G55" s="29">
        <v>7412.92</v>
      </c>
      <c r="H55" s="77">
        <f t="shared" si="6"/>
        <v>0.14825839999999998</v>
      </c>
      <c r="I55" s="10">
        <f t="shared" si="7"/>
        <v>74.129199999999997</v>
      </c>
    </row>
    <row r="56" spans="1:9" hidden="1">
      <c r="A56" s="20">
        <v>16</v>
      </c>
      <c r="B56" s="25" t="s">
        <v>42</v>
      </c>
      <c r="C56" s="37" t="s">
        <v>95</v>
      </c>
      <c r="D56" s="25" t="s">
        <v>71</v>
      </c>
      <c r="E56" s="76">
        <v>160</v>
      </c>
      <c r="F56" s="24">
        <f>SUM(E56)*3</f>
        <v>480</v>
      </c>
      <c r="G56" s="30">
        <v>86.15</v>
      </c>
      <c r="H56" s="77">
        <f t="shared" si="6"/>
        <v>41.351999999999997</v>
      </c>
      <c r="I56" s="10">
        <f>F56/3*G56</f>
        <v>13784</v>
      </c>
    </row>
    <row r="57" spans="1:9">
      <c r="A57" s="177" t="s">
        <v>126</v>
      </c>
      <c r="B57" s="178"/>
      <c r="C57" s="178"/>
      <c r="D57" s="178"/>
      <c r="E57" s="178"/>
      <c r="F57" s="178"/>
      <c r="G57" s="178"/>
      <c r="H57" s="178"/>
      <c r="I57" s="179"/>
    </row>
    <row r="58" spans="1:9" hidden="1">
      <c r="A58" s="20"/>
      <c r="B58" s="94" t="s">
        <v>44</v>
      </c>
      <c r="C58" s="37"/>
      <c r="D58" s="25"/>
      <c r="E58" s="76"/>
      <c r="F58" s="24"/>
      <c r="G58" s="24"/>
      <c r="H58" s="77"/>
      <c r="I58" s="10"/>
    </row>
    <row r="59" spans="1:9" ht="33.75" customHeight="1">
      <c r="A59" s="20">
        <v>13</v>
      </c>
      <c r="B59" s="25" t="s">
        <v>131</v>
      </c>
      <c r="C59" s="37" t="s">
        <v>86</v>
      </c>
      <c r="D59" s="25"/>
      <c r="E59" s="76">
        <v>160</v>
      </c>
      <c r="F59" s="24">
        <f>SUM(E59*6/100)</f>
        <v>9.6</v>
      </c>
      <c r="G59" s="29">
        <v>2029.3</v>
      </c>
      <c r="H59" s="77">
        <f>SUM(F59*G59/1000)</f>
        <v>19.481279999999998</v>
      </c>
      <c r="I59" s="10">
        <f>G59*0.16</f>
        <v>324.68799999999999</v>
      </c>
    </row>
    <row r="60" spans="1:9" ht="16.5" hidden="1" customHeight="1">
      <c r="A60" s="20">
        <v>18</v>
      </c>
      <c r="B60" s="25" t="s">
        <v>148</v>
      </c>
      <c r="C60" s="37" t="s">
        <v>149</v>
      </c>
      <c r="D60" s="25" t="s">
        <v>67</v>
      </c>
      <c r="E60" s="76"/>
      <c r="F60" s="24">
        <v>3</v>
      </c>
      <c r="G60" s="29">
        <v>1582.05</v>
      </c>
      <c r="H60" s="77">
        <f>SUM(F60*G60/1000)</f>
        <v>4.7461499999999992</v>
      </c>
      <c r="I60" s="10">
        <f>G60*(1.5+1+1.5)</f>
        <v>6328.2</v>
      </c>
    </row>
    <row r="61" spans="1:9">
      <c r="A61" s="20"/>
      <c r="B61" s="94" t="s">
        <v>45</v>
      </c>
      <c r="C61" s="37"/>
      <c r="D61" s="25"/>
      <c r="E61" s="76"/>
      <c r="F61" s="24"/>
      <c r="G61" s="96"/>
      <c r="H61" s="77"/>
      <c r="I61" s="10"/>
    </row>
    <row r="62" spans="1:9" hidden="1">
      <c r="A62" s="20"/>
      <c r="B62" s="25" t="s">
        <v>46</v>
      </c>
      <c r="C62" s="37" t="s">
        <v>86</v>
      </c>
      <c r="D62" s="25" t="s">
        <v>55</v>
      </c>
      <c r="E62" s="76">
        <v>206</v>
      </c>
      <c r="F62" s="24">
        <f>SUM(E62/100)</f>
        <v>2.06</v>
      </c>
      <c r="G62" s="24">
        <v>1040.8399999999999</v>
      </c>
      <c r="H62" s="77">
        <f>F62*G62/1000</f>
        <v>2.1441303999999999</v>
      </c>
      <c r="I62" s="10">
        <v>0</v>
      </c>
    </row>
    <row r="63" spans="1:9">
      <c r="A63" s="20">
        <v>14</v>
      </c>
      <c r="B63" s="25" t="s">
        <v>120</v>
      </c>
      <c r="C63" s="37" t="s">
        <v>25</v>
      </c>
      <c r="D63" s="25" t="s">
        <v>220</v>
      </c>
      <c r="E63" s="76">
        <v>200</v>
      </c>
      <c r="F63" s="24">
        <f>E63*12</f>
        <v>2400</v>
      </c>
      <c r="G63" s="54">
        <v>1.4</v>
      </c>
      <c r="H63" s="77">
        <f>F63*G63/1000</f>
        <v>3.36</v>
      </c>
      <c r="I63" s="10">
        <f>F63/12*G63</f>
        <v>280</v>
      </c>
    </row>
    <row r="64" spans="1:9" hidden="1">
      <c r="A64" s="20"/>
      <c r="B64" s="95" t="s">
        <v>47</v>
      </c>
      <c r="C64" s="82"/>
      <c r="D64" s="83"/>
      <c r="E64" s="84"/>
      <c r="F64" s="85"/>
      <c r="G64" s="85"/>
      <c r="H64" s="86" t="s">
        <v>129</v>
      </c>
      <c r="I64" s="10"/>
    </row>
    <row r="65" spans="1:9" hidden="1">
      <c r="A65" s="20">
        <v>18</v>
      </c>
      <c r="B65" s="52" t="s">
        <v>48</v>
      </c>
      <c r="C65" s="33" t="s">
        <v>95</v>
      </c>
      <c r="D65" s="25" t="s">
        <v>67</v>
      </c>
      <c r="E65" s="13">
        <v>10</v>
      </c>
      <c r="F65" s="24">
        <f>SUM(E65)</f>
        <v>10</v>
      </c>
      <c r="G65" s="29">
        <v>291.68</v>
      </c>
      <c r="H65" s="66">
        <f t="shared" ref="H65:H89" si="8">SUM(F65*G65/1000)</f>
        <v>2.9168000000000003</v>
      </c>
      <c r="I65" s="10">
        <f>G65*3</f>
        <v>875.04</v>
      </c>
    </row>
    <row r="66" spans="1:9" hidden="1">
      <c r="A66" s="20"/>
      <c r="B66" s="52" t="s">
        <v>49</v>
      </c>
      <c r="C66" s="33" t="s">
        <v>95</v>
      </c>
      <c r="D66" s="25" t="s">
        <v>67</v>
      </c>
      <c r="E66" s="13">
        <v>5</v>
      </c>
      <c r="F66" s="24">
        <f>SUM(E66)</f>
        <v>5</v>
      </c>
      <c r="G66" s="29">
        <v>100.01</v>
      </c>
      <c r="H66" s="66">
        <f t="shared" si="8"/>
        <v>0.50004999999999999</v>
      </c>
      <c r="I66" s="10">
        <v>0</v>
      </c>
    </row>
    <row r="67" spans="1:9" hidden="1">
      <c r="A67" s="20"/>
      <c r="B67" s="52" t="s">
        <v>50</v>
      </c>
      <c r="C67" s="35" t="s">
        <v>96</v>
      </c>
      <c r="D67" s="32" t="s">
        <v>55</v>
      </c>
      <c r="E67" s="76">
        <v>24063</v>
      </c>
      <c r="F67" s="30">
        <f>SUM(E67/100)</f>
        <v>240.63</v>
      </c>
      <c r="G67" s="29">
        <v>278.24</v>
      </c>
      <c r="H67" s="66">
        <f t="shared" si="8"/>
        <v>66.952891199999996</v>
      </c>
      <c r="I67" s="10">
        <f>F67*G67</f>
        <v>66952.891199999998</v>
      </c>
    </row>
    <row r="68" spans="1:9" hidden="1">
      <c r="A68" s="20"/>
      <c r="B68" s="52" t="s">
        <v>51</v>
      </c>
      <c r="C68" s="33" t="s">
        <v>97</v>
      </c>
      <c r="D68" s="32" t="s">
        <v>55</v>
      </c>
      <c r="E68" s="76">
        <v>24063</v>
      </c>
      <c r="F68" s="29">
        <f>SUM(E68/1000)</f>
        <v>24.062999999999999</v>
      </c>
      <c r="G68" s="29">
        <v>216.68</v>
      </c>
      <c r="H68" s="66">
        <f t="shared" si="8"/>
        <v>5.21397084</v>
      </c>
      <c r="I68" s="10">
        <f t="shared" ref="I68:I72" si="9">F68*G68</f>
        <v>5213.97084</v>
      </c>
    </row>
    <row r="69" spans="1:9" hidden="1">
      <c r="A69" s="20"/>
      <c r="B69" s="52" t="s">
        <v>52</v>
      </c>
      <c r="C69" s="33" t="s">
        <v>78</v>
      </c>
      <c r="D69" s="32" t="s">
        <v>55</v>
      </c>
      <c r="E69" s="76">
        <v>1300</v>
      </c>
      <c r="F69" s="29">
        <f>SUM(E69/100)</f>
        <v>13</v>
      </c>
      <c r="G69" s="29">
        <v>2720.94</v>
      </c>
      <c r="H69" s="66">
        <f t="shared" si="8"/>
        <v>35.372219999999999</v>
      </c>
      <c r="I69" s="10">
        <f t="shared" si="9"/>
        <v>35372.22</v>
      </c>
    </row>
    <row r="70" spans="1:9" hidden="1">
      <c r="A70" s="20"/>
      <c r="B70" s="48" t="s">
        <v>72</v>
      </c>
      <c r="C70" s="33" t="s">
        <v>33</v>
      </c>
      <c r="D70" s="32"/>
      <c r="E70" s="76">
        <v>10.4</v>
      </c>
      <c r="F70" s="29">
        <f>SUM(E70)</f>
        <v>10.4</v>
      </c>
      <c r="G70" s="29">
        <v>42.61</v>
      </c>
      <c r="H70" s="66">
        <f t="shared" si="8"/>
        <v>0.44314399999999998</v>
      </c>
      <c r="I70" s="10">
        <f t="shared" si="9"/>
        <v>443.14400000000001</v>
      </c>
    </row>
    <row r="71" spans="1:9" ht="30" hidden="1">
      <c r="A71" s="20"/>
      <c r="B71" s="48" t="s">
        <v>73</v>
      </c>
      <c r="C71" s="33" t="s">
        <v>33</v>
      </c>
      <c r="D71" s="32"/>
      <c r="E71" s="76">
        <v>10.4</v>
      </c>
      <c r="F71" s="29">
        <f>SUM(E71)</f>
        <v>10.4</v>
      </c>
      <c r="G71" s="29">
        <v>46.04</v>
      </c>
      <c r="H71" s="66">
        <f t="shared" si="8"/>
        <v>0.47881600000000002</v>
      </c>
      <c r="I71" s="10">
        <f t="shared" si="9"/>
        <v>478.81600000000003</v>
      </c>
    </row>
    <row r="72" spans="1:9" hidden="1">
      <c r="A72" s="20"/>
      <c r="B72" s="32" t="s">
        <v>58</v>
      </c>
      <c r="C72" s="33" t="s">
        <v>59</v>
      </c>
      <c r="D72" s="32" t="s">
        <v>55</v>
      </c>
      <c r="E72" s="13">
        <v>5</v>
      </c>
      <c r="F72" s="24">
        <f>SUM(E72)</f>
        <v>5</v>
      </c>
      <c r="G72" s="29">
        <v>65.42</v>
      </c>
      <c r="H72" s="66">
        <f t="shared" si="8"/>
        <v>0.3271</v>
      </c>
      <c r="I72" s="10">
        <f t="shared" si="9"/>
        <v>327.10000000000002</v>
      </c>
    </row>
    <row r="73" spans="1:9" hidden="1">
      <c r="A73" s="20"/>
      <c r="B73" s="45" t="s">
        <v>74</v>
      </c>
      <c r="C73" s="33"/>
      <c r="D73" s="32"/>
      <c r="E73" s="13"/>
      <c r="F73" s="29"/>
      <c r="G73" s="29"/>
      <c r="H73" s="66" t="s">
        <v>129</v>
      </c>
      <c r="I73" s="10"/>
    </row>
    <row r="74" spans="1:9" hidden="1">
      <c r="A74" s="20"/>
      <c r="B74" s="32" t="s">
        <v>150</v>
      </c>
      <c r="C74" s="33" t="s">
        <v>95</v>
      </c>
      <c r="D74" s="25" t="s">
        <v>67</v>
      </c>
      <c r="E74" s="13">
        <v>1</v>
      </c>
      <c r="F74" s="29">
        <v>1</v>
      </c>
      <c r="G74" s="29">
        <v>1029.1199999999999</v>
      </c>
      <c r="H74" s="66">
        <f t="shared" ref="H74:H77" si="10">SUM(F74*G74/1000)</f>
        <v>1.0291199999999998</v>
      </c>
      <c r="I74" s="10">
        <v>0</v>
      </c>
    </row>
    <row r="75" spans="1:9" hidden="1">
      <c r="A75" s="20"/>
      <c r="B75" s="32" t="s">
        <v>151</v>
      </c>
      <c r="C75" s="33" t="s">
        <v>152</v>
      </c>
      <c r="D75" s="32"/>
      <c r="E75" s="13">
        <v>1</v>
      </c>
      <c r="F75" s="29">
        <f>E75</f>
        <v>1</v>
      </c>
      <c r="G75" s="29">
        <v>735</v>
      </c>
      <c r="H75" s="66">
        <f t="shared" si="10"/>
        <v>0.73499999999999999</v>
      </c>
      <c r="I75" s="10">
        <v>0</v>
      </c>
    </row>
    <row r="76" spans="1:9" hidden="1">
      <c r="A76" s="20">
        <v>19</v>
      </c>
      <c r="B76" s="32" t="s">
        <v>75</v>
      </c>
      <c r="C76" s="33" t="s">
        <v>76</v>
      </c>
      <c r="D76" s="25" t="s">
        <v>67</v>
      </c>
      <c r="E76" s="13">
        <v>7</v>
      </c>
      <c r="F76" s="29">
        <f>E76/10</f>
        <v>0.7</v>
      </c>
      <c r="G76" s="29">
        <v>657.87</v>
      </c>
      <c r="H76" s="66">
        <f t="shared" si="10"/>
        <v>0.46050899999999995</v>
      </c>
      <c r="I76" s="10">
        <f>G76*0.9</f>
        <v>592.08299999999997</v>
      </c>
    </row>
    <row r="77" spans="1:9" hidden="1">
      <c r="A77" s="20"/>
      <c r="B77" s="32" t="s">
        <v>116</v>
      </c>
      <c r="C77" s="33" t="s">
        <v>95</v>
      </c>
      <c r="D77" s="25" t="s">
        <v>67</v>
      </c>
      <c r="E77" s="13">
        <v>1</v>
      </c>
      <c r="F77" s="24">
        <f>SUM(E77)</f>
        <v>1</v>
      </c>
      <c r="G77" s="29">
        <v>1118.72</v>
      </c>
      <c r="H77" s="66">
        <f t="shared" si="10"/>
        <v>1.1187199999999999</v>
      </c>
      <c r="I77" s="10">
        <v>0</v>
      </c>
    </row>
    <row r="78" spans="1:9" hidden="1">
      <c r="A78" s="20"/>
      <c r="B78" s="68" t="s">
        <v>153</v>
      </c>
      <c r="C78" s="55" t="s">
        <v>95</v>
      </c>
      <c r="D78" s="25" t="s">
        <v>67</v>
      </c>
      <c r="E78" s="13">
        <v>1</v>
      </c>
      <c r="F78" s="54">
        <v>1</v>
      </c>
      <c r="G78" s="29">
        <v>1605.83</v>
      </c>
      <c r="H78" s="66">
        <f>SUM(F78*G78/1000)</f>
        <v>1.6058299999999999</v>
      </c>
      <c r="I78" s="10">
        <v>0</v>
      </c>
    </row>
    <row r="79" spans="1:9" ht="30" hidden="1">
      <c r="A79" s="20">
        <v>19</v>
      </c>
      <c r="B79" s="68" t="s">
        <v>154</v>
      </c>
      <c r="C79" s="55" t="s">
        <v>95</v>
      </c>
      <c r="D79" s="32" t="s">
        <v>30</v>
      </c>
      <c r="E79" s="87">
        <v>2</v>
      </c>
      <c r="F79" s="85">
        <f>E79*12</f>
        <v>24</v>
      </c>
      <c r="G79" s="88">
        <v>53.42</v>
      </c>
      <c r="H79" s="66">
        <f t="shared" ref="H79:H80" si="11">SUM(F79*G79/1000)</f>
        <v>1.2820799999999999</v>
      </c>
      <c r="I79" s="10">
        <f>F79/12*G79</f>
        <v>106.84</v>
      </c>
    </row>
    <row r="80" spans="1:9" hidden="1">
      <c r="A80" s="20">
        <v>20</v>
      </c>
      <c r="B80" s="62" t="s">
        <v>117</v>
      </c>
      <c r="C80" s="33"/>
      <c r="D80" s="32" t="s">
        <v>30</v>
      </c>
      <c r="E80" s="13">
        <v>1</v>
      </c>
      <c r="F80" s="29">
        <v>12</v>
      </c>
      <c r="G80" s="29">
        <v>1194</v>
      </c>
      <c r="H80" s="66">
        <f t="shared" si="11"/>
        <v>14.327999999999999</v>
      </c>
      <c r="I80" s="10">
        <f>F80/12*G80</f>
        <v>1194</v>
      </c>
    </row>
    <row r="81" spans="1:9" hidden="1">
      <c r="A81" s="20"/>
      <c r="B81" s="122" t="s">
        <v>47</v>
      </c>
      <c r="C81" s="119"/>
      <c r="D81" s="120"/>
      <c r="E81" s="13"/>
      <c r="F81" s="29"/>
      <c r="G81" s="29"/>
      <c r="H81" s="66"/>
      <c r="I81" s="10"/>
    </row>
    <row r="82" spans="1:9" ht="18" hidden="1" customHeight="1">
      <c r="A82" s="20"/>
      <c r="B82" s="52" t="s">
        <v>48</v>
      </c>
      <c r="C82" s="33" t="s">
        <v>95</v>
      </c>
      <c r="D82" s="32" t="s">
        <v>67</v>
      </c>
      <c r="E82" s="13"/>
      <c r="F82" s="29"/>
      <c r="G82" s="29">
        <v>291.68</v>
      </c>
      <c r="H82" s="66"/>
      <c r="I82" s="10">
        <f>G82*1</f>
        <v>291.68</v>
      </c>
    </row>
    <row r="83" spans="1:9" ht="18" customHeight="1">
      <c r="A83" s="20"/>
      <c r="B83" s="45" t="s">
        <v>74</v>
      </c>
      <c r="C83" s="33"/>
      <c r="D83" s="32"/>
      <c r="E83" s="13"/>
      <c r="F83" s="29"/>
      <c r="G83" s="29"/>
      <c r="H83" s="66"/>
      <c r="I83" s="10"/>
    </row>
    <row r="84" spans="1:9" ht="34.5" customHeight="1">
      <c r="A84" s="20">
        <v>15</v>
      </c>
      <c r="B84" s="68" t="s">
        <v>154</v>
      </c>
      <c r="C84" s="55" t="s">
        <v>95</v>
      </c>
      <c r="D84" s="32" t="s">
        <v>215</v>
      </c>
      <c r="E84" s="13"/>
      <c r="F84" s="29"/>
      <c r="G84" s="88">
        <v>53.42</v>
      </c>
      <c r="H84" s="66"/>
      <c r="I84" s="10">
        <f>G84*2</f>
        <v>106.84</v>
      </c>
    </row>
    <row r="85" spans="1:9" ht="18" customHeight="1">
      <c r="A85" s="20">
        <v>16</v>
      </c>
      <c r="B85" s="62" t="s">
        <v>117</v>
      </c>
      <c r="C85" s="33"/>
      <c r="D85" s="32" t="s">
        <v>215</v>
      </c>
      <c r="E85" s="13"/>
      <c r="F85" s="29"/>
      <c r="G85" s="29">
        <v>1194</v>
      </c>
      <c r="H85" s="66"/>
      <c r="I85" s="10">
        <f>G85*1</f>
        <v>1194</v>
      </c>
    </row>
    <row r="86" spans="1:9">
      <c r="A86" s="20"/>
      <c r="B86" s="97" t="s">
        <v>155</v>
      </c>
      <c r="C86" s="55"/>
      <c r="D86" s="32"/>
      <c r="E86" s="13"/>
      <c r="F86" s="29"/>
      <c r="G86" s="29"/>
      <c r="H86" s="66"/>
      <c r="I86" s="10"/>
    </row>
    <row r="87" spans="1:9">
      <c r="A87" s="20">
        <v>17</v>
      </c>
      <c r="B87" s="32" t="s">
        <v>156</v>
      </c>
      <c r="C87" s="38" t="s">
        <v>157</v>
      </c>
      <c r="D87" s="25"/>
      <c r="E87" s="13">
        <v>4394.8999999999996</v>
      </c>
      <c r="F87" s="29">
        <f>SUM(E87*12)</f>
        <v>52738.799999999996</v>
      </c>
      <c r="G87" s="29">
        <v>2.2799999999999998</v>
      </c>
      <c r="H87" s="66">
        <f t="shared" ref="H87" si="12">SUM(F87*G87/1000)</f>
        <v>120.24446399999998</v>
      </c>
      <c r="I87" s="10">
        <f>F87/12*G87</f>
        <v>10020.371999999998</v>
      </c>
    </row>
    <row r="88" spans="1:9" hidden="1">
      <c r="A88" s="20"/>
      <c r="B88" s="46" t="s">
        <v>77</v>
      </c>
      <c r="C88" s="33"/>
      <c r="D88" s="32"/>
      <c r="E88" s="13"/>
      <c r="F88" s="29"/>
      <c r="G88" s="29" t="s">
        <v>129</v>
      </c>
      <c r="H88" s="66" t="s">
        <v>129</v>
      </c>
      <c r="I88" s="10"/>
    </row>
    <row r="89" spans="1:9" hidden="1">
      <c r="A89" s="20"/>
      <c r="B89" s="34" t="s">
        <v>100</v>
      </c>
      <c r="C89" s="35" t="s">
        <v>78</v>
      </c>
      <c r="D89" s="52"/>
      <c r="E89" s="89"/>
      <c r="F89" s="30">
        <v>0.6</v>
      </c>
      <c r="G89" s="30">
        <v>3619.09</v>
      </c>
      <c r="H89" s="66">
        <f t="shared" si="8"/>
        <v>2.1714540000000002</v>
      </c>
      <c r="I89" s="10">
        <v>0</v>
      </c>
    </row>
    <row r="90" spans="1:9" hidden="1">
      <c r="A90" s="20"/>
      <c r="B90" s="117" t="s">
        <v>92</v>
      </c>
      <c r="C90" s="64"/>
      <c r="D90" s="22"/>
      <c r="E90" s="23"/>
      <c r="F90" s="61"/>
      <c r="G90" s="61"/>
      <c r="H90" s="90">
        <f>SUM(H59:H89)</f>
        <v>284.91172943999999</v>
      </c>
      <c r="I90" s="10"/>
    </row>
    <row r="91" spans="1:9" hidden="1">
      <c r="A91" s="20"/>
      <c r="B91" s="25" t="s">
        <v>98</v>
      </c>
      <c r="C91" s="91"/>
      <c r="D91" s="92"/>
      <c r="E91" s="93"/>
      <c r="F91" s="31">
        <v>1</v>
      </c>
      <c r="G91" s="31">
        <v>18792</v>
      </c>
      <c r="H91" s="66">
        <f>G91*F91/1000</f>
        <v>18.792000000000002</v>
      </c>
      <c r="I91" s="10">
        <v>0</v>
      </c>
    </row>
    <row r="92" spans="1:9">
      <c r="A92" s="177" t="s">
        <v>127</v>
      </c>
      <c r="B92" s="178"/>
      <c r="C92" s="178"/>
      <c r="D92" s="178"/>
      <c r="E92" s="178"/>
      <c r="F92" s="178"/>
      <c r="G92" s="178"/>
      <c r="H92" s="178"/>
      <c r="I92" s="179"/>
    </row>
    <row r="93" spans="1:9">
      <c r="A93" s="20">
        <v>18</v>
      </c>
      <c r="B93" s="25" t="s">
        <v>99</v>
      </c>
      <c r="C93" s="33" t="s">
        <v>56</v>
      </c>
      <c r="D93" s="53"/>
      <c r="E93" s="29">
        <v>4394.8999999999996</v>
      </c>
      <c r="F93" s="29">
        <f>SUM(E93*12)</f>
        <v>52738.799999999996</v>
      </c>
      <c r="G93" s="29">
        <v>3.1</v>
      </c>
      <c r="H93" s="66">
        <f>SUM(F93*G93/1000)</f>
        <v>163.49028000000001</v>
      </c>
      <c r="I93" s="10">
        <f>F93/12*G93</f>
        <v>13624.189999999999</v>
      </c>
    </row>
    <row r="94" spans="1:9" ht="30">
      <c r="A94" s="20">
        <v>19</v>
      </c>
      <c r="B94" s="32" t="s">
        <v>79</v>
      </c>
      <c r="C94" s="33"/>
      <c r="D94" s="53"/>
      <c r="E94" s="76">
        <f>E93</f>
        <v>4394.8999999999996</v>
      </c>
      <c r="F94" s="29">
        <f>E94*12</f>
        <v>52738.799999999996</v>
      </c>
      <c r="G94" s="29">
        <v>3.5</v>
      </c>
      <c r="H94" s="66">
        <f>F94*G94/1000</f>
        <v>184.58579999999998</v>
      </c>
      <c r="I94" s="10">
        <f>F94/12*G94</f>
        <v>15382.149999999998</v>
      </c>
    </row>
    <row r="95" spans="1:9">
      <c r="A95" s="20"/>
      <c r="B95" s="36" t="s">
        <v>81</v>
      </c>
      <c r="C95" s="64"/>
      <c r="D95" s="63"/>
      <c r="E95" s="61"/>
      <c r="F95" s="61"/>
      <c r="G95" s="61"/>
      <c r="H95" s="65">
        <f>SUM(H77)</f>
        <v>1.1187199999999999</v>
      </c>
      <c r="I95" s="61">
        <f>I94+I93+I87+I85+I84+I63+I45+I44+I43+I42+I41+I39+I38+I26+I25+I18+I17+I16+I59</f>
        <v>83428.939276666642</v>
      </c>
    </row>
    <row r="96" spans="1:9">
      <c r="A96" s="180" t="s">
        <v>61</v>
      </c>
      <c r="B96" s="181"/>
      <c r="C96" s="181"/>
      <c r="D96" s="181"/>
      <c r="E96" s="181"/>
      <c r="F96" s="181"/>
      <c r="G96" s="181"/>
      <c r="H96" s="181"/>
      <c r="I96" s="182"/>
    </row>
    <row r="97" spans="1:9">
      <c r="A97" s="20">
        <v>20</v>
      </c>
      <c r="B97" s="68" t="s">
        <v>199</v>
      </c>
      <c r="C97" s="55" t="s">
        <v>41</v>
      </c>
      <c r="D97" s="47"/>
      <c r="E97" s="10"/>
      <c r="F97" s="10">
        <v>158</v>
      </c>
      <c r="G97" s="29">
        <v>26095.37</v>
      </c>
      <c r="H97" s="60">
        <f>G97*F97/1000</f>
        <v>4123.0684600000004</v>
      </c>
      <c r="I97" s="110">
        <f>G97*0.02</f>
        <v>521.90739999999994</v>
      </c>
    </row>
    <row r="98" spans="1:9" ht="30">
      <c r="A98" s="20">
        <v>21</v>
      </c>
      <c r="B98" s="68" t="s">
        <v>200</v>
      </c>
      <c r="C98" s="55" t="s">
        <v>95</v>
      </c>
      <c r="D98" s="32"/>
      <c r="E98" s="13"/>
      <c r="F98" s="29">
        <v>42</v>
      </c>
      <c r="G98" s="29">
        <v>794.28</v>
      </c>
      <c r="H98" s="66">
        <f>G98*F98/1000</f>
        <v>33.359760000000001</v>
      </c>
      <c r="I98" s="110">
        <f>G98*6</f>
        <v>4765.68</v>
      </c>
    </row>
    <row r="99" spans="1:9" ht="30">
      <c r="A99" s="20">
        <v>22</v>
      </c>
      <c r="B99" s="68" t="s">
        <v>201</v>
      </c>
      <c r="C99" s="55" t="s">
        <v>95</v>
      </c>
      <c r="D99" s="67"/>
      <c r="E99" s="29"/>
      <c r="F99" s="29">
        <v>1</v>
      </c>
      <c r="G99" s="29">
        <v>735.42</v>
      </c>
      <c r="H99" s="60">
        <f>G99*F99/1000</f>
        <v>0.73541999999999996</v>
      </c>
      <c r="I99" s="110">
        <f>G99*2</f>
        <v>1470.84</v>
      </c>
    </row>
    <row r="100" spans="1:9">
      <c r="A100" s="20">
        <v>23</v>
      </c>
      <c r="B100" s="68" t="s">
        <v>177</v>
      </c>
      <c r="C100" s="55" t="s">
        <v>95</v>
      </c>
      <c r="D100" s="47"/>
      <c r="E100" s="10"/>
      <c r="F100" s="10">
        <v>4</v>
      </c>
      <c r="G100" s="29">
        <v>22</v>
      </c>
      <c r="H100" s="66">
        <f t="shared" ref="H100" si="13">G100*F100/1000</f>
        <v>8.7999999999999995E-2</v>
      </c>
      <c r="I100" s="110">
        <f>G100*2</f>
        <v>44</v>
      </c>
    </row>
    <row r="101" spans="1:9">
      <c r="A101" s="20">
        <v>24</v>
      </c>
      <c r="B101" s="68" t="s">
        <v>202</v>
      </c>
      <c r="C101" s="55" t="s">
        <v>95</v>
      </c>
      <c r="D101" s="49"/>
      <c r="E101" s="39">
        <v>1</v>
      </c>
      <c r="F101" s="39"/>
      <c r="G101" s="29">
        <v>21</v>
      </c>
      <c r="H101" s="39"/>
      <c r="I101" s="14">
        <f>G101*2</f>
        <v>42</v>
      </c>
    </row>
    <row r="102" spans="1:9">
      <c r="A102" s="20">
        <v>25</v>
      </c>
      <c r="B102" s="68" t="s">
        <v>203</v>
      </c>
      <c r="C102" s="55" t="s">
        <v>95</v>
      </c>
      <c r="D102" s="49"/>
      <c r="E102" s="39"/>
      <c r="F102" s="39"/>
      <c r="G102" s="29">
        <v>49</v>
      </c>
      <c r="H102" s="39"/>
      <c r="I102" s="14">
        <f>G102*3</f>
        <v>147</v>
      </c>
    </row>
    <row r="103" spans="1:9">
      <c r="A103" s="20">
        <v>26</v>
      </c>
      <c r="B103" s="68" t="s">
        <v>178</v>
      </c>
      <c r="C103" s="55" t="s">
        <v>95</v>
      </c>
      <c r="D103" s="49"/>
      <c r="E103" s="39"/>
      <c r="F103" s="39"/>
      <c r="G103" s="29">
        <v>86</v>
      </c>
      <c r="H103" s="39"/>
      <c r="I103" s="14">
        <f>G103*3</f>
        <v>258</v>
      </c>
    </row>
    <row r="104" spans="1:9">
      <c r="A104" s="20">
        <v>27</v>
      </c>
      <c r="B104" s="68" t="s">
        <v>204</v>
      </c>
      <c r="C104" s="55" t="s">
        <v>95</v>
      </c>
      <c r="D104" s="49"/>
      <c r="E104" s="39"/>
      <c r="F104" s="39"/>
      <c r="G104" s="29">
        <v>39</v>
      </c>
      <c r="H104" s="39"/>
      <c r="I104" s="14">
        <f>G104*3</f>
        <v>117</v>
      </c>
    </row>
    <row r="105" spans="1:9">
      <c r="A105" s="20">
        <v>28</v>
      </c>
      <c r="B105" s="68" t="s">
        <v>205</v>
      </c>
      <c r="C105" s="55" t="s">
        <v>95</v>
      </c>
      <c r="D105" s="49"/>
      <c r="E105" s="39"/>
      <c r="F105" s="39"/>
      <c r="G105" s="29">
        <v>63</v>
      </c>
      <c r="H105" s="39"/>
      <c r="I105" s="14">
        <f>G105*2</f>
        <v>126</v>
      </c>
    </row>
    <row r="106" spans="1:9">
      <c r="A106" s="20">
        <v>29</v>
      </c>
      <c r="B106" s="68" t="s">
        <v>206</v>
      </c>
      <c r="C106" s="55" t="s">
        <v>95</v>
      </c>
      <c r="D106" s="49"/>
      <c r="E106" s="39"/>
      <c r="F106" s="39"/>
      <c r="G106" s="29">
        <v>38</v>
      </c>
      <c r="H106" s="39"/>
      <c r="I106" s="14">
        <f>G106*1</f>
        <v>38</v>
      </c>
    </row>
    <row r="107" spans="1:9">
      <c r="A107" s="20">
        <v>30</v>
      </c>
      <c r="B107" s="68" t="s">
        <v>160</v>
      </c>
      <c r="C107" s="55" t="s">
        <v>184</v>
      </c>
      <c r="D107" s="49"/>
      <c r="E107" s="39"/>
      <c r="F107" s="39"/>
      <c r="G107" s="29">
        <v>273</v>
      </c>
      <c r="H107" s="39"/>
      <c r="I107" s="14">
        <f>G107*8</f>
        <v>2184</v>
      </c>
    </row>
    <row r="108" spans="1:9">
      <c r="A108" s="20">
        <v>31</v>
      </c>
      <c r="B108" s="68" t="s">
        <v>82</v>
      </c>
      <c r="C108" s="55" t="s">
        <v>95</v>
      </c>
      <c r="D108" s="49"/>
      <c r="E108" s="39"/>
      <c r="F108" s="39"/>
      <c r="G108" s="29">
        <v>207.55</v>
      </c>
      <c r="H108" s="39"/>
      <c r="I108" s="14">
        <f>G108*2</f>
        <v>415.1</v>
      </c>
    </row>
    <row r="109" spans="1:9" ht="15.75" customHeight="1">
      <c r="A109" s="20">
        <v>32</v>
      </c>
      <c r="B109" s="68" t="s">
        <v>119</v>
      </c>
      <c r="C109" s="55" t="s">
        <v>95</v>
      </c>
      <c r="D109" s="47"/>
      <c r="E109" s="10"/>
      <c r="F109" s="10"/>
      <c r="G109" s="29">
        <v>58.39</v>
      </c>
      <c r="H109" s="60"/>
      <c r="I109" s="110">
        <f>G109*1</f>
        <v>58.39</v>
      </c>
    </row>
    <row r="110" spans="1:9">
      <c r="A110" s="20"/>
      <c r="B110" s="43" t="s">
        <v>53</v>
      </c>
      <c r="C110" s="123"/>
      <c r="D110" s="49"/>
      <c r="E110" s="39"/>
      <c r="F110" s="39"/>
      <c r="G110" s="39"/>
      <c r="H110" s="39"/>
      <c r="I110" s="23">
        <f>SUM(I97:I109)</f>
        <v>10187.9174</v>
      </c>
    </row>
    <row r="111" spans="1:9">
      <c r="A111" s="20"/>
      <c r="B111" s="47" t="s">
        <v>80</v>
      </c>
      <c r="C111" s="12"/>
      <c r="D111" s="12"/>
      <c r="E111" s="40"/>
      <c r="F111" s="40"/>
      <c r="G111" s="41"/>
      <c r="H111" s="41"/>
      <c r="I111" s="13">
        <v>0</v>
      </c>
    </row>
    <row r="112" spans="1:9">
      <c r="A112" s="50"/>
      <c r="B112" s="44" t="s">
        <v>158</v>
      </c>
      <c r="C112" s="28"/>
      <c r="D112" s="28"/>
      <c r="E112" s="28"/>
      <c r="F112" s="28"/>
      <c r="G112" s="28"/>
      <c r="H112" s="28"/>
      <c r="I112" s="42">
        <f>I110+I95</f>
        <v>93616.856676666648</v>
      </c>
    </row>
    <row r="113" spans="1:9" ht="15.75">
      <c r="A113" s="183" t="s">
        <v>229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15.75">
      <c r="A114" s="56"/>
      <c r="B114" s="184" t="s">
        <v>230</v>
      </c>
      <c r="C114" s="184"/>
      <c r="D114" s="184"/>
      <c r="E114" s="184"/>
      <c r="F114" s="184"/>
      <c r="G114" s="184"/>
      <c r="H114" s="59"/>
      <c r="I114" s="2"/>
    </row>
    <row r="115" spans="1:9">
      <c r="A115" s="114"/>
      <c r="B115" s="171" t="s">
        <v>6</v>
      </c>
      <c r="C115" s="171"/>
      <c r="D115" s="171"/>
      <c r="E115" s="171"/>
      <c r="F115" s="171"/>
      <c r="G115" s="171"/>
      <c r="H115" s="15"/>
      <c r="I115" s="4"/>
    </row>
    <row r="116" spans="1:9">
      <c r="A116" s="7"/>
      <c r="B116" s="7"/>
      <c r="C116" s="7"/>
      <c r="D116" s="7"/>
      <c r="E116" s="7"/>
      <c r="F116" s="7"/>
      <c r="G116" s="7"/>
      <c r="H116" s="7"/>
      <c r="I116" s="7"/>
    </row>
    <row r="117" spans="1:9" ht="15.75">
      <c r="A117" s="185" t="s">
        <v>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15.75">
      <c r="A118" s="185" t="s">
        <v>8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.75">
      <c r="A119" s="175" t="s">
        <v>62</v>
      </c>
      <c r="B119" s="175"/>
      <c r="C119" s="175"/>
      <c r="D119" s="175"/>
      <c r="E119" s="175"/>
      <c r="F119" s="175"/>
      <c r="G119" s="175"/>
      <c r="H119" s="175"/>
      <c r="I119" s="175"/>
    </row>
    <row r="120" spans="1:9" ht="15.75">
      <c r="A120" s="8"/>
    </row>
    <row r="121" spans="1:9" ht="15.75">
      <c r="A121" s="169" t="s">
        <v>9</v>
      </c>
      <c r="B121" s="169"/>
      <c r="C121" s="169"/>
      <c r="D121" s="169"/>
      <c r="E121" s="169"/>
      <c r="F121" s="169"/>
      <c r="G121" s="169"/>
      <c r="H121" s="169"/>
      <c r="I121" s="169"/>
    </row>
    <row r="122" spans="1:9" ht="15.75">
      <c r="A122" s="3"/>
    </row>
    <row r="123" spans="1:9" ht="15.75">
      <c r="B123" s="115" t="s">
        <v>10</v>
      </c>
      <c r="C123" s="170" t="s">
        <v>124</v>
      </c>
      <c r="D123" s="170"/>
      <c r="E123" s="170"/>
      <c r="F123" s="57"/>
      <c r="I123" s="113"/>
    </row>
    <row r="124" spans="1:9">
      <c r="A124" s="114"/>
      <c r="C124" s="171" t="s">
        <v>11</v>
      </c>
      <c r="D124" s="171"/>
      <c r="E124" s="171"/>
      <c r="F124" s="15"/>
      <c r="I124" s="112" t="s">
        <v>12</v>
      </c>
    </row>
    <row r="125" spans="1:9" ht="15.75">
      <c r="A125" s="16"/>
      <c r="C125" s="9"/>
      <c r="D125" s="9"/>
      <c r="G125" s="9"/>
      <c r="H125" s="9"/>
    </row>
    <row r="126" spans="1:9" ht="15.75">
      <c r="B126" s="115" t="s">
        <v>13</v>
      </c>
      <c r="C126" s="172"/>
      <c r="D126" s="172"/>
      <c r="E126" s="172"/>
      <c r="F126" s="58"/>
      <c r="I126" s="113"/>
    </row>
    <row r="127" spans="1:9">
      <c r="A127" s="114"/>
      <c r="C127" s="173" t="s">
        <v>11</v>
      </c>
      <c r="D127" s="173"/>
      <c r="E127" s="173"/>
      <c r="F127" s="114"/>
      <c r="I127" s="112" t="s">
        <v>12</v>
      </c>
    </row>
    <row r="128" spans="1:9" ht="15.75">
      <c r="A128" s="3" t="s">
        <v>14</v>
      </c>
    </row>
    <row r="129" spans="1:9">
      <c r="A129" s="174" t="s">
        <v>15</v>
      </c>
      <c r="B129" s="174"/>
      <c r="C129" s="174"/>
      <c r="D129" s="174"/>
      <c r="E129" s="174"/>
      <c r="F129" s="174"/>
      <c r="G129" s="174"/>
      <c r="H129" s="174"/>
      <c r="I129" s="174"/>
    </row>
    <row r="130" spans="1:9" ht="46.5" customHeight="1">
      <c r="A130" s="168" t="s">
        <v>16</v>
      </c>
      <c r="B130" s="168"/>
      <c r="C130" s="168"/>
      <c r="D130" s="168"/>
      <c r="E130" s="168"/>
      <c r="F130" s="168"/>
      <c r="G130" s="168"/>
      <c r="H130" s="168"/>
      <c r="I130" s="168"/>
    </row>
    <row r="131" spans="1:9" ht="47.25" customHeight="1">
      <c r="A131" s="168" t="s">
        <v>17</v>
      </c>
      <c r="B131" s="168"/>
      <c r="C131" s="168"/>
      <c r="D131" s="168"/>
      <c r="E131" s="168"/>
      <c r="F131" s="168"/>
      <c r="G131" s="168"/>
      <c r="H131" s="168"/>
      <c r="I131" s="168"/>
    </row>
    <row r="132" spans="1:9" ht="40.5" customHeight="1">
      <c r="A132" s="168" t="s">
        <v>21</v>
      </c>
      <c r="B132" s="168"/>
      <c r="C132" s="168"/>
      <c r="D132" s="168"/>
      <c r="E132" s="168"/>
      <c r="F132" s="168"/>
      <c r="G132" s="168"/>
      <c r="H132" s="168"/>
      <c r="I132" s="168"/>
    </row>
    <row r="133" spans="1:9" ht="15.75">
      <c r="A133" s="168" t="s">
        <v>20</v>
      </c>
      <c r="B133" s="168"/>
      <c r="C133" s="168"/>
      <c r="D133" s="168"/>
      <c r="E133" s="168"/>
      <c r="F133" s="168"/>
      <c r="G133" s="168"/>
      <c r="H133" s="168"/>
      <c r="I133" s="168"/>
    </row>
  </sheetData>
  <mergeCells count="28">
    <mergeCell ref="A14:I14"/>
    <mergeCell ref="A3:I3"/>
    <mergeCell ref="A4:I4"/>
    <mergeCell ref="A5:I5"/>
    <mergeCell ref="A8:I8"/>
    <mergeCell ref="A10:I10"/>
    <mergeCell ref="A119:I119"/>
    <mergeCell ref="A15:I15"/>
    <mergeCell ref="A27:I27"/>
    <mergeCell ref="A46:I46"/>
    <mergeCell ref="A57:I57"/>
    <mergeCell ref="A92:I92"/>
    <mergeCell ref="A96:I96"/>
    <mergeCell ref="A113:I113"/>
    <mergeCell ref="B114:G114"/>
    <mergeCell ref="B115:G115"/>
    <mergeCell ref="A117:I117"/>
    <mergeCell ref="A118:I118"/>
    <mergeCell ref="A130:I130"/>
    <mergeCell ref="A131:I131"/>
    <mergeCell ref="A132:I132"/>
    <mergeCell ref="A133:I133"/>
    <mergeCell ref="A121:I121"/>
    <mergeCell ref="C123:E123"/>
    <mergeCell ref="C124:E124"/>
    <mergeCell ref="C126:E126"/>
    <mergeCell ref="C127:E127"/>
    <mergeCell ref="A129:I129"/>
  </mergeCells>
  <pageMargins left="0.70866141732283472" right="0.31496062992125984" top="0.74803149606299213" bottom="0.74803149606299213" header="0.31496062992125984" footer="0.31496062992125984"/>
  <pageSetup paperSize="9" scale="6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J101" sqref="J101"/>
    </sheetView>
  </sheetViews>
  <sheetFormatPr defaultRowHeight="15"/>
  <cols>
    <col min="2" max="2" width="54.42578125" customWidth="1"/>
    <col min="3" max="3" width="17.85546875" customWidth="1"/>
    <col min="4" max="4" width="18.140625" customWidth="1"/>
    <col min="5" max="5" width="0" hidden="1" customWidth="1"/>
    <col min="6" max="6" width="8.85546875" hidden="1" customWidth="1"/>
    <col min="7" max="7" width="17.85546875" customWidth="1"/>
    <col min="8" max="8" width="0" hidden="1" customWidth="1"/>
    <col min="9" max="9" width="17.57031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165</v>
      </c>
      <c r="B3" s="187"/>
      <c r="C3" s="187"/>
      <c r="D3" s="187"/>
      <c r="E3" s="187"/>
      <c r="F3" s="187"/>
      <c r="G3" s="187"/>
      <c r="H3" s="187"/>
      <c r="I3" s="187"/>
    </row>
    <row r="4" spans="1:9" ht="34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207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30"/>
      <c r="C6" s="130"/>
      <c r="D6" s="130"/>
      <c r="E6" s="130"/>
      <c r="F6" s="130"/>
      <c r="G6" s="130"/>
      <c r="H6" s="130"/>
      <c r="I6" s="21">
        <v>43616</v>
      </c>
    </row>
    <row r="7" spans="1:9" ht="15.75">
      <c r="B7" s="128"/>
      <c r="C7" s="128"/>
      <c r="D7" s="128"/>
      <c r="E7" s="2"/>
      <c r="F7" s="2"/>
      <c r="G7" s="2"/>
      <c r="H7" s="2"/>
    </row>
    <row r="8" spans="1:9" ht="87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6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>
      <c r="A19" s="20">
        <v>4</v>
      </c>
      <c r="B19" s="25" t="s">
        <v>105</v>
      </c>
      <c r="C19" s="37" t="s">
        <v>106</v>
      </c>
      <c r="D19" s="25" t="s">
        <v>231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F19/1*G19</f>
        <v>856.97279999999989</v>
      </c>
    </row>
    <row r="20" spans="1:9">
      <c r="A20" s="20">
        <v>5</v>
      </c>
      <c r="B20" s="25" t="s">
        <v>108</v>
      </c>
      <c r="C20" s="37" t="s">
        <v>86</v>
      </c>
      <c r="D20" s="25" t="s">
        <v>220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>
      <c r="A21" s="20">
        <v>6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>
      <c r="A22" s="20">
        <v>7</v>
      </c>
      <c r="B22" s="163" t="s">
        <v>110</v>
      </c>
      <c r="C22" s="164" t="s">
        <v>54</v>
      </c>
      <c r="D22" s="163" t="s">
        <v>231</v>
      </c>
      <c r="E22" s="167">
        <v>714</v>
      </c>
      <c r="F22" s="165">
        <f>SUM(E22/100)</f>
        <v>7.14</v>
      </c>
      <c r="G22" s="165">
        <v>353.14</v>
      </c>
      <c r="H22" s="77">
        <f t="shared" si="0"/>
        <v>2.5214195999999998</v>
      </c>
      <c r="I22" s="10">
        <f>F22/1*G22</f>
        <v>2521.4195999999997</v>
      </c>
    </row>
    <row r="23" spans="1:9">
      <c r="A23" s="20">
        <v>8</v>
      </c>
      <c r="B23" s="25" t="s">
        <v>111</v>
      </c>
      <c r="C23" s="37" t="s">
        <v>54</v>
      </c>
      <c r="D23" s="25" t="s">
        <v>232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>F23/1*G23</f>
        <v>56.105279999999993</v>
      </c>
    </row>
    <row r="24" spans="1:9">
      <c r="A24" s="20">
        <v>9</v>
      </c>
      <c r="B24" s="25" t="s">
        <v>112</v>
      </c>
      <c r="C24" s="37" t="s">
        <v>54</v>
      </c>
      <c r="D24" s="25" t="s">
        <v>231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ref="I24" si="1">F24/12*G24</f>
        <v>163.55840000000001</v>
      </c>
    </row>
    <row r="25" spans="1:9">
      <c r="A25" s="20">
        <v>10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>
      <c r="A26" s="20">
        <v>11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>
      <c r="A29" s="20">
        <v>12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4" si="2">SUM(F29*G29/1000)</f>
        <v>6.2509574400000005</v>
      </c>
      <c r="I29" s="10">
        <f t="shared" ref="I29:I32" si="3">F29/6*G29</f>
        <v>1041.8262400000001</v>
      </c>
    </row>
    <row r="30" spans="1:9" ht="36" customHeight="1">
      <c r="A30" s="20">
        <v>13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>
      <c r="A31" s="20">
        <v>14</v>
      </c>
      <c r="B31" s="25" t="s">
        <v>27</v>
      </c>
      <c r="C31" s="37" t="s">
        <v>88</v>
      </c>
      <c r="D31" s="25" t="s">
        <v>220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>
      <c r="A32" s="20">
        <v>15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si="2"/>
        <v>0.50183999999999995</v>
      </c>
      <c r="I33" s="10">
        <v>0</v>
      </c>
    </row>
    <row r="34" spans="1:9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2"/>
        <v>4.4709300000000001</v>
      </c>
      <c r="I34" s="10">
        <v>0</v>
      </c>
    </row>
    <row r="35" spans="1:9" hidden="1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4">SUM(F36*G36/1000)</f>
        <v>16.024000000000001</v>
      </c>
      <c r="I36" s="10">
        <f t="shared" ref="I36:I44" si="5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4"/>
        <v>13.48002864</v>
      </c>
      <c r="I37" s="10">
        <f t="shared" si="5"/>
        <v>2246.6714400000001</v>
      </c>
    </row>
    <row r="38" spans="1:9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4"/>
        <v>13.404982799999999</v>
      </c>
      <c r="I38" s="10">
        <f t="shared" si="5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4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45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4"/>
        <v>37.20335008</v>
      </c>
      <c r="I41" s="10">
        <f t="shared" si="5"/>
        <v>6200.5583466666667</v>
      </c>
    </row>
    <row r="42" spans="1:9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4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4"/>
        <v>0.8773470000000001</v>
      </c>
      <c r="I43" s="10">
        <f>(F43/7.5*1.5)*G43</f>
        <v>175.46940000000004</v>
      </c>
    </row>
    <row r="44" spans="1:9" ht="30" hidden="1">
      <c r="A44" s="20">
        <v>14</v>
      </c>
      <c r="B44" s="68" t="s">
        <v>146</v>
      </c>
      <c r="C44" s="55" t="s">
        <v>29</v>
      </c>
      <c r="D44" s="26" t="s">
        <v>147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4"/>
        <v>7.4937599999999986E-3</v>
      </c>
      <c r="I44" s="10">
        <f t="shared" si="5"/>
        <v>1.2489599999999998</v>
      </c>
    </row>
    <row r="45" spans="1:9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>
      <c r="A46" s="20">
        <v>16</v>
      </c>
      <c r="B46" s="25" t="s">
        <v>130</v>
      </c>
      <c r="C46" s="37" t="s">
        <v>88</v>
      </c>
      <c r="D46" s="25" t="s">
        <v>220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6">SUM(F46*G46/1000)</f>
        <v>3.842075006</v>
      </c>
      <c r="I46" s="10">
        <f t="shared" ref="I46:I54" si="7">F46/2*G46</f>
        <v>1921.037503</v>
      </c>
    </row>
    <row r="47" spans="1:9">
      <c r="A47" s="20">
        <v>17</v>
      </c>
      <c r="B47" s="25" t="s">
        <v>36</v>
      </c>
      <c r="C47" s="37" t="s">
        <v>88</v>
      </c>
      <c r="D47" s="25" t="s">
        <v>220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6"/>
        <v>0.91916240000000005</v>
      </c>
      <c r="I47" s="10">
        <f t="shared" si="7"/>
        <v>459.58120000000002</v>
      </c>
    </row>
    <row r="48" spans="1:9">
      <c r="A48" s="20">
        <v>18</v>
      </c>
      <c r="B48" s="25" t="s">
        <v>37</v>
      </c>
      <c r="C48" s="37" t="s">
        <v>88</v>
      </c>
      <c r="D48" s="25" t="s">
        <v>220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6"/>
        <v>7.2034689005999999</v>
      </c>
      <c r="I48" s="10">
        <f t="shared" si="7"/>
        <v>3601.7344502999999</v>
      </c>
    </row>
    <row r="49" spans="1:9">
      <c r="A49" s="20">
        <v>19</v>
      </c>
      <c r="B49" s="25" t="s">
        <v>38</v>
      </c>
      <c r="C49" s="37" t="s">
        <v>88</v>
      </c>
      <c r="D49" s="25" t="s">
        <v>220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6"/>
        <v>6.6006486806</v>
      </c>
      <c r="I49" s="10">
        <f t="shared" si="7"/>
        <v>3300.3243403000001</v>
      </c>
    </row>
    <row r="50" spans="1:9">
      <c r="A50" s="20">
        <v>20</v>
      </c>
      <c r="B50" s="25" t="s">
        <v>34</v>
      </c>
      <c r="C50" s="37" t="s">
        <v>35</v>
      </c>
      <c r="D50" s="25" t="s">
        <v>220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6"/>
        <v>3.4774048560000002</v>
      </c>
      <c r="I50" s="10">
        <f t="shared" si="7"/>
        <v>1738.7024280000001</v>
      </c>
    </row>
    <row r="51" spans="1:9">
      <c r="A51" s="20">
        <v>21</v>
      </c>
      <c r="B51" s="25" t="s">
        <v>57</v>
      </c>
      <c r="C51" s="37" t="s">
        <v>88</v>
      </c>
      <c r="D51" s="25" t="s">
        <v>220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6"/>
        <v>39.635185905</v>
      </c>
      <c r="I51" s="10">
        <f>F51/5*G51</f>
        <v>7927.0371809999997</v>
      </c>
    </row>
    <row r="52" spans="1:9" ht="30">
      <c r="A52" s="20">
        <v>22</v>
      </c>
      <c r="B52" s="25" t="s">
        <v>90</v>
      </c>
      <c r="C52" s="37" t="s">
        <v>88</v>
      </c>
      <c r="D52" s="25" t="s">
        <v>220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6"/>
        <v>13.989845679999998</v>
      </c>
      <c r="I52" s="10">
        <f t="shared" si="7"/>
        <v>6994.9228399999993</v>
      </c>
    </row>
    <row r="53" spans="1:9" ht="30">
      <c r="A53" s="20">
        <v>23</v>
      </c>
      <c r="B53" s="25" t="s">
        <v>91</v>
      </c>
      <c r="C53" s="37" t="s">
        <v>39</v>
      </c>
      <c r="D53" s="25" t="s">
        <v>220</v>
      </c>
      <c r="E53" s="76">
        <v>40</v>
      </c>
      <c r="F53" s="24">
        <f>SUM(E53*2/100)</f>
        <v>0.8</v>
      </c>
      <c r="G53" s="29">
        <v>4058.32</v>
      </c>
      <c r="H53" s="77">
        <f t="shared" si="6"/>
        <v>3.2466560000000002</v>
      </c>
      <c r="I53" s="10">
        <f t="shared" si="7"/>
        <v>1623.3280000000002</v>
      </c>
    </row>
    <row r="54" spans="1:9">
      <c r="A54" s="20">
        <v>24</v>
      </c>
      <c r="B54" s="25" t="s">
        <v>40</v>
      </c>
      <c r="C54" s="37" t="s">
        <v>41</v>
      </c>
      <c r="D54" s="25" t="s">
        <v>220</v>
      </c>
      <c r="E54" s="76">
        <v>1</v>
      </c>
      <c r="F54" s="24">
        <v>0.02</v>
      </c>
      <c r="G54" s="29">
        <v>7412.92</v>
      </c>
      <c r="H54" s="77">
        <f t="shared" si="6"/>
        <v>0.14825839999999998</v>
      </c>
      <c r="I54" s="10">
        <f t="shared" si="7"/>
        <v>74.129199999999997</v>
      </c>
    </row>
    <row r="55" spans="1:9">
      <c r="A55" s="20">
        <v>25</v>
      </c>
      <c r="B55" s="25" t="s">
        <v>42</v>
      </c>
      <c r="C55" s="37" t="s">
        <v>95</v>
      </c>
      <c r="D55" s="166">
        <v>43599</v>
      </c>
      <c r="E55" s="76">
        <v>160</v>
      </c>
      <c r="F55" s="24">
        <f>SUM(E55)*3</f>
        <v>480</v>
      </c>
      <c r="G55" s="30">
        <v>86.15</v>
      </c>
      <c r="H55" s="77">
        <f t="shared" si="6"/>
        <v>41.351999999999997</v>
      </c>
      <c r="I55" s="10">
        <f>F55/3*G55</f>
        <v>13784</v>
      </c>
    </row>
    <row r="56" spans="1:9">
      <c r="A56" s="177" t="s">
        <v>123</v>
      </c>
      <c r="B56" s="178"/>
      <c r="C56" s="178"/>
      <c r="D56" s="178"/>
      <c r="E56" s="178"/>
      <c r="F56" s="178"/>
      <c r="G56" s="178"/>
      <c r="H56" s="178"/>
      <c r="I56" s="179"/>
    </row>
    <row r="57" spans="1:9" hidden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30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8">F58/6*G58</f>
        <v>3246.8799999999997</v>
      </c>
    </row>
    <row r="59" spans="1:9" hidden="1">
      <c r="A59" s="20">
        <v>18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G59*(1.5+1+1.5)</f>
        <v>6328.2</v>
      </c>
    </row>
    <row r="60" spans="1:9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>
      <c r="A62" s="20">
        <v>26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idden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idden="1">
      <c r="A64" s="20">
        <v>18</v>
      </c>
      <c r="B64" s="52" t="s">
        <v>48</v>
      </c>
      <c r="C64" s="33" t="s">
        <v>95</v>
      </c>
      <c r="D64" s="25" t="s">
        <v>67</v>
      </c>
      <c r="E64" s="13">
        <v>10</v>
      </c>
      <c r="F64" s="24">
        <f>SUM(E64)</f>
        <v>10</v>
      </c>
      <c r="G64" s="29">
        <v>291.68</v>
      </c>
      <c r="H64" s="66">
        <f t="shared" ref="H64:H85" si="9">SUM(F64*G64/1000)</f>
        <v>2.9168000000000003</v>
      </c>
      <c r="I64" s="10">
        <f>G64*3</f>
        <v>875.04</v>
      </c>
    </row>
    <row r="65" spans="1:9" hidden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9"/>
        <v>0.50004999999999999</v>
      </c>
      <c r="I65" s="10">
        <v>0</v>
      </c>
    </row>
    <row r="66" spans="1:9" hidden="1">
      <c r="A66" s="20">
        <v>28</v>
      </c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9"/>
        <v>66.952891199999996</v>
      </c>
      <c r="I66" s="10">
        <f>F66*G66</f>
        <v>66952.891199999998</v>
      </c>
    </row>
    <row r="67" spans="1:9" hidden="1">
      <c r="A67" s="20">
        <v>29</v>
      </c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9"/>
        <v>5.21397084</v>
      </c>
      <c r="I67" s="10">
        <f t="shared" ref="I67:I71" si="10">F67*G67</f>
        <v>5213.97084</v>
      </c>
    </row>
    <row r="68" spans="1:9" hidden="1">
      <c r="A68" s="20">
        <v>30</v>
      </c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9"/>
        <v>35.372219999999999</v>
      </c>
      <c r="I68" s="10">
        <f t="shared" si="10"/>
        <v>35372.22</v>
      </c>
    </row>
    <row r="69" spans="1:9" hidden="1">
      <c r="A69" s="20">
        <v>31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9"/>
        <v>0.44314399999999998</v>
      </c>
      <c r="I69" s="10">
        <f t="shared" si="10"/>
        <v>443.14400000000001</v>
      </c>
    </row>
    <row r="70" spans="1:9" ht="30" hidden="1">
      <c r="A70" s="20">
        <v>35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9"/>
        <v>0.47881600000000002</v>
      </c>
      <c r="I70" s="10">
        <f t="shared" si="10"/>
        <v>478.81600000000003</v>
      </c>
    </row>
    <row r="71" spans="1:9" hidden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9"/>
        <v>0.3271</v>
      </c>
      <c r="I71" s="10">
        <f t="shared" si="10"/>
        <v>327.10000000000002</v>
      </c>
    </row>
    <row r="72" spans="1:9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1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1"/>
        <v>0.73499999999999999</v>
      </c>
      <c r="I74" s="10">
        <v>0</v>
      </c>
    </row>
    <row r="75" spans="1:9" hidden="1">
      <c r="A75" s="20">
        <v>19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1"/>
        <v>0.46050899999999995</v>
      </c>
      <c r="I75" s="10">
        <f>G75*0.9</f>
        <v>592.08299999999997</v>
      </c>
    </row>
    <row r="76" spans="1:9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1"/>
        <v>1.1187199999999999</v>
      </c>
      <c r="I76" s="10">
        <v>0</v>
      </c>
    </row>
    <row r="77" spans="1:9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30">
      <c r="A78" s="20">
        <v>27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2">SUM(F78*G78/1000)</f>
        <v>1.2820799999999999</v>
      </c>
      <c r="I78" s="10">
        <f>F78/12*G78</f>
        <v>106.84</v>
      </c>
    </row>
    <row r="79" spans="1:9">
      <c r="A79" s="20">
        <v>28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2"/>
        <v>14.327999999999999</v>
      </c>
      <c r="I79" s="10">
        <f>F79/12*G79</f>
        <v>1194</v>
      </c>
    </row>
    <row r="80" spans="1:9" hidden="1">
      <c r="A80" s="20"/>
      <c r="B80" s="122" t="s">
        <v>47</v>
      </c>
      <c r="C80" s="119"/>
      <c r="D80" s="120"/>
      <c r="E80" s="13"/>
      <c r="F80" s="29"/>
      <c r="G80" s="29"/>
      <c r="H80" s="66"/>
      <c r="I80" s="10"/>
    </row>
    <row r="81" spans="1:9" hidden="1">
      <c r="A81" s="20"/>
      <c r="B81" s="52" t="s">
        <v>48</v>
      </c>
      <c r="C81" s="33" t="s">
        <v>95</v>
      </c>
      <c r="D81" s="32" t="s">
        <v>67</v>
      </c>
      <c r="E81" s="13"/>
      <c r="F81" s="29"/>
      <c r="G81" s="29">
        <v>291.68</v>
      </c>
      <c r="H81" s="66"/>
      <c r="I81" s="10">
        <f>G81*1</f>
        <v>291.68</v>
      </c>
    </row>
    <row r="82" spans="1:9">
      <c r="A82" s="20"/>
      <c r="B82" s="97" t="s">
        <v>155</v>
      </c>
      <c r="C82" s="55"/>
      <c r="D82" s="32"/>
      <c r="E82" s="13"/>
      <c r="F82" s="29"/>
      <c r="G82" s="29"/>
      <c r="H82" s="66"/>
      <c r="I82" s="10"/>
    </row>
    <row r="83" spans="1:9">
      <c r="A83" s="20">
        <v>29</v>
      </c>
      <c r="B83" s="32" t="s">
        <v>156</v>
      </c>
      <c r="C83" s="38" t="s">
        <v>157</v>
      </c>
      <c r="D83" s="25"/>
      <c r="E83" s="13">
        <v>4394.8999999999996</v>
      </c>
      <c r="F83" s="29">
        <f>SUM(E83*12)</f>
        <v>52738.799999999996</v>
      </c>
      <c r="G83" s="29">
        <v>2.2799999999999998</v>
      </c>
      <c r="H83" s="66">
        <f t="shared" ref="H83" si="13">SUM(F83*G83/1000)</f>
        <v>120.24446399999998</v>
      </c>
      <c r="I83" s="10">
        <f>F83/12*G83</f>
        <v>10020.371999999998</v>
      </c>
    </row>
    <row r="84" spans="1:9" hidden="1">
      <c r="A84" s="20"/>
      <c r="B84" s="46" t="s">
        <v>77</v>
      </c>
      <c r="C84" s="33"/>
      <c r="D84" s="32"/>
      <c r="E84" s="13"/>
      <c r="F84" s="29"/>
      <c r="G84" s="29" t="s">
        <v>129</v>
      </c>
      <c r="H84" s="66" t="s">
        <v>129</v>
      </c>
      <c r="I84" s="10"/>
    </row>
    <row r="85" spans="1:9" hidden="1">
      <c r="A85" s="20"/>
      <c r="B85" s="34" t="s">
        <v>100</v>
      </c>
      <c r="C85" s="35" t="s">
        <v>78</v>
      </c>
      <c r="D85" s="52"/>
      <c r="E85" s="89"/>
      <c r="F85" s="30">
        <v>0.6</v>
      </c>
      <c r="G85" s="30">
        <v>3619.09</v>
      </c>
      <c r="H85" s="66">
        <f t="shared" si="9"/>
        <v>2.1714540000000002</v>
      </c>
      <c r="I85" s="10">
        <v>0</v>
      </c>
    </row>
    <row r="86" spans="1:9" ht="28.5" hidden="1">
      <c r="A86" s="20"/>
      <c r="B86" s="129" t="s">
        <v>92</v>
      </c>
      <c r="C86" s="64"/>
      <c r="D86" s="22"/>
      <c r="E86" s="23"/>
      <c r="F86" s="61"/>
      <c r="G86" s="61"/>
      <c r="H86" s="90">
        <f>SUM(H58:H85)</f>
        <v>284.91172943999999</v>
      </c>
      <c r="I86" s="10"/>
    </row>
    <row r="87" spans="1:9" hidden="1">
      <c r="A87" s="20"/>
      <c r="B87" s="25" t="s">
        <v>98</v>
      </c>
      <c r="C87" s="91"/>
      <c r="D87" s="92"/>
      <c r="E87" s="93"/>
      <c r="F87" s="31">
        <v>1</v>
      </c>
      <c r="G87" s="31">
        <v>18792</v>
      </c>
      <c r="H87" s="66">
        <f>G87*F87/1000</f>
        <v>18.792000000000002</v>
      </c>
      <c r="I87" s="10">
        <v>0</v>
      </c>
    </row>
    <row r="88" spans="1:9">
      <c r="A88" s="177" t="s">
        <v>125</v>
      </c>
      <c r="B88" s="178"/>
      <c r="C88" s="178"/>
      <c r="D88" s="178"/>
      <c r="E88" s="178"/>
      <c r="F88" s="178"/>
      <c r="G88" s="178"/>
      <c r="H88" s="178"/>
      <c r="I88" s="179"/>
    </row>
    <row r="89" spans="1:9">
      <c r="A89" s="20">
        <v>30</v>
      </c>
      <c r="B89" s="25" t="s">
        <v>99</v>
      </c>
      <c r="C89" s="33" t="s">
        <v>56</v>
      </c>
      <c r="D89" s="53"/>
      <c r="E89" s="29">
        <v>4394.8999999999996</v>
      </c>
      <c r="F89" s="29">
        <f>SUM(E89*12)</f>
        <v>52738.799999999996</v>
      </c>
      <c r="G89" s="29">
        <v>3.1</v>
      </c>
      <c r="H89" s="66">
        <f>SUM(F89*G89/1000)</f>
        <v>163.49028000000001</v>
      </c>
      <c r="I89" s="10">
        <f>F89/12*G89</f>
        <v>13624.189999999999</v>
      </c>
    </row>
    <row r="90" spans="1:9" ht="30">
      <c r="A90" s="20">
        <v>31</v>
      </c>
      <c r="B90" s="32" t="s">
        <v>79</v>
      </c>
      <c r="C90" s="33"/>
      <c r="D90" s="53"/>
      <c r="E90" s="76">
        <f>E89</f>
        <v>4394.8999999999996</v>
      </c>
      <c r="F90" s="29">
        <f>E90*12</f>
        <v>52738.799999999996</v>
      </c>
      <c r="G90" s="29">
        <v>3.5</v>
      </c>
      <c r="H90" s="66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81</v>
      </c>
      <c r="C91" s="64"/>
      <c r="D91" s="63"/>
      <c r="E91" s="61"/>
      <c r="F91" s="61"/>
      <c r="G91" s="61"/>
      <c r="H91" s="65">
        <f>SUM(H76)</f>
        <v>1.1187199999999999</v>
      </c>
      <c r="I91" s="61">
        <f>I90+I89+I83+I79+I78+I62+I55+I54+I53+I52+I51+I50+I49+I48+I47+I46+I32+I31+I30+I29+I26+I25+I24+I23+I22+I21+I20+I19+I18+I17+I16</f>
        <v>113594.42313459996</v>
      </c>
    </row>
    <row r="92" spans="1:9">
      <c r="A92" s="180" t="s">
        <v>61</v>
      </c>
      <c r="B92" s="181"/>
      <c r="C92" s="181"/>
      <c r="D92" s="181"/>
      <c r="E92" s="181"/>
      <c r="F92" s="181"/>
      <c r="G92" s="181"/>
      <c r="H92" s="181"/>
      <c r="I92" s="182"/>
    </row>
    <row r="93" spans="1:9">
      <c r="A93" s="20">
        <v>32</v>
      </c>
      <c r="B93" s="68" t="s">
        <v>160</v>
      </c>
      <c r="C93" s="55" t="s">
        <v>184</v>
      </c>
      <c r="D93" s="47"/>
      <c r="E93" s="10"/>
      <c r="F93" s="10">
        <v>158</v>
      </c>
      <c r="G93" s="29">
        <v>273</v>
      </c>
      <c r="H93" s="60">
        <f>G93*F93/1000</f>
        <v>43.134</v>
      </c>
      <c r="I93" s="110">
        <f>G93*6</f>
        <v>1638</v>
      </c>
    </row>
    <row r="94" spans="1:9" ht="30">
      <c r="A94" s="20">
        <v>33</v>
      </c>
      <c r="B94" s="68" t="s">
        <v>166</v>
      </c>
      <c r="C94" s="55" t="s">
        <v>39</v>
      </c>
      <c r="D94" s="32"/>
      <c r="E94" s="13"/>
      <c r="F94" s="29">
        <v>42</v>
      </c>
      <c r="G94" s="29">
        <v>3914.31</v>
      </c>
      <c r="H94" s="66">
        <f>G94*F94/1000</f>
        <v>164.40101999999999</v>
      </c>
      <c r="I94" s="110">
        <f>G94*0.01</f>
        <v>39.143099999999997</v>
      </c>
    </row>
    <row r="95" spans="1:9" ht="15.75" customHeight="1">
      <c r="A95" s="20">
        <v>34</v>
      </c>
      <c r="B95" s="68" t="s">
        <v>119</v>
      </c>
      <c r="C95" s="55" t="s">
        <v>95</v>
      </c>
      <c r="D95" s="47"/>
      <c r="E95" s="10"/>
      <c r="F95" s="10"/>
      <c r="G95" s="29">
        <v>58.39</v>
      </c>
      <c r="H95" s="60"/>
      <c r="I95" s="110">
        <f>G95*1</f>
        <v>58.39</v>
      </c>
    </row>
    <row r="96" spans="1:9" ht="15.75" customHeight="1">
      <c r="A96" s="20">
        <v>35</v>
      </c>
      <c r="B96" s="68" t="s">
        <v>243</v>
      </c>
      <c r="C96" s="55" t="s">
        <v>95</v>
      </c>
      <c r="D96" s="47"/>
      <c r="E96" s="10"/>
      <c r="F96" s="10"/>
      <c r="G96" s="29">
        <v>8534.76</v>
      </c>
      <c r="H96" s="60"/>
      <c r="I96" s="110">
        <f>G96*1</f>
        <v>8534.76</v>
      </c>
    </row>
    <row r="97" spans="1:9" ht="32.25" customHeight="1">
      <c r="A97" s="20">
        <v>36</v>
      </c>
      <c r="B97" s="68" t="s">
        <v>244</v>
      </c>
      <c r="C97" s="55" t="s">
        <v>118</v>
      </c>
      <c r="D97" s="47"/>
      <c r="E97" s="10"/>
      <c r="F97" s="10"/>
      <c r="G97" s="29">
        <v>1171.75</v>
      </c>
      <c r="H97" s="60"/>
      <c r="I97" s="110">
        <f>G97*1</f>
        <v>1171.75</v>
      </c>
    </row>
    <row r="98" spans="1:9">
      <c r="A98" s="20"/>
      <c r="B98" s="43" t="s">
        <v>53</v>
      </c>
      <c r="C98" s="123"/>
      <c r="D98" s="49"/>
      <c r="E98" s="39"/>
      <c r="F98" s="39"/>
      <c r="G98" s="39"/>
      <c r="H98" s="39"/>
      <c r="I98" s="23">
        <f>SUM(I93:I97)</f>
        <v>11442.043100000001</v>
      </c>
    </row>
    <row r="99" spans="1:9">
      <c r="A99" s="20"/>
      <c r="B99" s="47" t="s">
        <v>80</v>
      </c>
      <c r="C99" s="12"/>
      <c r="D99" s="12"/>
      <c r="E99" s="40"/>
      <c r="F99" s="40"/>
      <c r="G99" s="41"/>
      <c r="H99" s="41"/>
      <c r="I99" s="13">
        <v>0</v>
      </c>
    </row>
    <row r="100" spans="1:9">
      <c r="A100" s="50"/>
      <c r="B100" s="44" t="s">
        <v>158</v>
      </c>
      <c r="C100" s="28"/>
      <c r="D100" s="28"/>
      <c r="E100" s="28"/>
      <c r="F100" s="28"/>
      <c r="G100" s="28"/>
      <c r="H100" s="28"/>
      <c r="I100" s="42">
        <f>I98+I91</f>
        <v>125036.46623459995</v>
      </c>
    </row>
    <row r="101" spans="1:9" ht="15.75">
      <c r="A101" s="183" t="s">
        <v>245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>
      <c r="A102" s="56"/>
      <c r="B102" s="184" t="s">
        <v>246</v>
      </c>
      <c r="C102" s="184"/>
      <c r="D102" s="184"/>
      <c r="E102" s="184"/>
      <c r="F102" s="184"/>
      <c r="G102" s="184"/>
      <c r="H102" s="59"/>
      <c r="I102" s="2"/>
    </row>
    <row r="103" spans="1:9">
      <c r="A103" s="127"/>
      <c r="B103" s="171" t="s">
        <v>6</v>
      </c>
      <c r="C103" s="171"/>
      <c r="D103" s="171"/>
      <c r="E103" s="171"/>
      <c r="F103" s="171"/>
      <c r="G103" s="171"/>
      <c r="H103" s="15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185" t="s">
        <v>7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>
      <c r="A106" s="185" t="s">
        <v>8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>
      <c r="A107" s="175" t="s">
        <v>62</v>
      </c>
      <c r="B107" s="175"/>
      <c r="C107" s="175"/>
      <c r="D107" s="175"/>
      <c r="E107" s="175"/>
      <c r="F107" s="175"/>
      <c r="G107" s="175"/>
      <c r="H107" s="175"/>
      <c r="I107" s="175"/>
    </row>
    <row r="108" spans="1:9" ht="15.75">
      <c r="A108" s="8"/>
    </row>
    <row r="109" spans="1:9" ht="15.75">
      <c r="A109" s="169" t="s">
        <v>9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15.75">
      <c r="A110" s="3"/>
    </row>
    <row r="111" spans="1:9" ht="15.75">
      <c r="B111" s="128" t="s">
        <v>10</v>
      </c>
      <c r="C111" s="170" t="s">
        <v>124</v>
      </c>
      <c r="D111" s="170"/>
      <c r="E111" s="170"/>
      <c r="F111" s="57"/>
      <c r="I111" s="126"/>
    </row>
    <row r="112" spans="1:9">
      <c r="A112" s="127"/>
      <c r="C112" s="171" t="s">
        <v>11</v>
      </c>
      <c r="D112" s="171"/>
      <c r="E112" s="171"/>
      <c r="F112" s="15"/>
      <c r="I112" s="125" t="s">
        <v>12</v>
      </c>
    </row>
    <row r="113" spans="1:9" ht="15.75">
      <c r="A113" s="16"/>
      <c r="C113" s="9"/>
      <c r="D113" s="9"/>
      <c r="G113" s="9"/>
      <c r="H113" s="9"/>
    </row>
    <row r="114" spans="1:9" ht="15.75">
      <c r="B114" s="128" t="s">
        <v>13</v>
      </c>
      <c r="C114" s="172"/>
      <c r="D114" s="172"/>
      <c r="E114" s="172"/>
      <c r="F114" s="58"/>
      <c r="I114" s="126"/>
    </row>
    <row r="115" spans="1:9">
      <c r="A115" s="127"/>
      <c r="C115" s="173" t="s">
        <v>11</v>
      </c>
      <c r="D115" s="173"/>
      <c r="E115" s="173"/>
      <c r="F115" s="127"/>
      <c r="I115" s="125" t="s">
        <v>12</v>
      </c>
    </row>
    <row r="116" spans="1:9" ht="15.75">
      <c r="A116" s="3" t="s">
        <v>14</v>
      </c>
    </row>
    <row r="117" spans="1:9">
      <c r="A117" s="174" t="s">
        <v>15</v>
      </c>
      <c r="B117" s="174"/>
      <c r="C117" s="174"/>
      <c r="D117" s="174"/>
      <c r="E117" s="174"/>
      <c r="F117" s="174"/>
      <c r="G117" s="174"/>
      <c r="H117" s="174"/>
      <c r="I117" s="174"/>
    </row>
    <row r="118" spans="1:9" ht="46.5" customHeight="1">
      <c r="A118" s="168" t="s">
        <v>16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35.25" customHeight="1">
      <c r="A119" s="168" t="s">
        <v>17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6.75" customHeight="1">
      <c r="A120" s="168" t="s">
        <v>21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15.75">
      <c r="A121" s="168" t="s">
        <v>20</v>
      </c>
      <c r="B121" s="168"/>
      <c r="C121" s="168"/>
      <c r="D121" s="168"/>
      <c r="E121" s="168"/>
      <c r="F121" s="168"/>
      <c r="G121" s="168"/>
      <c r="H121" s="168"/>
      <c r="I121" s="168"/>
    </row>
  </sheetData>
  <mergeCells count="28"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15:E115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117:I117"/>
    <mergeCell ref="A118:I118"/>
    <mergeCell ref="A119:I119"/>
    <mergeCell ref="A120:I120"/>
    <mergeCell ref="A121:I121"/>
  </mergeCells>
  <pageMargins left="0.70866141732283472" right="0.31496062992125984" top="0.74803149606299213" bottom="0.74803149606299213" header="0.31496062992125984" footer="0.31496062992125984"/>
  <pageSetup paperSize="9" scale="6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2"/>
  <sheetViews>
    <sheetView topLeftCell="A72" workbookViewId="0">
      <selection activeCell="L90" sqref="L90"/>
    </sheetView>
  </sheetViews>
  <sheetFormatPr defaultRowHeight="15"/>
  <cols>
    <col min="1" max="1" width="11.5703125" customWidth="1"/>
    <col min="2" max="2" width="47.7109375" customWidth="1"/>
    <col min="3" max="3" width="18.28515625" customWidth="1"/>
    <col min="4" max="4" width="23" customWidth="1"/>
    <col min="5" max="6" width="0" hidden="1" customWidth="1"/>
    <col min="7" max="7" width="17.42578125" customWidth="1"/>
    <col min="8" max="8" width="0" hidden="1" customWidth="1"/>
    <col min="9" max="9" width="20.1406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167</v>
      </c>
      <c r="B3" s="187"/>
      <c r="C3" s="187"/>
      <c r="D3" s="187"/>
      <c r="E3" s="187"/>
      <c r="F3" s="187"/>
      <c r="G3" s="187"/>
      <c r="H3" s="187"/>
      <c r="I3" s="187"/>
    </row>
    <row r="4" spans="1:9" ht="34.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208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32"/>
      <c r="C6" s="132"/>
      <c r="D6" s="132"/>
      <c r="E6" s="132"/>
      <c r="F6" s="132"/>
      <c r="G6" s="132"/>
      <c r="H6" s="132"/>
      <c r="I6" s="21">
        <v>43646</v>
      </c>
    </row>
    <row r="7" spans="1:9" ht="3" customHeight="1">
      <c r="B7" s="133"/>
      <c r="C7" s="133"/>
      <c r="D7" s="133"/>
      <c r="E7" s="2"/>
      <c r="F7" s="2"/>
      <c r="G7" s="2"/>
      <c r="H7" s="2"/>
    </row>
    <row r="8" spans="1:9" ht="78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70.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57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6.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20.2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6.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idden="1">
      <c r="A20" s="20">
        <v>5</v>
      </c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idden="1">
      <c r="A21" s="20">
        <v>6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>
        <v>8</v>
      </c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idden="1">
      <c r="A24" s="20">
        <v>9</v>
      </c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3.5" customHeight="1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9.5" customHeight="1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20.25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6.5" customHeight="1">
      <c r="A29" s="20">
        <v>6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4" si="2">SUM(F29*G29/1000)</f>
        <v>6.2509574400000005</v>
      </c>
      <c r="I29" s="10">
        <f t="shared" ref="I29:I32" si="3">F29/6*G29</f>
        <v>1041.8262400000001</v>
      </c>
    </row>
    <row r="30" spans="1:9" ht="45.75" customHeight="1">
      <c r="A30" s="20">
        <v>7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idden="1">
      <c r="A31" s="20">
        <v>15</v>
      </c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6.5" customHeight="1">
      <c r="A32" s="20">
        <v>8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si="2"/>
        <v>0.50183999999999995</v>
      </c>
      <c r="I33" s="10">
        <v>0</v>
      </c>
    </row>
    <row r="34" spans="1:9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2"/>
        <v>4.4709300000000001</v>
      </c>
      <c r="I34" s="10">
        <v>0</v>
      </c>
    </row>
    <row r="35" spans="1:9" hidden="1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4">SUM(F36*G36/1000)</f>
        <v>16.024000000000001</v>
      </c>
      <c r="I36" s="10">
        <f t="shared" ref="I36:I44" si="5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4"/>
        <v>13.48002864</v>
      </c>
      <c r="I37" s="10">
        <f t="shared" si="5"/>
        <v>2246.6714400000001</v>
      </c>
    </row>
    <row r="38" spans="1:9" ht="30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4"/>
        <v>13.404982799999999</v>
      </c>
      <c r="I38" s="10">
        <f t="shared" si="5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4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60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4"/>
        <v>37.20335008</v>
      </c>
      <c r="I41" s="10">
        <f t="shared" si="5"/>
        <v>6200.5583466666667</v>
      </c>
    </row>
    <row r="42" spans="1:9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4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4"/>
        <v>0.8773470000000001</v>
      </c>
      <c r="I43" s="10">
        <f>(F43/7.5*1.5)*G43</f>
        <v>175.46940000000004</v>
      </c>
    </row>
    <row r="44" spans="1:9" ht="30" hidden="1">
      <c r="A44" s="20">
        <v>14</v>
      </c>
      <c r="B44" s="68" t="s">
        <v>146</v>
      </c>
      <c r="C44" s="55" t="s">
        <v>29</v>
      </c>
      <c r="D44" s="26" t="s">
        <v>147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4"/>
        <v>7.4937599999999986E-3</v>
      </c>
      <c r="I44" s="10">
        <f t="shared" si="5"/>
        <v>1.2489599999999998</v>
      </c>
    </row>
    <row r="45" spans="1:9" hidden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idden="1">
      <c r="A46" s="20">
        <v>18</v>
      </c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6">SUM(F46*G46/1000)</f>
        <v>3.842075006</v>
      </c>
      <c r="I46" s="10">
        <f t="shared" ref="I46:I54" si="7">F46/2*G46</f>
        <v>1921.037503</v>
      </c>
    </row>
    <row r="47" spans="1:9" hidden="1">
      <c r="A47" s="20">
        <v>19</v>
      </c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6"/>
        <v>0.91916240000000005</v>
      </c>
      <c r="I47" s="10">
        <f t="shared" si="7"/>
        <v>459.58120000000002</v>
      </c>
    </row>
    <row r="48" spans="1:9" hidden="1">
      <c r="A48" s="20">
        <v>20</v>
      </c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6"/>
        <v>7.2034689005999999</v>
      </c>
      <c r="I48" s="10">
        <f t="shared" si="7"/>
        <v>3601.7344502999999</v>
      </c>
    </row>
    <row r="49" spans="1:9" hidden="1">
      <c r="A49" s="20">
        <v>21</v>
      </c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6"/>
        <v>6.6006486806</v>
      </c>
      <c r="I49" s="10">
        <f t="shared" si="7"/>
        <v>3300.3243403000001</v>
      </c>
    </row>
    <row r="50" spans="1:9" hidden="1">
      <c r="A50" s="20">
        <v>22</v>
      </c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6"/>
        <v>3.4774048560000002</v>
      </c>
      <c r="I50" s="10">
        <f t="shared" si="7"/>
        <v>1738.7024280000001</v>
      </c>
    </row>
    <row r="51" spans="1:9" hidden="1">
      <c r="A51" s="20">
        <v>23</v>
      </c>
      <c r="B51" s="25" t="s">
        <v>57</v>
      </c>
      <c r="C51" s="37" t="s">
        <v>88</v>
      </c>
      <c r="D51" s="25" t="s">
        <v>134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6"/>
        <v>39.635185905</v>
      </c>
      <c r="I51" s="10">
        <f>F51/5*G51</f>
        <v>7927.0371809999997</v>
      </c>
    </row>
    <row r="52" spans="1:9" ht="45" hidden="1">
      <c r="A52" s="20">
        <v>24</v>
      </c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6"/>
        <v>13.989845679999998</v>
      </c>
      <c r="I52" s="10">
        <f t="shared" si="7"/>
        <v>6994.9228399999993</v>
      </c>
    </row>
    <row r="53" spans="1:9" ht="30" hidden="1">
      <c r="A53" s="20">
        <v>25</v>
      </c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6"/>
        <v>3.2466560000000002</v>
      </c>
      <c r="I53" s="10">
        <f t="shared" si="7"/>
        <v>1623.3280000000002</v>
      </c>
    </row>
    <row r="54" spans="1:9" hidden="1">
      <c r="A54" s="20">
        <v>26</v>
      </c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6"/>
        <v>0.14825839999999998</v>
      </c>
      <c r="I54" s="10">
        <f t="shared" si="7"/>
        <v>74.129199999999997</v>
      </c>
    </row>
    <row r="55" spans="1:9" hidden="1">
      <c r="A55" s="20">
        <v>27</v>
      </c>
      <c r="B55" s="25" t="s">
        <v>42</v>
      </c>
      <c r="C55" s="37" t="s">
        <v>95</v>
      </c>
      <c r="D55" s="25" t="s">
        <v>71</v>
      </c>
      <c r="E55" s="76">
        <v>160</v>
      </c>
      <c r="F55" s="24">
        <f>SUM(E55)*3</f>
        <v>480</v>
      </c>
      <c r="G55" s="30">
        <v>86.15</v>
      </c>
      <c r="H55" s="77">
        <f t="shared" si="6"/>
        <v>41.351999999999997</v>
      </c>
      <c r="I55" s="10">
        <f>F55/3*G55</f>
        <v>13784</v>
      </c>
    </row>
    <row r="56" spans="1:9">
      <c r="A56" s="177" t="s">
        <v>126</v>
      </c>
      <c r="B56" s="178"/>
      <c r="C56" s="178"/>
      <c r="D56" s="178"/>
      <c r="E56" s="178"/>
      <c r="F56" s="178"/>
      <c r="G56" s="178"/>
      <c r="H56" s="178"/>
      <c r="I56" s="179"/>
    </row>
    <row r="57" spans="1:9" hidden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45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8">F58/6*G58</f>
        <v>3246.8799999999997</v>
      </c>
    </row>
    <row r="59" spans="1:9" hidden="1">
      <c r="A59" s="20">
        <v>18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G59*(1.5+1+1.5)</f>
        <v>6328.2</v>
      </c>
    </row>
    <row r="60" spans="1:9" ht="16.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8" customHeight="1">
      <c r="A62" s="20">
        <v>9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t="18" customHeight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19.5" hidden="1" customHeight="1">
      <c r="A64" s="20">
        <v>18</v>
      </c>
      <c r="B64" s="52" t="s">
        <v>48</v>
      </c>
      <c r="C64" s="33" t="s">
        <v>95</v>
      </c>
      <c r="D64" s="25" t="s">
        <v>67</v>
      </c>
      <c r="E64" s="13">
        <v>10</v>
      </c>
      <c r="F64" s="24">
        <f>SUM(E64)</f>
        <v>10</v>
      </c>
      <c r="G64" s="29">
        <v>291.68</v>
      </c>
      <c r="H64" s="66">
        <f t="shared" ref="H64:H85" si="9">SUM(F64*G64/1000)</f>
        <v>2.9168000000000003</v>
      </c>
      <c r="I64" s="10">
        <f>G64*3</f>
        <v>875.04</v>
      </c>
    </row>
    <row r="65" spans="1:9" ht="17.25" hidden="1" customHeight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9"/>
        <v>0.50004999999999999</v>
      </c>
      <c r="I65" s="10">
        <v>0</v>
      </c>
    </row>
    <row r="66" spans="1:9" ht="15.75" customHeight="1">
      <c r="A66" s="20">
        <v>10</v>
      </c>
      <c r="B66" s="52" t="s">
        <v>50</v>
      </c>
      <c r="C66" s="35" t="s">
        <v>96</v>
      </c>
      <c r="D66" s="32"/>
      <c r="E66" s="76">
        <v>24063</v>
      </c>
      <c r="F66" s="30">
        <f>SUM(E66/100)</f>
        <v>240.63</v>
      </c>
      <c r="G66" s="29">
        <v>278.24</v>
      </c>
      <c r="H66" s="66">
        <f t="shared" si="9"/>
        <v>66.952891199999996</v>
      </c>
      <c r="I66" s="10">
        <f>F66*G66</f>
        <v>66952.891199999998</v>
      </c>
    </row>
    <row r="67" spans="1:9" ht="16.5" customHeight="1">
      <c r="A67" s="20">
        <v>11</v>
      </c>
      <c r="B67" s="52" t="s">
        <v>51</v>
      </c>
      <c r="C67" s="33" t="s">
        <v>97</v>
      </c>
      <c r="D67" s="32"/>
      <c r="E67" s="76">
        <v>24063</v>
      </c>
      <c r="F67" s="29">
        <f>SUM(E67/1000)</f>
        <v>24.062999999999999</v>
      </c>
      <c r="G67" s="29">
        <v>216.68</v>
      </c>
      <c r="H67" s="66">
        <f t="shared" si="9"/>
        <v>5.21397084</v>
      </c>
      <c r="I67" s="10">
        <f t="shared" ref="I67:I71" si="10">F67*G67</f>
        <v>5213.97084</v>
      </c>
    </row>
    <row r="68" spans="1:9" ht="15.75" customHeight="1">
      <c r="A68" s="20">
        <v>12</v>
      </c>
      <c r="B68" s="52" t="s">
        <v>52</v>
      </c>
      <c r="C68" s="33" t="s">
        <v>78</v>
      </c>
      <c r="D68" s="32"/>
      <c r="E68" s="76">
        <v>1300</v>
      </c>
      <c r="F68" s="29">
        <f>SUM(E68/100)</f>
        <v>13</v>
      </c>
      <c r="G68" s="29">
        <v>2720.94</v>
      </c>
      <c r="H68" s="66">
        <f t="shared" si="9"/>
        <v>35.372219999999999</v>
      </c>
      <c r="I68" s="10">
        <f t="shared" si="10"/>
        <v>35372.22</v>
      </c>
    </row>
    <row r="69" spans="1:9" ht="16.5" customHeight="1">
      <c r="A69" s="20">
        <v>13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9"/>
        <v>0.44314399999999998</v>
      </c>
      <c r="I69" s="10">
        <f t="shared" si="10"/>
        <v>443.14400000000001</v>
      </c>
    </row>
    <row r="70" spans="1:9" ht="30" customHeight="1">
      <c r="A70" s="20">
        <v>14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9"/>
        <v>0.47881600000000002</v>
      </c>
      <c r="I70" s="10">
        <f t="shared" si="10"/>
        <v>478.81600000000003</v>
      </c>
    </row>
    <row r="71" spans="1:9" ht="21" hidden="1" customHeight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9"/>
        <v>0.3271</v>
      </c>
      <c r="I71" s="10">
        <f t="shared" si="10"/>
        <v>327.10000000000002</v>
      </c>
    </row>
    <row r="72" spans="1:9" ht="18.7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1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1"/>
        <v>0.73499999999999999</v>
      </c>
      <c r="I74" s="10">
        <v>0</v>
      </c>
    </row>
    <row r="75" spans="1:9" ht="19.5" hidden="1" customHeight="1">
      <c r="A75" s="20">
        <v>11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1"/>
        <v>0.46050899999999995</v>
      </c>
      <c r="I75" s="10">
        <f>G75*0.3</f>
        <v>197.36099999999999</v>
      </c>
    </row>
    <row r="76" spans="1:9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1"/>
        <v>1.1187199999999999</v>
      </c>
      <c r="I76" s="10">
        <v>0</v>
      </c>
    </row>
    <row r="77" spans="1:9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30.75" customHeight="1">
      <c r="A78" s="20">
        <v>15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2">SUM(F78*G78/1000)</f>
        <v>1.2820799999999999</v>
      </c>
      <c r="I78" s="10">
        <f>F78/12*G78</f>
        <v>106.84</v>
      </c>
    </row>
    <row r="79" spans="1:9" ht="16.5" customHeight="1">
      <c r="A79" s="20">
        <v>16</v>
      </c>
      <c r="B79" s="62" t="s">
        <v>117</v>
      </c>
      <c r="C79" s="33"/>
      <c r="D79" s="32" t="s">
        <v>220</v>
      </c>
      <c r="E79" s="13">
        <v>1</v>
      </c>
      <c r="F79" s="29">
        <v>12</v>
      </c>
      <c r="G79" s="29">
        <v>1194</v>
      </c>
      <c r="H79" s="66">
        <f t="shared" si="12"/>
        <v>14.327999999999999</v>
      </c>
      <c r="I79" s="10">
        <f>F79/12*G79</f>
        <v>1194</v>
      </c>
    </row>
    <row r="80" spans="1:9" hidden="1">
      <c r="A80" s="20"/>
      <c r="B80" s="122" t="s">
        <v>47</v>
      </c>
      <c r="C80" s="119"/>
      <c r="D80" s="120"/>
      <c r="E80" s="13"/>
      <c r="F80" s="29"/>
      <c r="G80" s="29"/>
      <c r="H80" s="66"/>
      <c r="I80" s="10"/>
    </row>
    <row r="81" spans="1:9" hidden="1">
      <c r="A81" s="20"/>
      <c r="B81" s="52" t="s">
        <v>48</v>
      </c>
      <c r="C81" s="33" t="s">
        <v>95</v>
      </c>
      <c r="D81" s="32" t="s">
        <v>67</v>
      </c>
      <c r="E81" s="13"/>
      <c r="F81" s="29"/>
      <c r="G81" s="29">
        <v>291.68</v>
      </c>
      <c r="H81" s="66"/>
      <c r="I81" s="10">
        <f>G81*1</f>
        <v>291.68</v>
      </c>
    </row>
    <row r="82" spans="1:9" ht="23.25" customHeight="1">
      <c r="A82" s="20"/>
      <c r="B82" s="97" t="s">
        <v>155</v>
      </c>
      <c r="C82" s="55"/>
      <c r="D82" s="32"/>
      <c r="E82" s="13"/>
      <c r="F82" s="29"/>
      <c r="G82" s="29"/>
      <c r="H82" s="66"/>
      <c r="I82" s="10"/>
    </row>
    <row r="83" spans="1:9" ht="16.5" customHeight="1">
      <c r="A83" s="20">
        <v>17</v>
      </c>
      <c r="B83" s="32" t="s">
        <v>156</v>
      </c>
      <c r="C83" s="38" t="s">
        <v>157</v>
      </c>
      <c r="D83" s="25"/>
      <c r="E83" s="13">
        <v>4394.8999999999996</v>
      </c>
      <c r="F83" s="29">
        <f>SUM(E83*12)</f>
        <v>52738.799999999996</v>
      </c>
      <c r="G83" s="29">
        <v>2.2799999999999998</v>
      </c>
      <c r="H83" s="66">
        <f t="shared" ref="H83" si="13">SUM(F83*G83/1000)</f>
        <v>120.24446399999998</v>
      </c>
      <c r="I83" s="10">
        <f>F83/12*G83</f>
        <v>10020.371999999998</v>
      </c>
    </row>
    <row r="84" spans="1:9" hidden="1">
      <c r="A84" s="20"/>
      <c r="B84" s="46" t="s">
        <v>77</v>
      </c>
      <c r="C84" s="33"/>
      <c r="D84" s="32"/>
      <c r="E84" s="13"/>
      <c r="F84" s="29"/>
      <c r="G84" s="29" t="s">
        <v>129</v>
      </c>
      <c r="H84" s="66" t="s">
        <v>129</v>
      </c>
      <c r="I84" s="10"/>
    </row>
    <row r="85" spans="1:9" hidden="1">
      <c r="A85" s="20"/>
      <c r="B85" s="34" t="s">
        <v>100</v>
      </c>
      <c r="C85" s="35" t="s">
        <v>78</v>
      </c>
      <c r="D85" s="52"/>
      <c r="E85" s="89"/>
      <c r="F85" s="30">
        <v>0.6</v>
      </c>
      <c r="G85" s="30">
        <v>3619.09</v>
      </c>
      <c r="H85" s="66">
        <f t="shared" si="9"/>
        <v>2.1714540000000002</v>
      </c>
      <c r="I85" s="10">
        <v>0</v>
      </c>
    </row>
    <row r="86" spans="1:9" ht="15.75" customHeight="1">
      <c r="A86" s="20"/>
      <c r="B86" s="131" t="s">
        <v>92</v>
      </c>
      <c r="C86" s="64"/>
      <c r="D86" s="22"/>
      <c r="E86" s="23"/>
      <c r="F86" s="61"/>
      <c r="G86" s="61"/>
      <c r="H86" s="90">
        <f>SUM(H58:H85)</f>
        <v>284.91172943999999</v>
      </c>
      <c r="I86" s="10"/>
    </row>
    <row r="87" spans="1:9" ht="16.5" customHeight="1">
      <c r="A87" s="20">
        <v>18</v>
      </c>
      <c r="B87" s="25" t="s">
        <v>98</v>
      </c>
      <c r="C87" s="91"/>
      <c r="D87" s="92"/>
      <c r="E87" s="93"/>
      <c r="F87" s="31">
        <v>1</v>
      </c>
      <c r="G87" s="31">
        <v>3387</v>
      </c>
      <c r="H87" s="66">
        <f>G87*F87/1000</f>
        <v>3.387</v>
      </c>
      <c r="I87" s="10">
        <f>G87*1</f>
        <v>3387</v>
      </c>
    </row>
    <row r="88" spans="1:9">
      <c r="A88" s="177" t="s">
        <v>127</v>
      </c>
      <c r="B88" s="178"/>
      <c r="C88" s="178"/>
      <c r="D88" s="178"/>
      <c r="E88" s="178"/>
      <c r="F88" s="178"/>
      <c r="G88" s="178"/>
      <c r="H88" s="178"/>
      <c r="I88" s="179"/>
    </row>
    <row r="89" spans="1:9" ht="15.75" customHeight="1">
      <c r="A89" s="20">
        <v>19</v>
      </c>
      <c r="B89" s="25" t="s">
        <v>99</v>
      </c>
      <c r="C89" s="33" t="s">
        <v>56</v>
      </c>
      <c r="D89" s="53"/>
      <c r="E89" s="29">
        <v>4394.8999999999996</v>
      </c>
      <c r="F89" s="29">
        <f>SUM(E89*12)</f>
        <v>52738.799999999996</v>
      </c>
      <c r="G89" s="29">
        <v>3.1</v>
      </c>
      <c r="H89" s="66">
        <f>SUM(F89*G89/1000)</f>
        <v>163.49028000000001</v>
      </c>
      <c r="I89" s="10">
        <f>F89/12*G89</f>
        <v>13624.189999999999</v>
      </c>
    </row>
    <row r="90" spans="1:9" ht="32.25" customHeight="1">
      <c r="A90" s="20">
        <v>20</v>
      </c>
      <c r="B90" s="32" t="s">
        <v>79</v>
      </c>
      <c r="C90" s="33"/>
      <c r="D90" s="53"/>
      <c r="E90" s="76">
        <f>E89</f>
        <v>4394.8999999999996</v>
      </c>
      <c r="F90" s="29">
        <f>E90*12</f>
        <v>52738.799999999996</v>
      </c>
      <c r="G90" s="29">
        <v>3.5</v>
      </c>
      <c r="H90" s="66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81</v>
      </c>
      <c r="C91" s="64"/>
      <c r="D91" s="63"/>
      <c r="E91" s="61"/>
      <c r="F91" s="61"/>
      <c r="G91" s="61"/>
      <c r="H91" s="65">
        <f>SUM(H76)</f>
        <v>1.1187199999999999</v>
      </c>
      <c r="I91" s="61">
        <f>I90+I89+I87+I83+I79+I78+I70+I69+I68+I67+I66+I62+I32+I30+I29+I26+I25+I18+I17+I16</f>
        <v>177703.68825000004</v>
      </c>
    </row>
    <row r="92" spans="1:9">
      <c r="A92" s="180" t="s">
        <v>61</v>
      </c>
      <c r="B92" s="181"/>
      <c r="C92" s="181"/>
      <c r="D92" s="181"/>
      <c r="E92" s="181"/>
      <c r="F92" s="181"/>
      <c r="G92" s="181"/>
      <c r="H92" s="181"/>
      <c r="I92" s="182"/>
    </row>
    <row r="93" spans="1:9" ht="28.5" customHeight="1">
      <c r="A93" s="20">
        <v>21</v>
      </c>
      <c r="B93" s="68" t="s">
        <v>173</v>
      </c>
      <c r="C93" s="55" t="s">
        <v>118</v>
      </c>
      <c r="D93" s="47"/>
      <c r="E93" s="10"/>
      <c r="F93" s="10">
        <v>158</v>
      </c>
      <c r="G93" s="29">
        <v>644.72</v>
      </c>
      <c r="H93" s="60">
        <f>G93*F93/1000</f>
        <v>101.86576000000001</v>
      </c>
      <c r="I93" s="110">
        <f>G93*1</f>
        <v>644.72</v>
      </c>
    </row>
    <row r="94" spans="1:9" ht="13.5" customHeight="1">
      <c r="A94" s="20">
        <v>22</v>
      </c>
      <c r="B94" s="68" t="s">
        <v>209</v>
      </c>
      <c r="C94" s="55" t="s">
        <v>95</v>
      </c>
      <c r="D94" s="32"/>
      <c r="E94" s="13"/>
      <c r="F94" s="29">
        <v>42</v>
      </c>
      <c r="G94" s="29">
        <v>154.52000000000001</v>
      </c>
      <c r="H94" s="66">
        <f>G94*F94/1000</f>
        <v>6.4898400000000001</v>
      </c>
      <c r="I94" s="110">
        <f>G94*1</f>
        <v>154.52000000000001</v>
      </c>
    </row>
    <row r="95" spans="1:9" hidden="1">
      <c r="A95" s="20">
        <v>42</v>
      </c>
      <c r="B95" s="68"/>
      <c r="C95" s="55"/>
      <c r="D95" s="67"/>
      <c r="E95" s="29"/>
      <c r="F95" s="29">
        <v>1</v>
      </c>
      <c r="G95" s="29"/>
      <c r="H95" s="60">
        <f>G95*F95/1000</f>
        <v>0</v>
      </c>
      <c r="I95" s="110"/>
    </row>
    <row r="96" spans="1:9">
      <c r="A96" s="20">
        <v>23</v>
      </c>
      <c r="B96" s="69" t="s">
        <v>210</v>
      </c>
      <c r="C96" s="143" t="s">
        <v>95</v>
      </c>
      <c r="D96" s="67"/>
      <c r="E96" s="29"/>
      <c r="F96" s="29"/>
      <c r="G96" s="29">
        <v>138.62</v>
      </c>
      <c r="H96" s="60"/>
      <c r="I96" s="110">
        <f>G96*1</f>
        <v>138.62</v>
      </c>
    </row>
    <row r="97" spans="1:9" ht="30">
      <c r="A97" s="20">
        <v>24</v>
      </c>
      <c r="B97" s="68" t="s">
        <v>119</v>
      </c>
      <c r="C97" s="55" t="s">
        <v>95</v>
      </c>
      <c r="D97" s="67"/>
      <c r="E97" s="29"/>
      <c r="F97" s="29"/>
      <c r="G97" s="121">
        <v>58.39</v>
      </c>
      <c r="H97" s="60"/>
      <c r="I97" s="110">
        <f>G97*1</f>
        <v>58.39</v>
      </c>
    </row>
    <row r="98" spans="1:9">
      <c r="A98" s="20">
        <v>25</v>
      </c>
      <c r="B98" s="68" t="s">
        <v>199</v>
      </c>
      <c r="C98" s="55" t="s">
        <v>41</v>
      </c>
      <c r="D98" s="67"/>
      <c r="E98" s="29"/>
      <c r="F98" s="29"/>
      <c r="G98" s="121">
        <v>26095.37</v>
      </c>
      <c r="H98" s="60"/>
      <c r="I98" s="110">
        <f>G98*0.01</f>
        <v>260.95369999999997</v>
      </c>
    </row>
    <row r="99" spans="1:9" ht="14.25" customHeight="1">
      <c r="A99" s="20"/>
      <c r="B99" s="43" t="s">
        <v>53</v>
      </c>
      <c r="C99" s="123"/>
      <c r="D99" s="49"/>
      <c r="E99" s="39"/>
      <c r="F99" s="39"/>
      <c r="G99" s="39"/>
      <c r="H99" s="39"/>
      <c r="I99" s="23">
        <f>SUM(I93:I98)</f>
        <v>1257.2037</v>
      </c>
    </row>
    <row r="100" spans="1:9">
      <c r="A100" s="20"/>
      <c r="B100" s="47" t="s">
        <v>80</v>
      </c>
      <c r="C100" s="12"/>
      <c r="D100" s="12"/>
      <c r="E100" s="40"/>
      <c r="F100" s="40"/>
      <c r="G100" s="41"/>
      <c r="H100" s="41"/>
      <c r="I100" s="13">
        <v>0</v>
      </c>
    </row>
    <row r="101" spans="1:9">
      <c r="A101" s="50"/>
      <c r="B101" s="44" t="s">
        <v>158</v>
      </c>
      <c r="C101" s="28"/>
      <c r="D101" s="28"/>
      <c r="E101" s="28"/>
      <c r="F101" s="28"/>
      <c r="G101" s="28"/>
      <c r="H101" s="28"/>
      <c r="I101" s="42">
        <f>I99+I91</f>
        <v>178960.89195000005</v>
      </c>
    </row>
    <row r="102" spans="1:9" ht="15.75">
      <c r="A102" s="183" t="s">
        <v>233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>
      <c r="A103" s="56"/>
      <c r="B103" s="184" t="s">
        <v>234</v>
      </c>
      <c r="C103" s="184"/>
      <c r="D103" s="184"/>
      <c r="E103" s="184"/>
      <c r="F103" s="184"/>
      <c r="G103" s="184"/>
      <c r="H103" s="59"/>
      <c r="I103" s="2"/>
    </row>
    <row r="104" spans="1:9">
      <c r="A104" s="136"/>
      <c r="B104" s="171" t="s">
        <v>6</v>
      </c>
      <c r="C104" s="171"/>
      <c r="D104" s="171"/>
      <c r="E104" s="171"/>
      <c r="F104" s="171"/>
      <c r="G104" s="171"/>
      <c r="H104" s="15"/>
      <c r="I104" s="4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>
      <c r="A106" s="185" t="s">
        <v>7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>
      <c r="A107" s="185" t="s">
        <v>8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>
      <c r="A108" s="175" t="s">
        <v>62</v>
      </c>
      <c r="B108" s="175"/>
      <c r="C108" s="175"/>
      <c r="D108" s="175"/>
      <c r="E108" s="175"/>
      <c r="F108" s="175"/>
      <c r="G108" s="175"/>
      <c r="H108" s="175"/>
      <c r="I108" s="175"/>
    </row>
    <row r="109" spans="1:9" ht="15.75">
      <c r="A109" s="8"/>
    </row>
    <row r="110" spans="1:9" ht="15.75">
      <c r="A110" s="169" t="s">
        <v>9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15.75">
      <c r="A111" s="3"/>
    </row>
    <row r="112" spans="1:9" ht="15.75">
      <c r="B112" s="133" t="s">
        <v>10</v>
      </c>
      <c r="C112" s="170" t="s">
        <v>124</v>
      </c>
      <c r="D112" s="170"/>
      <c r="E112" s="170"/>
      <c r="F112" s="57"/>
      <c r="I112" s="135"/>
    </row>
    <row r="113" spans="1:9">
      <c r="A113" s="136"/>
      <c r="C113" s="171" t="s">
        <v>11</v>
      </c>
      <c r="D113" s="171"/>
      <c r="E113" s="171"/>
      <c r="F113" s="15"/>
      <c r="I113" s="134" t="s">
        <v>12</v>
      </c>
    </row>
    <row r="114" spans="1:9" ht="15.75">
      <c r="A114" s="16"/>
      <c r="C114" s="9"/>
      <c r="D114" s="9"/>
      <c r="G114" s="9"/>
      <c r="H114" s="9"/>
    </row>
    <row r="115" spans="1:9" ht="15.75">
      <c r="B115" s="133" t="s">
        <v>13</v>
      </c>
      <c r="C115" s="172"/>
      <c r="D115" s="172"/>
      <c r="E115" s="172"/>
      <c r="F115" s="58"/>
      <c r="I115" s="135"/>
    </row>
    <row r="116" spans="1:9">
      <c r="A116" s="136"/>
      <c r="C116" s="173" t="s">
        <v>11</v>
      </c>
      <c r="D116" s="173"/>
      <c r="E116" s="173"/>
      <c r="F116" s="136"/>
      <c r="I116" s="134" t="s">
        <v>12</v>
      </c>
    </row>
    <row r="117" spans="1:9" ht="15.75">
      <c r="A117" s="3" t="s">
        <v>14</v>
      </c>
    </row>
    <row r="118" spans="1:9">
      <c r="A118" s="174" t="s">
        <v>15</v>
      </c>
      <c r="B118" s="174"/>
      <c r="C118" s="174"/>
      <c r="D118" s="174"/>
      <c r="E118" s="174"/>
      <c r="F118" s="174"/>
      <c r="G118" s="174"/>
      <c r="H118" s="174"/>
      <c r="I118" s="174"/>
    </row>
    <row r="119" spans="1:9" ht="50.25" customHeight="1">
      <c r="A119" s="168" t="s">
        <v>16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9" customHeight="1">
      <c r="A120" s="168" t="s">
        <v>17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35.25" customHeight="1">
      <c r="A121" s="168" t="s">
        <v>21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15.75">
      <c r="A122" s="168" t="s">
        <v>20</v>
      </c>
      <c r="B122" s="168"/>
      <c r="C122" s="168"/>
      <c r="D122" s="168"/>
      <c r="E122" s="168"/>
      <c r="F122" s="168"/>
      <c r="G122" s="168"/>
      <c r="H122" s="168"/>
      <c r="I122" s="168"/>
    </row>
  </sheetData>
  <mergeCells count="28">
    <mergeCell ref="A118:I118"/>
    <mergeCell ref="A119:I119"/>
    <mergeCell ref="A120:I120"/>
    <mergeCell ref="A121:I121"/>
    <mergeCell ref="A122:I122"/>
    <mergeCell ref="C116:E116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0866141732283472" right="0.31496062992125984" top="0.74803149606299213" bottom="0.74803149606299213" header="0.31496062992125984" footer="0.31496062992125984"/>
  <pageSetup paperSize="9" scale="63" orientation="portrait" horizontalDpi="0" verticalDpi="0" r:id="rId1"/>
  <rowBreaks count="1" manualBreakCount="1"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6"/>
  <sheetViews>
    <sheetView workbookViewId="0">
      <selection activeCell="K91" sqref="K91"/>
    </sheetView>
  </sheetViews>
  <sheetFormatPr defaultRowHeight="15"/>
  <cols>
    <col min="1" max="1" width="11.5703125" customWidth="1"/>
    <col min="2" max="2" width="46.5703125" customWidth="1"/>
    <col min="3" max="3" width="18.7109375" customWidth="1"/>
    <col min="4" max="4" width="18.28515625" customWidth="1"/>
    <col min="5" max="6" width="0" hidden="1" customWidth="1"/>
    <col min="7" max="7" width="17.7109375" customWidth="1"/>
    <col min="8" max="8" width="0" hidden="1" customWidth="1"/>
    <col min="9" max="9" width="16.1406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170</v>
      </c>
      <c r="B3" s="187"/>
      <c r="C3" s="187"/>
      <c r="D3" s="187"/>
      <c r="E3" s="187"/>
      <c r="F3" s="187"/>
      <c r="G3" s="187"/>
      <c r="H3" s="187"/>
      <c r="I3" s="187"/>
    </row>
    <row r="4" spans="1:9" ht="32.2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240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42"/>
      <c r="C6" s="142"/>
      <c r="D6" s="142"/>
      <c r="E6" s="142"/>
      <c r="F6" s="142"/>
      <c r="G6" s="142"/>
      <c r="H6" s="142"/>
      <c r="I6" s="21">
        <v>43677</v>
      </c>
    </row>
    <row r="7" spans="1:9" ht="15.75">
      <c r="B7" s="140"/>
      <c r="C7" s="140"/>
      <c r="D7" s="140"/>
      <c r="E7" s="2"/>
      <c r="F7" s="2"/>
      <c r="G7" s="2"/>
      <c r="H7" s="2"/>
    </row>
    <row r="8" spans="1:9" ht="102.7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74.2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61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8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8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3.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idden="1">
      <c r="A20" s="20">
        <v>5</v>
      </c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t="18.75" customHeight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>
        <v>8</v>
      </c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idden="1">
      <c r="A24" s="20">
        <v>9</v>
      </c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8.75" customHeight="1">
      <c r="A25" s="20">
        <v>5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.75" customHeight="1">
      <c r="A26" s="20">
        <v>6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18.75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6.5" customHeight="1">
      <c r="A29" s="20">
        <v>7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2" si="2">SUM(F29*G29/1000)</f>
        <v>6.2509574400000005</v>
      </c>
      <c r="I29" s="10">
        <f t="shared" ref="I29:I32" si="3">F29/6*G29</f>
        <v>1041.8262400000001</v>
      </c>
    </row>
    <row r="30" spans="1:9" ht="46.5" customHeight="1">
      <c r="A30" s="20">
        <v>8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idden="1">
      <c r="A31" s="20">
        <v>15</v>
      </c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8.75" customHeight="1">
      <c r="A32" s="20">
        <v>9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ref="H33:H34" si="4">SUM(F33*G33/1000)</f>
        <v>0.50183999999999995</v>
      </c>
      <c r="I33" s="10">
        <v>0</v>
      </c>
    </row>
    <row r="34" spans="1:9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4"/>
        <v>4.4709300000000001</v>
      </c>
      <c r="I34" s="10">
        <v>0</v>
      </c>
    </row>
    <row r="35" spans="1:9" hidden="1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5"/>
        <v>13.48002864</v>
      </c>
      <c r="I37" s="10">
        <f t="shared" si="6"/>
        <v>2246.6714400000001</v>
      </c>
    </row>
    <row r="38" spans="1:9" ht="30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5"/>
        <v>13.404982799999999</v>
      </c>
      <c r="I38" s="10">
        <f t="shared" si="6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5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60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5"/>
        <v>37.20335008</v>
      </c>
      <c r="I41" s="10">
        <f t="shared" si="6"/>
        <v>6200.5583466666667</v>
      </c>
    </row>
    <row r="42" spans="1:9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5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5"/>
        <v>0.8773470000000001</v>
      </c>
      <c r="I43" s="10">
        <f>(F43/7.5*1.5)*G43</f>
        <v>175.46940000000004</v>
      </c>
    </row>
    <row r="44" spans="1:9" ht="30" hidden="1">
      <c r="A44" s="20">
        <v>14</v>
      </c>
      <c r="B44" s="68" t="s">
        <v>146</v>
      </c>
      <c r="C44" s="55" t="s">
        <v>29</v>
      </c>
      <c r="D44" s="26" t="s">
        <v>147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5"/>
        <v>7.4937599999999986E-3</v>
      </c>
      <c r="I44" s="10">
        <f t="shared" si="6"/>
        <v>1.2489599999999998</v>
      </c>
    </row>
    <row r="45" spans="1:9" hidden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idden="1">
      <c r="A46" s="20">
        <v>18</v>
      </c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20">
        <v>19</v>
      </c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7"/>
        <v>0.91916240000000005</v>
      </c>
      <c r="I47" s="10">
        <f t="shared" si="8"/>
        <v>459.58120000000002</v>
      </c>
    </row>
    <row r="48" spans="1:9" hidden="1">
      <c r="A48" s="20">
        <v>20</v>
      </c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7"/>
        <v>7.2034689005999999</v>
      </c>
      <c r="I48" s="10">
        <f t="shared" si="8"/>
        <v>3601.7344502999999</v>
      </c>
    </row>
    <row r="49" spans="1:9" hidden="1">
      <c r="A49" s="20">
        <v>21</v>
      </c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7"/>
        <v>6.6006486806</v>
      </c>
      <c r="I49" s="10">
        <f t="shared" si="8"/>
        <v>3300.3243403000001</v>
      </c>
    </row>
    <row r="50" spans="1:9" hidden="1">
      <c r="A50" s="20">
        <v>22</v>
      </c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7"/>
        <v>3.4774048560000002</v>
      </c>
      <c r="I50" s="10">
        <f t="shared" si="8"/>
        <v>1738.7024280000001</v>
      </c>
    </row>
    <row r="51" spans="1:9" hidden="1">
      <c r="A51" s="20">
        <v>23</v>
      </c>
      <c r="B51" s="25" t="s">
        <v>57</v>
      </c>
      <c r="C51" s="37" t="s">
        <v>88</v>
      </c>
      <c r="D51" s="25" t="s">
        <v>134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7"/>
        <v>39.635185905</v>
      </c>
      <c r="I51" s="10">
        <f>F51/5*G51</f>
        <v>7927.0371809999997</v>
      </c>
    </row>
    <row r="52" spans="1:9" ht="45" hidden="1">
      <c r="A52" s="20">
        <v>24</v>
      </c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7"/>
        <v>13.989845679999998</v>
      </c>
      <c r="I52" s="10">
        <f t="shared" si="8"/>
        <v>6994.9228399999993</v>
      </c>
    </row>
    <row r="53" spans="1:9" ht="30" hidden="1">
      <c r="A53" s="20">
        <v>25</v>
      </c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7"/>
        <v>3.2466560000000002</v>
      </c>
      <c r="I53" s="10">
        <f t="shared" si="8"/>
        <v>1623.3280000000002</v>
      </c>
    </row>
    <row r="54" spans="1:9" hidden="1">
      <c r="A54" s="20">
        <v>26</v>
      </c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7"/>
        <v>0.14825839999999998</v>
      </c>
      <c r="I54" s="10">
        <f t="shared" si="8"/>
        <v>74.129199999999997</v>
      </c>
    </row>
    <row r="55" spans="1:9" hidden="1">
      <c r="A55" s="20">
        <v>27</v>
      </c>
      <c r="B55" s="25" t="s">
        <v>42</v>
      </c>
      <c r="C55" s="37" t="s">
        <v>95</v>
      </c>
      <c r="D55" s="25" t="s">
        <v>71</v>
      </c>
      <c r="E55" s="76">
        <v>160</v>
      </c>
      <c r="F55" s="24">
        <f>SUM(E55)*3</f>
        <v>480</v>
      </c>
      <c r="G55" s="30">
        <v>86.15</v>
      </c>
      <c r="H55" s="77">
        <f t="shared" si="7"/>
        <v>41.351999999999997</v>
      </c>
      <c r="I55" s="10">
        <f>F55/3*G55</f>
        <v>13784</v>
      </c>
    </row>
    <row r="56" spans="1:9">
      <c r="A56" s="177" t="s">
        <v>126</v>
      </c>
      <c r="B56" s="178"/>
      <c r="C56" s="178"/>
      <c r="D56" s="178"/>
      <c r="E56" s="178"/>
      <c r="F56" s="178"/>
      <c r="G56" s="178"/>
      <c r="H56" s="178"/>
      <c r="I56" s="179"/>
    </row>
    <row r="57" spans="1:9" hidden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45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9">F58/6*G58</f>
        <v>3246.8799999999997</v>
      </c>
    </row>
    <row r="59" spans="1:9" hidden="1">
      <c r="A59" s="20">
        <v>18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G59*(1.5+1+1.5)</f>
        <v>6328.2</v>
      </c>
    </row>
    <row r="60" spans="1:9" ht="16.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8" customHeight="1">
      <c r="A62" s="20">
        <v>10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>
      <c r="A64" s="20">
        <v>11</v>
      </c>
      <c r="B64" s="52" t="s">
        <v>48</v>
      </c>
      <c r="C64" s="33" t="s">
        <v>95</v>
      </c>
      <c r="D64" s="25" t="s">
        <v>220</v>
      </c>
      <c r="E64" s="13">
        <v>10</v>
      </c>
      <c r="F64" s="24">
        <f>SUM(E64)</f>
        <v>10</v>
      </c>
      <c r="G64" s="29">
        <v>291.68</v>
      </c>
      <c r="H64" s="66">
        <f t="shared" ref="H64:H85" si="10">SUM(F64*G64/1000)</f>
        <v>2.9168000000000003</v>
      </c>
      <c r="I64" s="10">
        <f>G64*1</f>
        <v>291.68</v>
      </c>
    </row>
    <row r="65" spans="1:9" hidden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10"/>
        <v>0.50004999999999999</v>
      </c>
      <c r="I65" s="10">
        <v>0</v>
      </c>
    </row>
    <row r="66" spans="1:9" hidden="1">
      <c r="A66" s="20">
        <v>29</v>
      </c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10"/>
        <v>66.952891199999996</v>
      </c>
      <c r="I66" s="10">
        <f>F66*G66</f>
        <v>66952.891199999998</v>
      </c>
    </row>
    <row r="67" spans="1:9" hidden="1">
      <c r="A67" s="20">
        <v>31</v>
      </c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10"/>
        <v>5.21397084</v>
      </c>
      <c r="I67" s="10">
        <f t="shared" ref="I67:I71" si="11">F67*G67</f>
        <v>5213.97084</v>
      </c>
    </row>
    <row r="68" spans="1:9" hidden="1">
      <c r="A68" s="20">
        <v>32</v>
      </c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10"/>
        <v>35.372219999999999</v>
      </c>
      <c r="I68" s="10">
        <f t="shared" si="11"/>
        <v>35372.22</v>
      </c>
    </row>
    <row r="69" spans="1:9" hidden="1">
      <c r="A69" s="20">
        <v>33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10"/>
        <v>0.44314399999999998</v>
      </c>
      <c r="I69" s="10">
        <f t="shared" si="11"/>
        <v>443.14400000000001</v>
      </c>
    </row>
    <row r="70" spans="1:9" ht="30" hidden="1">
      <c r="A70" s="20">
        <v>34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10"/>
        <v>0.47881600000000002</v>
      </c>
      <c r="I70" s="10">
        <f t="shared" si="11"/>
        <v>478.81600000000003</v>
      </c>
    </row>
    <row r="71" spans="1:9" hidden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10"/>
        <v>0.3271</v>
      </c>
      <c r="I71" s="10">
        <f t="shared" si="11"/>
        <v>327.10000000000002</v>
      </c>
    </row>
    <row r="72" spans="1:9" ht="15.7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2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2"/>
        <v>0.73499999999999999</v>
      </c>
      <c r="I74" s="10">
        <v>0</v>
      </c>
    </row>
    <row r="75" spans="1:9">
      <c r="A75" s="20">
        <v>12</v>
      </c>
      <c r="B75" s="32" t="s">
        <v>75</v>
      </c>
      <c r="C75" s="33" t="s">
        <v>76</v>
      </c>
      <c r="D75" s="25" t="s">
        <v>235</v>
      </c>
      <c r="E75" s="13">
        <v>7</v>
      </c>
      <c r="F75" s="29">
        <f>E75/10</f>
        <v>0.7</v>
      </c>
      <c r="G75" s="29">
        <v>657.87</v>
      </c>
      <c r="H75" s="66">
        <f t="shared" si="12"/>
        <v>0.46050899999999995</v>
      </c>
      <c r="I75" s="10">
        <f>G75*0.2</f>
        <v>131.57400000000001</v>
      </c>
    </row>
    <row r="76" spans="1:9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2"/>
        <v>1.1187199999999999</v>
      </c>
      <c r="I76" s="10">
        <v>0</v>
      </c>
    </row>
    <row r="77" spans="1:9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29.25" customHeight="1">
      <c r="A78" s="20">
        <v>13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3">SUM(F78*G78/1000)</f>
        <v>1.2820799999999999</v>
      </c>
      <c r="I78" s="10">
        <f>F78/12*G78</f>
        <v>106.84</v>
      </c>
    </row>
    <row r="79" spans="1:9" ht="18" customHeight="1">
      <c r="A79" s="20">
        <v>14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3"/>
        <v>14.327999999999999</v>
      </c>
      <c r="I79" s="10">
        <f>F79/12*G79</f>
        <v>1194</v>
      </c>
    </row>
    <row r="80" spans="1:9" hidden="1">
      <c r="A80" s="20"/>
      <c r="B80" s="122" t="s">
        <v>47</v>
      </c>
      <c r="C80" s="119"/>
      <c r="D80" s="120"/>
      <c r="E80" s="13"/>
      <c r="F80" s="29"/>
      <c r="G80" s="29"/>
      <c r="H80" s="66"/>
      <c r="I80" s="10"/>
    </row>
    <row r="81" spans="1:9" hidden="1">
      <c r="A81" s="20"/>
      <c r="B81" s="52" t="s">
        <v>48</v>
      </c>
      <c r="C81" s="33" t="s">
        <v>95</v>
      </c>
      <c r="D81" s="32" t="s">
        <v>67</v>
      </c>
      <c r="E81" s="13"/>
      <c r="F81" s="29"/>
      <c r="G81" s="29">
        <v>291.68</v>
      </c>
      <c r="H81" s="66"/>
      <c r="I81" s="10">
        <f>G81*1</f>
        <v>291.68</v>
      </c>
    </row>
    <row r="82" spans="1:9" ht="17.25" customHeight="1">
      <c r="A82" s="20"/>
      <c r="B82" s="97" t="s">
        <v>155</v>
      </c>
      <c r="C82" s="55"/>
      <c r="D82" s="32"/>
      <c r="E82" s="13"/>
      <c r="F82" s="29"/>
      <c r="G82" s="29"/>
      <c r="H82" s="66"/>
      <c r="I82" s="10"/>
    </row>
    <row r="83" spans="1:9" ht="18" customHeight="1">
      <c r="A83" s="20">
        <v>15</v>
      </c>
      <c r="B83" s="32" t="s">
        <v>156</v>
      </c>
      <c r="C83" s="38" t="s">
        <v>157</v>
      </c>
      <c r="D83" s="25"/>
      <c r="E83" s="13">
        <v>4394.8999999999996</v>
      </c>
      <c r="F83" s="29">
        <f>SUM(E83*12)</f>
        <v>52738.799999999996</v>
      </c>
      <c r="G83" s="29">
        <v>2.2799999999999998</v>
      </c>
      <c r="H83" s="66">
        <f t="shared" ref="H83" si="14">SUM(F83*G83/1000)</f>
        <v>120.24446399999998</v>
      </c>
      <c r="I83" s="10">
        <f>F83/12*G83</f>
        <v>10020.371999999998</v>
      </c>
    </row>
    <row r="84" spans="1:9">
      <c r="A84" s="20"/>
      <c r="B84" s="46" t="s">
        <v>77</v>
      </c>
      <c r="C84" s="33"/>
      <c r="D84" s="32"/>
      <c r="E84" s="13"/>
      <c r="F84" s="29"/>
      <c r="G84" s="29" t="s">
        <v>129</v>
      </c>
      <c r="H84" s="66" t="s">
        <v>129</v>
      </c>
      <c r="I84" s="10"/>
    </row>
    <row r="85" spans="1:9">
      <c r="A85" s="20">
        <v>16</v>
      </c>
      <c r="B85" s="34" t="s">
        <v>100</v>
      </c>
      <c r="C85" s="35" t="s">
        <v>78</v>
      </c>
      <c r="D85" s="52"/>
      <c r="E85" s="89"/>
      <c r="F85" s="30">
        <v>0.6</v>
      </c>
      <c r="G85" s="30">
        <v>3619.09</v>
      </c>
      <c r="H85" s="66">
        <f t="shared" si="10"/>
        <v>2.1714540000000002</v>
      </c>
      <c r="I85" s="10">
        <f>G85*0.03</f>
        <v>108.5727</v>
      </c>
    </row>
    <row r="86" spans="1:9" ht="28.5" hidden="1">
      <c r="A86" s="20"/>
      <c r="B86" s="141" t="s">
        <v>92</v>
      </c>
      <c r="C86" s="64"/>
      <c r="D86" s="22"/>
      <c r="E86" s="23"/>
      <c r="F86" s="61"/>
      <c r="G86" s="61"/>
      <c r="H86" s="90">
        <f>SUM(H58:H85)</f>
        <v>284.91172943999999</v>
      </c>
      <c r="I86" s="10"/>
    </row>
    <row r="87" spans="1:9" hidden="1">
      <c r="A87" s="20"/>
      <c r="B87" s="25" t="s">
        <v>98</v>
      </c>
      <c r="C87" s="91"/>
      <c r="D87" s="92"/>
      <c r="E87" s="93"/>
      <c r="F87" s="31">
        <v>1</v>
      </c>
      <c r="G87" s="31">
        <v>18792</v>
      </c>
      <c r="H87" s="66">
        <f>G87*F87/1000</f>
        <v>18.792000000000002</v>
      </c>
      <c r="I87" s="10">
        <v>0</v>
      </c>
    </row>
    <row r="88" spans="1:9">
      <c r="A88" s="177" t="s">
        <v>127</v>
      </c>
      <c r="B88" s="178"/>
      <c r="C88" s="178"/>
      <c r="D88" s="178"/>
      <c r="E88" s="178"/>
      <c r="F88" s="178"/>
      <c r="G88" s="178"/>
      <c r="H88" s="178"/>
      <c r="I88" s="179"/>
    </row>
    <row r="89" spans="1:9" ht="22.5" customHeight="1">
      <c r="A89" s="20">
        <v>17</v>
      </c>
      <c r="B89" s="25" t="s">
        <v>99</v>
      </c>
      <c r="C89" s="33" t="s">
        <v>56</v>
      </c>
      <c r="D89" s="53"/>
      <c r="E89" s="29">
        <v>4394.8999999999996</v>
      </c>
      <c r="F89" s="29">
        <f>SUM(E89*12)</f>
        <v>52738.799999999996</v>
      </c>
      <c r="G89" s="29">
        <v>3.1</v>
      </c>
      <c r="H89" s="66">
        <f>SUM(F89*G89/1000)</f>
        <v>163.49028000000001</v>
      </c>
      <c r="I89" s="10">
        <f>F89/12*G89</f>
        <v>13624.189999999999</v>
      </c>
    </row>
    <row r="90" spans="1:9" ht="27.75" customHeight="1">
      <c r="A90" s="20">
        <v>18</v>
      </c>
      <c r="B90" s="32" t="s">
        <v>79</v>
      </c>
      <c r="C90" s="33"/>
      <c r="D90" s="53"/>
      <c r="E90" s="76">
        <f>E89</f>
        <v>4394.8999999999996</v>
      </c>
      <c r="F90" s="29">
        <f>E90*12</f>
        <v>52738.799999999996</v>
      </c>
      <c r="G90" s="29">
        <v>3.5</v>
      </c>
      <c r="H90" s="66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81</v>
      </c>
      <c r="C91" s="64"/>
      <c r="D91" s="63"/>
      <c r="E91" s="61"/>
      <c r="F91" s="61"/>
      <c r="G91" s="61"/>
      <c r="H91" s="65">
        <f>SUM(H76)</f>
        <v>1.1187199999999999</v>
      </c>
      <c r="I91" s="61">
        <f>I90+I89+I83+I79+I78+I75+I64+I62+I32+I30+I29+I26+I25+I21+I18+I17+I16+I85</f>
        <v>66413.209261999989</v>
      </c>
    </row>
    <row r="92" spans="1:9">
      <c r="A92" s="180" t="s">
        <v>61</v>
      </c>
      <c r="B92" s="181"/>
      <c r="C92" s="181"/>
      <c r="D92" s="181"/>
      <c r="E92" s="181"/>
      <c r="F92" s="181"/>
      <c r="G92" s="181"/>
      <c r="H92" s="181"/>
      <c r="I92" s="182"/>
    </row>
    <row r="93" spans="1:9" ht="15.75" customHeight="1">
      <c r="A93" s="20">
        <v>19</v>
      </c>
      <c r="B93" s="68" t="s">
        <v>199</v>
      </c>
      <c r="C93" s="55" t="s">
        <v>41</v>
      </c>
      <c r="D93" s="47"/>
      <c r="E93" s="10"/>
      <c r="F93" s="10">
        <v>158</v>
      </c>
      <c r="G93" s="29">
        <v>26095.37</v>
      </c>
      <c r="H93" s="60">
        <f>G93*F93/1000</f>
        <v>4123.0684600000004</v>
      </c>
      <c r="I93" s="110">
        <f>G93*0.04</f>
        <v>1043.8147999999999</v>
      </c>
    </row>
    <row r="94" spans="1:9">
      <c r="A94" s="20">
        <v>20</v>
      </c>
      <c r="B94" s="68" t="s">
        <v>236</v>
      </c>
      <c r="C94" s="55" t="s">
        <v>179</v>
      </c>
      <c r="D94" s="32"/>
      <c r="E94" s="13"/>
      <c r="F94" s="29">
        <v>42</v>
      </c>
      <c r="G94" s="29">
        <v>45</v>
      </c>
      <c r="H94" s="66">
        <f>G94*F94/1000</f>
        <v>1.89</v>
      </c>
      <c r="I94" s="110">
        <f>G94*50</f>
        <v>2250</v>
      </c>
    </row>
    <row r="95" spans="1:9">
      <c r="A95" s="20">
        <v>21</v>
      </c>
      <c r="B95" s="68" t="s">
        <v>237</v>
      </c>
      <c r="C95" s="55" t="s">
        <v>95</v>
      </c>
      <c r="D95" s="32"/>
      <c r="E95" s="13"/>
      <c r="F95" s="29"/>
      <c r="G95" s="29">
        <v>130.44</v>
      </c>
      <c r="H95" s="66"/>
      <c r="I95" s="110">
        <f>G95*1</f>
        <v>130.44</v>
      </c>
    </row>
    <row r="96" spans="1:9">
      <c r="A96" s="20">
        <v>22</v>
      </c>
      <c r="B96" s="68" t="s">
        <v>160</v>
      </c>
      <c r="C96" s="55" t="s">
        <v>184</v>
      </c>
      <c r="D96" s="32"/>
      <c r="E96" s="13"/>
      <c r="F96" s="29"/>
      <c r="G96" s="29">
        <v>273</v>
      </c>
      <c r="H96" s="66"/>
      <c r="I96" s="110">
        <f>G96*6</f>
        <v>1638</v>
      </c>
    </row>
    <row r="97" spans="1:9" hidden="1">
      <c r="A97" s="20">
        <v>22</v>
      </c>
      <c r="B97" s="68"/>
      <c r="C97" s="55"/>
      <c r="D97" s="67"/>
      <c r="E97" s="29"/>
      <c r="F97" s="29">
        <v>1</v>
      </c>
      <c r="G97" s="29"/>
      <c r="H97" s="60">
        <f>G97*F97/1000</f>
        <v>0</v>
      </c>
      <c r="I97" s="110"/>
    </row>
    <row r="98" spans="1:9" ht="30">
      <c r="A98" s="20">
        <v>23</v>
      </c>
      <c r="B98" s="68" t="s">
        <v>166</v>
      </c>
      <c r="C98" s="55" t="s">
        <v>39</v>
      </c>
      <c r="D98" s="67"/>
      <c r="E98" s="29"/>
      <c r="F98" s="29"/>
      <c r="G98" s="29">
        <v>3914.31</v>
      </c>
      <c r="H98" s="60"/>
      <c r="I98" s="110">
        <f>G98*0.01</f>
        <v>39.143099999999997</v>
      </c>
    </row>
    <row r="99" spans="1:9" ht="30">
      <c r="A99" s="20">
        <v>24</v>
      </c>
      <c r="B99" s="68" t="s">
        <v>180</v>
      </c>
      <c r="C99" s="55" t="s">
        <v>181</v>
      </c>
      <c r="D99" s="67"/>
      <c r="E99" s="29"/>
      <c r="F99" s="29"/>
      <c r="G99" s="29">
        <v>59.21</v>
      </c>
      <c r="H99" s="60"/>
      <c r="I99" s="110">
        <f>G99*2</f>
        <v>118.42</v>
      </c>
    </row>
    <row r="100" spans="1:9">
      <c r="A100" s="20">
        <v>25</v>
      </c>
      <c r="B100" s="68" t="s">
        <v>238</v>
      </c>
      <c r="C100" s="55" t="s">
        <v>118</v>
      </c>
      <c r="D100" s="67"/>
      <c r="E100" s="29"/>
      <c r="F100" s="29"/>
      <c r="G100" s="29">
        <v>383.48</v>
      </c>
      <c r="H100" s="60"/>
      <c r="I100" s="110">
        <f>G100*1</f>
        <v>383.48</v>
      </c>
    </row>
    <row r="101" spans="1:9">
      <c r="A101" s="20">
        <v>26</v>
      </c>
      <c r="B101" s="68" t="s">
        <v>239</v>
      </c>
      <c r="C101" s="55" t="s">
        <v>95</v>
      </c>
      <c r="D101" s="67"/>
      <c r="E101" s="29"/>
      <c r="F101" s="29"/>
      <c r="G101" s="29">
        <v>87.32</v>
      </c>
      <c r="H101" s="60"/>
      <c r="I101" s="110">
        <f>G101*1</f>
        <v>87.32</v>
      </c>
    </row>
    <row r="102" spans="1:9" ht="30">
      <c r="A102" s="20">
        <v>27</v>
      </c>
      <c r="B102" s="68" t="s">
        <v>119</v>
      </c>
      <c r="C102" s="55" t="s">
        <v>95</v>
      </c>
      <c r="D102" s="67"/>
      <c r="E102" s="29"/>
      <c r="F102" s="29"/>
      <c r="G102" s="29">
        <v>58.39</v>
      </c>
      <c r="H102" s="60"/>
      <c r="I102" s="110">
        <f>G102*1</f>
        <v>58.39</v>
      </c>
    </row>
    <row r="103" spans="1:9" ht="15" customHeight="1">
      <c r="A103" s="20"/>
      <c r="B103" s="43" t="s">
        <v>53</v>
      </c>
      <c r="C103" s="123"/>
      <c r="D103" s="49"/>
      <c r="E103" s="39"/>
      <c r="F103" s="39"/>
      <c r="G103" s="39"/>
      <c r="H103" s="39"/>
      <c r="I103" s="23">
        <f>SUM(I93:I102)</f>
        <v>5749.0079000000014</v>
      </c>
    </row>
    <row r="104" spans="1:9">
      <c r="A104" s="20"/>
      <c r="B104" s="47" t="s">
        <v>80</v>
      </c>
      <c r="C104" s="12"/>
      <c r="D104" s="12"/>
      <c r="E104" s="40"/>
      <c r="F104" s="40"/>
      <c r="G104" s="41"/>
      <c r="H104" s="41"/>
      <c r="I104" s="13">
        <v>0</v>
      </c>
    </row>
    <row r="105" spans="1:9">
      <c r="A105" s="50"/>
      <c r="B105" s="44" t="s">
        <v>158</v>
      </c>
      <c r="C105" s="28"/>
      <c r="D105" s="28"/>
      <c r="E105" s="28"/>
      <c r="F105" s="28"/>
      <c r="G105" s="28"/>
      <c r="H105" s="28"/>
      <c r="I105" s="42">
        <f>I103+I91</f>
        <v>72162.217161999986</v>
      </c>
    </row>
    <row r="106" spans="1:9" ht="15.75">
      <c r="A106" s="183" t="s">
        <v>241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56"/>
      <c r="B107" s="184" t="s">
        <v>242</v>
      </c>
      <c r="C107" s="184"/>
      <c r="D107" s="184"/>
      <c r="E107" s="184"/>
      <c r="F107" s="184"/>
      <c r="G107" s="184"/>
      <c r="H107" s="59"/>
      <c r="I107" s="2"/>
    </row>
    <row r="108" spans="1:9">
      <c r="A108" s="139"/>
      <c r="B108" s="171" t="s">
        <v>6</v>
      </c>
      <c r="C108" s="171"/>
      <c r="D108" s="171"/>
      <c r="E108" s="171"/>
      <c r="F108" s="171"/>
      <c r="G108" s="171"/>
      <c r="H108" s="15"/>
      <c r="I108" s="4"/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  <row r="110" spans="1:9" ht="15.75">
      <c r="A110" s="185" t="s">
        <v>7</v>
      </c>
      <c r="B110" s="185"/>
      <c r="C110" s="185"/>
      <c r="D110" s="185"/>
      <c r="E110" s="185"/>
      <c r="F110" s="185"/>
      <c r="G110" s="185"/>
      <c r="H110" s="185"/>
      <c r="I110" s="185"/>
    </row>
    <row r="111" spans="1:9" ht="15.75">
      <c r="A111" s="185" t="s">
        <v>8</v>
      </c>
      <c r="B111" s="185"/>
      <c r="C111" s="185"/>
      <c r="D111" s="185"/>
      <c r="E111" s="185"/>
      <c r="F111" s="185"/>
      <c r="G111" s="185"/>
      <c r="H111" s="185"/>
      <c r="I111" s="185"/>
    </row>
    <row r="112" spans="1:9" ht="15.75">
      <c r="A112" s="175" t="s">
        <v>62</v>
      </c>
      <c r="B112" s="175"/>
      <c r="C112" s="175"/>
      <c r="D112" s="175"/>
      <c r="E112" s="175"/>
      <c r="F112" s="175"/>
      <c r="G112" s="175"/>
      <c r="H112" s="175"/>
      <c r="I112" s="175"/>
    </row>
    <row r="113" spans="1:9" ht="15.75">
      <c r="A113" s="8"/>
    </row>
    <row r="114" spans="1:9" ht="15.75">
      <c r="A114" s="169" t="s">
        <v>9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15.75">
      <c r="A115" s="3"/>
    </row>
    <row r="116" spans="1:9" ht="15.75">
      <c r="B116" s="140" t="s">
        <v>10</v>
      </c>
      <c r="C116" s="170" t="s">
        <v>124</v>
      </c>
      <c r="D116" s="170"/>
      <c r="E116" s="170"/>
      <c r="F116" s="57"/>
      <c r="I116" s="138"/>
    </row>
    <row r="117" spans="1:9">
      <c r="A117" s="139"/>
      <c r="C117" s="171" t="s">
        <v>11</v>
      </c>
      <c r="D117" s="171"/>
      <c r="E117" s="171"/>
      <c r="F117" s="15"/>
      <c r="I117" s="137" t="s">
        <v>12</v>
      </c>
    </row>
    <row r="118" spans="1:9" ht="15.75">
      <c r="A118" s="16"/>
      <c r="C118" s="9"/>
      <c r="D118" s="9"/>
      <c r="G118" s="9"/>
      <c r="H118" s="9"/>
    </row>
    <row r="119" spans="1:9" ht="15.75">
      <c r="B119" s="140" t="s">
        <v>13</v>
      </c>
      <c r="C119" s="172"/>
      <c r="D119" s="172"/>
      <c r="E119" s="172"/>
      <c r="F119" s="58"/>
      <c r="I119" s="138"/>
    </row>
    <row r="120" spans="1:9">
      <c r="A120" s="139"/>
      <c r="C120" s="173" t="s">
        <v>11</v>
      </c>
      <c r="D120" s="173"/>
      <c r="E120" s="173"/>
      <c r="F120" s="139"/>
      <c r="I120" s="137" t="s">
        <v>12</v>
      </c>
    </row>
    <row r="121" spans="1:9" ht="15.75">
      <c r="A121" s="3" t="s">
        <v>14</v>
      </c>
    </row>
    <row r="122" spans="1:9">
      <c r="A122" s="174" t="s">
        <v>15</v>
      </c>
      <c r="B122" s="174"/>
      <c r="C122" s="174"/>
      <c r="D122" s="174"/>
      <c r="E122" s="174"/>
      <c r="F122" s="174"/>
      <c r="G122" s="174"/>
      <c r="H122" s="174"/>
      <c r="I122" s="174"/>
    </row>
    <row r="123" spans="1:9" ht="44.25" customHeight="1">
      <c r="A123" s="168" t="s">
        <v>16</v>
      </c>
      <c r="B123" s="168"/>
      <c r="C123" s="168"/>
      <c r="D123" s="168"/>
      <c r="E123" s="168"/>
      <c r="F123" s="168"/>
      <c r="G123" s="168"/>
      <c r="H123" s="168"/>
      <c r="I123" s="168"/>
    </row>
    <row r="124" spans="1:9" ht="31.5" customHeight="1">
      <c r="A124" s="168" t="s">
        <v>17</v>
      </c>
      <c r="B124" s="168"/>
      <c r="C124" s="168"/>
      <c r="D124" s="168"/>
      <c r="E124" s="168"/>
      <c r="F124" s="168"/>
      <c r="G124" s="168"/>
      <c r="H124" s="168"/>
      <c r="I124" s="168"/>
    </row>
    <row r="125" spans="1:9" ht="30" customHeight="1">
      <c r="A125" s="168" t="s">
        <v>21</v>
      </c>
      <c r="B125" s="168"/>
      <c r="C125" s="168"/>
      <c r="D125" s="168"/>
      <c r="E125" s="168"/>
      <c r="F125" s="168"/>
      <c r="G125" s="168"/>
      <c r="H125" s="168"/>
      <c r="I125" s="168"/>
    </row>
    <row r="126" spans="1:9" ht="15.75">
      <c r="A126" s="168" t="s">
        <v>20</v>
      </c>
      <c r="B126" s="168"/>
      <c r="C126" s="168"/>
      <c r="D126" s="168"/>
      <c r="E126" s="168"/>
      <c r="F126" s="168"/>
      <c r="G126" s="168"/>
      <c r="H126" s="168"/>
      <c r="I126" s="168"/>
    </row>
  </sheetData>
  <mergeCells count="28"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  <mergeCell ref="C120:E12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122:I122"/>
    <mergeCell ref="A123:I123"/>
    <mergeCell ref="A124:I124"/>
    <mergeCell ref="A125:I125"/>
    <mergeCell ref="A126:I126"/>
  </mergeCells>
  <pageMargins left="0.70866141732283472" right="0.31496062992125984" top="0.74803149606299213" bottom="0.74803149606299213" header="0.31496062992125984" footer="0.31496062992125984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2"/>
  <sheetViews>
    <sheetView view="pageBreakPreview" zoomScale="60" workbookViewId="0">
      <selection activeCell="B16" sqref="B16:I26"/>
    </sheetView>
  </sheetViews>
  <sheetFormatPr defaultRowHeight="15"/>
  <cols>
    <col min="1" max="1" width="11.42578125" customWidth="1"/>
    <col min="2" max="2" width="52.140625" customWidth="1"/>
    <col min="3" max="3" width="15.85546875" customWidth="1"/>
    <col min="4" max="4" width="14.5703125" customWidth="1"/>
    <col min="5" max="6" width="0" hidden="1" customWidth="1"/>
    <col min="7" max="7" width="15.140625" customWidth="1"/>
    <col min="8" max="8" width="0" hidden="1" customWidth="1"/>
    <col min="9" max="9" width="16.2851562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172</v>
      </c>
      <c r="B3" s="187"/>
      <c r="C3" s="187"/>
      <c r="D3" s="187"/>
      <c r="E3" s="187"/>
      <c r="F3" s="187"/>
      <c r="G3" s="187"/>
      <c r="H3" s="187"/>
      <c r="I3" s="187"/>
    </row>
    <row r="4" spans="1:9" ht="30.7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247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44"/>
      <c r="C6" s="144"/>
      <c r="D6" s="144"/>
      <c r="E6" s="144"/>
      <c r="F6" s="144"/>
      <c r="G6" s="144"/>
      <c r="H6" s="144"/>
      <c r="I6" s="21">
        <v>43708</v>
      </c>
    </row>
    <row r="7" spans="1:9" ht="15.75">
      <c r="B7" s="145"/>
      <c r="C7" s="145"/>
      <c r="D7" s="145"/>
      <c r="E7" s="2"/>
      <c r="F7" s="2"/>
      <c r="G7" s="2"/>
      <c r="H7" s="2"/>
    </row>
    <row r="8" spans="1:9" ht="104.2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9.7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81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25" si="0">SUM(F16*G16/1000)</f>
        <v>43.465032000000001</v>
      </c>
      <c r="I16" s="10">
        <f>F16/12*G16</f>
        <v>3622.0859999999998</v>
      </c>
    </row>
    <row r="17" spans="1:9" ht="1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4.2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si="0"/>
        <v>0.85697279999999987</v>
      </c>
      <c r="I19" s="10">
        <f>F19/2*G19</f>
        <v>428.48639999999995</v>
      </c>
    </row>
    <row r="20" spans="1:9" hidden="1">
      <c r="A20" s="20">
        <v>5</v>
      </c>
      <c r="B20" s="25" t="s">
        <v>108</v>
      </c>
      <c r="C20" s="37" t="s">
        <v>86</v>
      </c>
      <c r="D20" s="25" t="s">
        <v>43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0"/>
        <v>0.33376768000000001</v>
      </c>
      <c r="I20" s="10">
        <f>F20/2*G20</f>
        <v>166.88383999999999</v>
      </c>
    </row>
    <row r="21" spans="1:9" hidden="1">
      <c r="A21" s="20">
        <v>4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0"/>
        <v>0.154418112</v>
      </c>
      <c r="I21" s="10">
        <f>F21/6*G21</f>
        <v>25.736352</v>
      </c>
    </row>
    <row r="22" spans="1:9" hidden="1">
      <c r="A22" s="20">
        <v>7</v>
      </c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0"/>
        <v>2.5214195999999998</v>
      </c>
      <c r="I22" s="10">
        <f t="shared" ref="I22:I24" si="1">F22/12*G22</f>
        <v>210.11829999999998</v>
      </c>
    </row>
    <row r="23" spans="1:9" hidden="1">
      <c r="A23" s="20">
        <v>8</v>
      </c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0"/>
        <v>5.6105279999999993E-2</v>
      </c>
      <c r="I23" s="10">
        <f t="shared" si="1"/>
        <v>4.67544</v>
      </c>
    </row>
    <row r="24" spans="1:9" hidden="1">
      <c r="A24" s="20">
        <v>9</v>
      </c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0"/>
        <v>1.9627007999999999</v>
      </c>
      <c r="I24" s="10">
        <f t="shared" si="1"/>
        <v>163.55840000000001</v>
      </c>
    </row>
    <row r="25" spans="1:9" ht="15.75" customHeight="1">
      <c r="A25" s="20">
        <v>4</v>
      </c>
      <c r="B25" s="25" t="s">
        <v>114</v>
      </c>
      <c r="C25" s="37" t="s">
        <v>54</v>
      </c>
      <c r="D25" s="25" t="s">
        <v>215</v>
      </c>
      <c r="E25" s="76">
        <v>17</v>
      </c>
      <c r="F25" s="24">
        <f>SUM(E25*12/100)</f>
        <v>2.04</v>
      </c>
      <c r="G25" s="24">
        <v>683.05</v>
      </c>
      <c r="H25" s="77">
        <f t="shared" si="0"/>
        <v>1.3934219999999999</v>
      </c>
      <c r="I25" s="10">
        <f>F25/12*G25</f>
        <v>116.1185</v>
      </c>
    </row>
    <row r="26" spans="1:9" ht="15" customHeight="1">
      <c r="A26" s="20">
        <v>5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20.25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7.25" customHeight="1">
      <c r="A29" s="20">
        <v>6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2" si="2">SUM(F29*G29/1000)</f>
        <v>6.2509574400000005</v>
      </c>
      <c r="I29" s="10">
        <f t="shared" ref="I29:I32" si="3">F29/6*G29</f>
        <v>1041.8262400000001</v>
      </c>
    </row>
    <row r="30" spans="1:9" ht="36" customHeight="1">
      <c r="A30" s="20">
        <v>7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2"/>
        <v>3.0610310399999996</v>
      </c>
      <c r="I30" s="10">
        <f t="shared" si="3"/>
        <v>510.17183999999992</v>
      </c>
    </row>
    <row r="31" spans="1:9" hidden="1">
      <c r="A31" s="20">
        <v>15</v>
      </c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2"/>
        <v>2.5233035100000003</v>
      </c>
      <c r="I31" s="10">
        <f>F31*G31</f>
        <v>2523.3035100000002</v>
      </c>
    </row>
    <row r="32" spans="1:9" ht="15" customHeight="1">
      <c r="A32" s="20">
        <v>8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2"/>
        <v>6.5572992000000001</v>
      </c>
      <c r="I32" s="10">
        <f t="shared" si="3"/>
        <v>1092.8832</v>
      </c>
    </row>
    <row r="33" spans="1:9" ht="45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ref="H33:H34" si="4">SUM(F33*G33/1000)</f>
        <v>0.50183999999999995</v>
      </c>
      <c r="I33" s="10">
        <v>0</v>
      </c>
    </row>
    <row r="34" spans="1:9" ht="45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4"/>
        <v>4.4709300000000001</v>
      </c>
      <c r="I34" s="10">
        <v>0</v>
      </c>
    </row>
    <row r="35" spans="1:9" hidden="1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5">SUM(F36*G36/1000)</f>
        <v>16.024000000000001</v>
      </c>
      <c r="I36" s="10">
        <f t="shared" ref="I36:I44" si="6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5"/>
        <v>13.48002864</v>
      </c>
      <c r="I37" s="10">
        <f t="shared" si="6"/>
        <v>2246.6714400000001</v>
      </c>
    </row>
    <row r="38" spans="1:9" ht="30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5"/>
        <v>13.404982799999999</v>
      </c>
      <c r="I38" s="10">
        <f t="shared" si="6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5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45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5"/>
        <v>37.20335008</v>
      </c>
      <c r="I41" s="10">
        <f t="shared" si="6"/>
        <v>6200.5583466666667</v>
      </c>
    </row>
    <row r="42" spans="1:9" ht="30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5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5"/>
        <v>0.8773470000000001</v>
      </c>
      <c r="I43" s="10">
        <f>(F43/7.5*1.5)*G43</f>
        <v>175.46940000000004</v>
      </c>
    </row>
    <row r="44" spans="1:9" ht="30" hidden="1">
      <c r="A44" s="20">
        <v>14</v>
      </c>
      <c r="B44" s="68" t="s">
        <v>146</v>
      </c>
      <c r="C44" s="55" t="s">
        <v>29</v>
      </c>
      <c r="D44" s="26" t="s">
        <v>147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5"/>
        <v>7.4937599999999986E-3</v>
      </c>
      <c r="I44" s="10">
        <f t="shared" si="6"/>
        <v>1.2489599999999998</v>
      </c>
    </row>
    <row r="45" spans="1:9" hidden="1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idden="1">
      <c r="A46" s="20">
        <v>18</v>
      </c>
      <c r="B46" s="25" t="s">
        <v>130</v>
      </c>
      <c r="C46" s="37" t="s">
        <v>88</v>
      </c>
      <c r="D46" s="25" t="s">
        <v>43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7">SUM(F46*G46/1000)</f>
        <v>3.842075006</v>
      </c>
      <c r="I46" s="10">
        <f t="shared" ref="I46:I54" si="8">F46/2*G46</f>
        <v>1921.037503</v>
      </c>
    </row>
    <row r="47" spans="1:9" hidden="1">
      <c r="A47" s="20">
        <v>19</v>
      </c>
      <c r="B47" s="25" t="s">
        <v>36</v>
      </c>
      <c r="C47" s="37" t="s">
        <v>88</v>
      </c>
      <c r="D47" s="25" t="s">
        <v>43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7"/>
        <v>0.91916240000000005</v>
      </c>
      <c r="I47" s="10">
        <f t="shared" si="8"/>
        <v>459.58120000000002</v>
      </c>
    </row>
    <row r="48" spans="1:9" hidden="1">
      <c r="A48" s="20">
        <v>20</v>
      </c>
      <c r="B48" s="25" t="s">
        <v>37</v>
      </c>
      <c r="C48" s="37" t="s">
        <v>88</v>
      </c>
      <c r="D48" s="25" t="s">
        <v>43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7"/>
        <v>7.2034689005999999</v>
      </c>
      <c r="I48" s="10">
        <f t="shared" si="8"/>
        <v>3601.7344502999999</v>
      </c>
    </row>
    <row r="49" spans="1:9" hidden="1">
      <c r="A49" s="20">
        <v>21</v>
      </c>
      <c r="B49" s="25" t="s">
        <v>38</v>
      </c>
      <c r="C49" s="37" t="s">
        <v>88</v>
      </c>
      <c r="D49" s="25" t="s">
        <v>43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7"/>
        <v>6.6006486806</v>
      </c>
      <c r="I49" s="10">
        <f t="shared" si="8"/>
        <v>3300.3243403000001</v>
      </c>
    </row>
    <row r="50" spans="1:9" hidden="1">
      <c r="A50" s="20">
        <v>22</v>
      </c>
      <c r="B50" s="25" t="s">
        <v>34</v>
      </c>
      <c r="C50" s="37" t="s">
        <v>35</v>
      </c>
      <c r="D50" s="25" t="s">
        <v>43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7"/>
        <v>3.4774048560000002</v>
      </c>
      <c r="I50" s="10">
        <f t="shared" si="8"/>
        <v>1738.7024280000001</v>
      </c>
    </row>
    <row r="51" spans="1:9" hidden="1">
      <c r="A51" s="20">
        <v>23</v>
      </c>
      <c r="B51" s="25" t="s">
        <v>57</v>
      </c>
      <c r="C51" s="37" t="s">
        <v>88</v>
      </c>
      <c r="D51" s="25" t="s">
        <v>134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7"/>
        <v>39.635185905</v>
      </c>
      <c r="I51" s="10">
        <f>F51/5*G51</f>
        <v>7927.0371809999997</v>
      </c>
    </row>
    <row r="52" spans="1:9" ht="45" hidden="1">
      <c r="A52" s="20">
        <v>24</v>
      </c>
      <c r="B52" s="25" t="s">
        <v>90</v>
      </c>
      <c r="C52" s="37" t="s">
        <v>88</v>
      </c>
      <c r="D52" s="25" t="s">
        <v>43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7"/>
        <v>13.989845679999998</v>
      </c>
      <c r="I52" s="10">
        <f t="shared" si="8"/>
        <v>6994.9228399999993</v>
      </c>
    </row>
    <row r="53" spans="1:9" ht="30" hidden="1">
      <c r="A53" s="20">
        <v>25</v>
      </c>
      <c r="B53" s="25" t="s">
        <v>91</v>
      </c>
      <c r="C53" s="37" t="s">
        <v>39</v>
      </c>
      <c r="D53" s="25" t="s">
        <v>43</v>
      </c>
      <c r="E53" s="76">
        <v>40</v>
      </c>
      <c r="F53" s="24">
        <f>SUM(E53*2/100)</f>
        <v>0.8</v>
      </c>
      <c r="G53" s="29">
        <v>4058.32</v>
      </c>
      <c r="H53" s="77">
        <f t="shared" si="7"/>
        <v>3.2466560000000002</v>
      </c>
      <c r="I53" s="10">
        <f t="shared" si="8"/>
        <v>1623.3280000000002</v>
      </c>
    </row>
    <row r="54" spans="1:9" hidden="1">
      <c r="A54" s="20">
        <v>26</v>
      </c>
      <c r="B54" s="25" t="s">
        <v>40</v>
      </c>
      <c r="C54" s="37" t="s">
        <v>41</v>
      </c>
      <c r="D54" s="25" t="s">
        <v>43</v>
      </c>
      <c r="E54" s="76">
        <v>1</v>
      </c>
      <c r="F54" s="24">
        <v>0.02</v>
      </c>
      <c r="G54" s="29">
        <v>7412.92</v>
      </c>
      <c r="H54" s="77">
        <f t="shared" si="7"/>
        <v>0.14825839999999998</v>
      </c>
      <c r="I54" s="10">
        <f t="shared" si="8"/>
        <v>74.129199999999997</v>
      </c>
    </row>
    <row r="55" spans="1:9" hidden="1">
      <c r="A55" s="20">
        <v>27</v>
      </c>
      <c r="B55" s="25" t="s">
        <v>42</v>
      </c>
      <c r="C55" s="37" t="s">
        <v>95</v>
      </c>
      <c r="D55" s="25" t="s">
        <v>71</v>
      </c>
      <c r="E55" s="76">
        <v>160</v>
      </c>
      <c r="F55" s="24">
        <f>SUM(E55)*3</f>
        <v>480</v>
      </c>
      <c r="G55" s="30">
        <v>86.15</v>
      </c>
      <c r="H55" s="77">
        <f t="shared" si="7"/>
        <v>41.351999999999997</v>
      </c>
      <c r="I55" s="10">
        <f>F55/3*G55</f>
        <v>13784</v>
      </c>
    </row>
    <row r="56" spans="1:9">
      <c r="A56" s="177" t="s">
        <v>126</v>
      </c>
      <c r="B56" s="178"/>
      <c r="C56" s="178"/>
      <c r="D56" s="178"/>
      <c r="E56" s="178"/>
      <c r="F56" s="178"/>
      <c r="G56" s="178"/>
      <c r="H56" s="178"/>
      <c r="I56" s="179"/>
    </row>
    <row r="57" spans="1:9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30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9">F58/6*G58</f>
        <v>3246.8799999999997</v>
      </c>
    </row>
    <row r="59" spans="1:9" ht="19.5" customHeight="1">
      <c r="A59" s="20">
        <v>9</v>
      </c>
      <c r="B59" s="25" t="s">
        <v>148</v>
      </c>
      <c r="C59" s="37" t="s">
        <v>149</v>
      </c>
      <c r="D59" s="25"/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G59*1</f>
        <v>1582.05</v>
      </c>
    </row>
    <row r="60" spans="1:9" ht="15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7.25" customHeight="1">
      <c r="A62" s="20">
        <v>10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idden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45" hidden="1">
      <c r="A64" s="20">
        <v>18</v>
      </c>
      <c r="B64" s="52" t="s">
        <v>48</v>
      </c>
      <c r="C64" s="33" t="s">
        <v>95</v>
      </c>
      <c r="D64" s="25" t="s">
        <v>67</v>
      </c>
      <c r="E64" s="13">
        <v>10</v>
      </c>
      <c r="F64" s="24">
        <f>SUM(E64)</f>
        <v>10</v>
      </c>
      <c r="G64" s="29">
        <v>291.68</v>
      </c>
      <c r="H64" s="66">
        <f t="shared" ref="H64:H85" si="10">SUM(F64*G64/1000)</f>
        <v>2.9168000000000003</v>
      </c>
      <c r="I64" s="10">
        <f>G64*3</f>
        <v>875.04</v>
      </c>
    </row>
    <row r="65" spans="1:9" ht="45" hidden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10"/>
        <v>0.50004999999999999</v>
      </c>
      <c r="I65" s="10">
        <v>0</v>
      </c>
    </row>
    <row r="66" spans="1:9" hidden="1">
      <c r="A66" s="20">
        <v>29</v>
      </c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10"/>
        <v>66.952891199999996</v>
      </c>
      <c r="I66" s="10">
        <f>F66*G66</f>
        <v>66952.891199999998</v>
      </c>
    </row>
    <row r="67" spans="1:9" hidden="1">
      <c r="A67" s="20">
        <v>31</v>
      </c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10"/>
        <v>5.21397084</v>
      </c>
      <c r="I67" s="10">
        <f t="shared" ref="I67:I71" si="11">F67*G67</f>
        <v>5213.97084</v>
      </c>
    </row>
    <row r="68" spans="1:9" hidden="1">
      <c r="A68" s="20">
        <v>32</v>
      </c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10"/>
        <v>35.372219999999999</v>
      </c>
      <c r="I68" s="10">
        <f t="shared" si="11"/>
        <v>35372.22</v>
      </c>
    </row>
    <row r="69" spans="1:9" hidden="1">
      <c r="A69" s="20">
        <v>33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10"/>
        <v>0.44314399999999998</v>
      </c>
      <c r="I69" s="10">
        <f t="shared" si="11"/>
        <v>443.14400000000001</v>
      </c>
    </row>
    <row r="70" spans="1:9" ht="30" hidden="1">
      <c r="A70" s="20">
        <v>34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10"/>
        <v>0.47881600000000002</v>
      </c>
      <c r="I70" s="10">
        <f t="shared" si="11"/>
        <v>478.81600000000003</v>
      </c>
    </row>
    <row r="71" spans="1:9" hidden="1">
      <c r="A71" s="20"/>
      <c r="B71" s="32" t="s">
        <v>58</v>
      </c>
      <c r="C71" s="33" t="s">
        <v>59</v>
      </c>
      <c r="D71" s="32" t="s">
        <v>55</v>
      </c>
      <c r="E71" s="13">
        <v>5</v>
      </c>
      <c r="F71" s="24">
        <f>SUM(E71)</f>
        <v>5</v>
      </c>
      <c r="G71" s="29">
        <v>65.42</v>
      </c>
      <c r="H71" s="66">
        <f t="shared" si="10"/>
        <v>0.3271</v>
      </c>
      <c r="I71" s="10">
        <f t="shared" si="11"/>
        <v>327.10000000000002</v>
      </c>
    </row>
    <row r="72" spans="1:9" ht="18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t="45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2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2"/>
        <v>0.73499999999999999</v>
      </c>
      <c r="I74" s="10">
        <v>0</v>
      </c>
    </row>
    <row r="75" spans="1:9" ht="15" customHeight="1">
      <c r="A75" s="20">
        <v>11</v>
      </c>
      <c r="B75" s="32" t="s">
        <v>75</v>
      </c>
      <c r="C75" s="33" t="s">
        <v>76</v>
      </c>
      <c r="D75" s="25"/>
      <c r="E75" s="13">
        <v>7</v>
      </c>
      <c r="F75" s="29">
        <f>E75/10</f>
        <v>0.7</v>
      </c>
      <c r="G75" s="29">
        <v>657.87</v>
      </c>
      <c r="H75" s="66">
        <f t="shared" si="12"/>
        <v>0.46050899999999995</v>
      </c>
      <c r="I75" s="10">
        <f>G75*0.3</f>
        <v>197.36099999999999</v>
      </c>
    </row>
    <row r="76" spans="1:9" ht="45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2"/>
        <v>1.1187199999999999</v>
      </c>
      <c r="I76" s="10">
        <v>0</v>
      </c>
    </row>
    <row r="77" spans="1:9" ht="45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30.75" customHeight="1">
      <c r="A78" s="20">
        <v>12</v>
      </c>
      <c r="B78" s="68" t="s">
        <v>154</v>
      </c>
      <c r="C78" s="55" t="s">
        <v>95</v>
      </c>
      <c r="D78" s="32" t="s">
        <v>220</v>
      </c>
      <c r="E78" s="87">
        <v>2</v>
      </c>
      <c r="F78" s="85">
        <f>E78*12</f>
        <v>24</v>
      </c>
      <c r="G78" s="88">
        <v>53.42</v>
      </c>
      <c r="H78" s="66">
        <f t="shared" ref="H78:H79" si="13">SUM(F78*G78/1000)</f>
        <v>1.2820799999999999</v>
      </c>
      <c r="I78" s="10">
        <f>F78/12*G78</f>
        <v>106.84</v>
      </c>
    </row>
    <row r="79" spans="1:9" ht="18.75" customHeight="1">
      <c r="A79" s="20">
        <v>13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3"/>
        <v>14.327999999999999</v>
      </c>
      <c r="I79" s="10">
        <f>F79/12*G79</f>
        <v>1194</v>
      </c>
    </row>
    <row r="80" spans="1:9" ht="14.25" hidden="1" customHeight="1">
      <c r="A80" s="20"/>
      <c r="B80" s="95" t="s">
        <v>47</v>
      </c>
      <c r="C80" s="82"/>
      <c r="D80" s="83"/>
      <c r="E80" s="13"/>
      <c r="F80" s="29"/>
      <c r="G80" s="29"/>
      <c r="H80" s="66"/>
      <c r="I80" s="10"/>
    </row>
    <row r="81" spans="1:9" ht="19.5" hidden="1" customHeight="1">
      <c r="A81" s="20">
        <v>14</v>
      </c>
      <c r="B81" s="52" t="s">
        <v>48</v>
      </c>
      <c r="C81" s="33" t="s">
        <v>95</v>
      </c>
      <c r="D81" s="32"/>
      <c r="E81" s="13"/>
      <c r="F81" s="29"/>
      <c r="G81" s="29">
        <v>291.68</v>
      </c>
      <c r="H81" s="66"/>
      <c r="I81" s="10">
        <f>G81*1</f>
        <v>291.68</v>
      </c>
    </row>
    <row r="82" spans="1:9" ht="16.5" customHeight="1">
      <c r="A82" s="20"/>
      <c r="B82" s="97" t="s">
        <v>155</v>
      </c>
      <c r="C82" s="55"/>
      <c r="D82" s="32"/>
      <c r="E82" s="13"/>
      <c r="F82" s="29"/>
      <c r="G82" s="29"/>
      <c r="H82" s="66"/>
      <c r="I82" s="10"/>
    </row>
    <row r="83" spans="1:9" ht="17.25" customHeight="1">
      <c r="A83" s="20">
        <v>14</v>
      </c>
      <c r="B83" s="32" t="s">
        <v>156</v>
      </c>
      <c r="C83" s="38" t="s">
        <v>157</v>
      </c>
      <c r="D83" s="25"/>
      <c r="E83" s="13">
        <v>4394.8999999999996</v>
      </c>
      <c r="F83" s="29">
        <f>SUM(E83*12)</f>
        <v>52738.799999999996</v>
      </c>
      <c r="G83" s="29">
        <v>2.2799999999999998</v>
      </c>
      <c r="H83" s="66">
        <f t="shared" ref="H83" si="14">SUM(F83*G83/1000)</f>
        <v>120.24446399999998</v>
      </c>
      <c r="I83" s="10">
        <f>F83/12*G83</f>
        <v>10020.371999999998</v>
      </c>
    </row>
    <row r="84" spans="1:9" hidden="1">
      <c r="A84" s="20"/>
      <c r="B84" s="46" t="s">
        <v>77</v>
      </c>
      <c r="C84" s="33"/>
      <c r="D84" s="32"/>
      <c r="E84" s="13"/>
      <c r="F84" s="29"/>
      <c r="G84" s="29" t="s">
        <v>129</v>
      </c>
      <c r="H84" s="66" t="s">
        <v>129</v>
      </c>
      <c r="I84" s="10"/>
    </row>
    <row r="85" spans="1:9" hidden="1">
      <c r="A85" s="20"/>
      <c r="B85" s="34" t="s">
        <v>100</v>
      </c>
      <c r="C85" s="35" t="s">
        <v>78</v>
      </c>
      <c r="D85" s="52"/>
      <c r="E85" s="89"/>
      <c r="F85" s="30">
        <v>0.6</v>
      </c>
      <c r="G85" s="30">
        <v>3619.09</v>
      </c>
      <c r="H85" s="66">
        <f t="shared" si="10"/>
        <v>2.1714540000000002</v>
      </c>
      <c r="I85" s="10">
        <v>0</v>
      </c>
    </row>
    <row r="86" spans="1:9" ht="33" hidden="1" customHeight="1">
      <c r="A86" s="20"/>
      <c r="B86" s="162" t="s">
        <v>92</v>
      </c>
      <c r="C86" s="64"/>
      <c r="D86" s="22"/>
      <c r="E86" s="23"/>
      <c r="F86" s="61"/>
      <c r="G86" s="61"/>
      <c r="H86" s="90">
        <f>SUM(H58:H85)</f>
        <v>284.91172943999999</v>
      </c>
      <c r="I86" s="10"/>
    </row>
    <row r="87" spans="1:9" hidden="1">
      <c r="A87" s="20"/>
      <c r="B87" s="25" t="s">
        <v>98</v>
      </c>
      <c r="C87" s="91"/>
      <c r="D87" s="92"/>
      <c r="E87" s="93"/>
      <c r="F87" s="31">
        <v>1</v>
      </c>
      <c r="G87" s="31">
        <v>18792</v>
      </c>
      <c r="H87" s="66">
        <f>G87*F87/1000</f>
        <v>18.792000000000002</v>
      </c>
      <c r="I87" s="10">
        <v>0</v>
      </c>
    </row>
    <row r="88" spans="1:9">
      <c r="A88" s="177" t="s">
        <v>127</v>
      </c>
      <c r="B88" s="178"/>
      <c r="C88" s="178"/>
      <c r="D88" s="178"/>
      <c r="E88" s="178"/>
      <c r="F88" s="178"/>
      <c r="G88" s="178"/>
      <c r="H88" s="178"/>
      <c r="I88" s="179"/>
    </row>
    <row r="89" spans="1:9" ht="14.25" customHeight="1">
      <c r="A89" s="20">
        <v>15</v>
      </c>
      <c r="B89" s="25" t="s">
        <v>99</v>
      </c>
      <c r="C89" s="33" t="s">
        <v>56</v>
      </c>
      <c r="D89" s="53"/>
      <c r="E89" s="29">
        <v>4394.8999999999996</v>
      </c>
      <c r="F89" s="29">
        <f>SUM(E89*12)</f>
        <v>52738.799999999996</v>
      </c>
      <c r="G89" s="29">
        <v>3.1</v>
      </c>
      <c r="H89" s="66">
        <f>SUM(F89*G89/1000)</f>
        <v>163.49028000000001</v>
      </c>
      <c r="I89" s="10">
        <f>F89/12*G89</f>
        <v>13624.189999999999</v>
      </c>
    </row>
    <row r="90" spans="1:9" ht="30.75" customHeight="1">
      <c r="A90" s="20">
        <v>16</v>
      </c>
      <c r="B90" s="32" t="s">
        <v>79</v>
      </c>
      <c r="C90" s="33"/>
      <c r="D90" s="53"/>
      <c r="E90" s="76">
        <f>E89</f>
        <v>4394.8999999999996</v>
      </c>
      <c r="F90" s="29">
        <f>E90*12</f>
        <v>52738.799999999996</v>
      </c>
      <c r="G90" s="29">
        <v>3.5</v>
      </c>
      <c r="H90" s="66">
        <f>F90*G90/1000</f>
        <v>184.58579999999998</v>
      </c>
      <c r="I90" s="10">
        <f>F90/12*G90</f>
        <v>15382.149999999998</v>
      </c>
    </row>
    <row r="91" spans="1:9">
      <c r="A91" s="20"/>
      <c r="B91" s="36" t="s">
        <v>81</v>
      </c>
      <c r="C91" s="64"/>
      <c r="D91" s="63"/>
      <c r="E91" s="61"/>
      <c r="F91" s="61"/>
      <c r="G91" s="61"/>
      <c r="H91" s="65">
        <f>SUM(H76)</f>
        <v>1.1187199999999999</v>
      </c>
      <c r="I91" s="61">
        <f>I90+I89+I83+I79+I78+I62+I32+I30+I29+I26+I25+I18+I17+I16+I59+I75</f>
        <v>67635.057209999999</v>
      </c>
    </row>
    <row r="92" spans="1:9">
      <c r="A92" s="180" t="s">
        <v>61</v>
      </c>
      <c r="B92" s="181"/>
      <c r="C92" s="181"/>
      <c r="D92" s="181"/>
      <c r="E92" s="181"/>
      <c r="F92" s="181"/>
      <c r="G92" s="181"/>
      <c r="H92" s="181"/>
      <c r="I92" s="182"/>
    </row>
    <row r="93" spans="1:9" ht="28.5" customHeight="1">
      <c r="A93" s="20">
        <v>17</v>
      </c>
      <c r="B93" s="32" t="s">
        <v>183</v>
      </c>
      <c r="C93" s="33" t="s">
        <v>184</v>
      </c>
      <c r="D93" s="11" t="s">
        <v>248</v>
      </c>
      <c r="E93" s="10"/>
      <c r="F93" s="10">
        <v>158</v>
      </c>
      <c r="G93" s="29">
        <v>1465</v>
      </c>
      <c r="H93" s="60">
        <f>G93*F93/1000</f>
        <v>231.47</v>
      </c>
      <c r="I93" s="110">
        <f>G93*8</f>
        <v>11720</v>
      </c>
    </row>
    <row r="94" spans="1:9">
      <c r="A94" s="20">
        <v>18</v>
      </c>
      <c r="B94" s="68" t="s">
        <v>199</v>
      </c>
      <c r="C94" s="55" t="s">
        <v>41</v>
      </c>
      <c r="D94" s="32"/>
      <c r="E94" s="13"/>
      <c r="F94" s="29">
        <v>42</v>
      </c>
      <c r="G94" s="29">
        <v>26095.37</v>
      </c>
      <c r="H94" s="66">
        <f>G94*F94/1000</f>
        <v>1096.0055400000001</v>
      </c>
      <c r="I94" s="110">
        <f>G94*0.01</f>
        <v>260.95369999999997</v>
      </c>
    </row>
    <row r="95" spans="1:9" ht="30">
      <c r="A95" s="20">
        <v>19</v>
      </c>
      <c r="B95" s="68" t="s">
        <v>173</v>
      </c>
      <c r="C95" s="55" t="s">
        <v>118</v>
      </c>
      <c r="D95" s="32" t="s">
        <v>250</v>
      </c>
      <c r="E95" s="13"/>
      <c r="F95" s="29"/>
      <c r="G95" s="29">
        <v>644.72</v>
      </c>
      <c r="H95" s="66"/>
      <c r="I95" s="110">
        <f>G95*2</f>
        <v>1289.44</v>
      </c>
    </row>
    <row r="96" spans="1:9" ht="30">
      <c r="A96" s="20">
        <v>20</v>
      </c>
      <c r="B96" s="68" t="s">
        <v>249</v>
      </c>
      <c r="C96" s="55" t="s">
        <v>118</v>
      </c>
      <c r="D96" s="32" t="s">
        <v>250</v>
      </c>
      <c r="E96" s="13"/>
      <c r="F96" s="29"/>
      <c r="G96" s="29">
        <v>878.3</v>
      </c>
      <c r="H96" s="66"/>
      <c r="I96" s="110">
        <f>G96*2</f>
        <v>1756.6</v>
      </c>
    </row>
    <row r="97" spans="1:9" ht="30">
      <c r="A97" s="20">
        <v>21</v>
      </c>
      <c r="B97" s="68" t="s">
        <v>251</v>
      </c>
      <c r="C97" s="55" t="s">
        <v>162</v>
      </c>
      <c r="D97" s="32" t="s">
        <v>261</v>
      </c>
      <c r="E97" s="29"/>
      <c r="F97" s="29">
        <v>1</v>
      </c>
      <c r="G97" s="29">
        <v>759.44</v>
      </c>
      <c r="H97" s="60">
        <f>G97*F97/1000</f>
        <v>0.75944</v>
      </c>
      <c r="I97" s="110">
        <f>G97*0.5</f>
        <v>379.72</v>
      </c>
    </row>
    <row r="98" spans="1:9" ht="30">
      <c r="A98" s="20">
        <v>22</v>
      </c>
      <c r="B98" s="68" t="s">
        <v>252</v>
      </c>
      <c r="C98" s="55" t="s">
        <v>95</v>
      </c>
      <c r="D98" s="32" t="s">
        <v>261</v>
      </c>
      <c r="E98" s="29"/>
      <c r="F98" s="29"/>
      <c r="G98" s="29">
        <v>1133.08</v>
      </c>
      <c r="H98" s="60"/>
      <c r="I98" s="110">
        <f t="shared" ref="I98:I103" si="15">G98*1</f>
        <v>1133.08</v>
      </c>
    </row>
    <row r="99" spans="1:9" ht="30">
      <c r="A99" s="20">
        <v>23</v>
      </c>
      <c r="B99" s="68" t="s">
        <v>253</v>
      </c>
      <c r="C99" s="55" t="s">
        <v>95</v>
      </c>
      <c r="D99" s="32" t="s">
        <v>261</v>
      </c>
      <c r="E99" s="29"/>
      <c r="F99" s="29"/>
      <c r="G99" s="29">
        <v>909</v>
      </c>
      <c r="H99" s="60"/>
      <c r="I99" s="110">
        <f t="shared" si="15"/>
        <v>909</v>
      </c>
    </row>
    <row r="100" spans="1:9">
      <c r="A100" s="20">
        <v>24</v>
      </c>
      <c r="B100" s="68" t="s">
        <v>254</v>
      </c>
      <c r="C100" s="55" t="s">
        <v>95</v>
      </c>
      <c r="D100" s="67"/>
      <c r="E100" s="29"/>
      <c r="F100" s="29"/>
      <c r="G100" s="29">
        <v>70</v>
      </c>
      <c r="H100" s="60"/>
      <c r="I100" s="110">
        <f t="shared" si="15"/>
        <v>70</v>
      </c>
    </row>
    <row r="101" spans="1:9">
      <c r="A101" s="20">
        <v>25</v>
      </c>
      <c r="B101" s="68" t="s">
        <v>255</v>
      </c>
      <c r="C101" s="55" t="s">
        <v>95</v>
      </c>
      <c r="D101" s="67"/>
      <c r="E101" s="29"/>
      <c r="F101" s="29"/>
      <c r="G101" s="29">
        <v>98</v>
      </c>
      <c r="H101" s="60"/>
      <c r="I101" s="110">
        <f t="shared" si="15"/>
        <v>98</v>
      </c>
    </row>
    <row r="102" spans="1:9">
      <c r="A102" s="20">
        <v>26</v>
      </c>
      <c r="B102" s="68" t="s">
        <v>256</v>
      </c>
      <c r="C102" s="55" t="s">
        <v>95</v>
      </c>
      <c r="D102" s="67"/>
      <c r="E102" s="29"/>
      <c r="F102" s="29"/>
      <c r="G102" s="29">
        <v>235</v>
      </c>
      <c r="H102" s="60"/>
      <c r="I102" s="110">
        <f t="shared" si="15"/>
        <v>235</v>
      </c>
    </row>
    <row r="103" spans="1:9">
      <c r="A103" s="20">
        <v>27</v>
      </c>
      <c r="B103" s="68" t="s">
        <v>257</v>
      </c>
      <c r="C103" s="55" t="s">
        <v>95</v>
      </c>
      <c r="D103" s="67"/>
      <c r="E103" s="29"/>
      <c r="F103" s="29"/>
      <c r="G103" s="29">
        <v>239</v>
      </c>
      <c r="H103" s="60"/>
      <c r="I103" s="110">
        <f t="shared" si="15"/>
        <v>239</v>
      </c>
    </row>
    <row r="104" spans="1:9">
      <c r="A104" s="20">
        <v>28</v>
      </c>
      <c r="B104" s="68" t="s">
        <v>160</v>
      </c>
      <c r="C104" s="55" t="s">
        <v>184</v>
      </c>
      <c r="D104" s="67"/>
      <c r="E104" s="29"/>
      <c r="F104" s="29"/>
      <c r="G104" s="29">
        <v>273</v>
      </c>
      <c r="H104" s="60"/>
      <c r="I104" s="110">
        <f>G104*10</f>
        <v>2730</v>
      </c>
    </row>
    <row r="105" spans="1:9">
      <c r="A105" s="20">
        <v>29</v>
      </c>
      <c r="B105" s="68" t="s">
        <v>258</v>
      </c>
      <c r="C105" s="55" t="s">
        <v>259</v>
      </c>
      <c r="D105" s="67" t="s">
        <v>260</v>
      </c>
      <c r="E105" s="29"/>
      <c r="F105" s="29"/>
      <c r="G105" s="29">
        <v>646.21</v>
      </c>
      <c r="H105" s="60"/>
      <c r="I105" s="110">
        <f>G105*1</f>
        <v>646.21</v>
      </c>
    </row>
    <row r="106" spans="1:9" ht="30">
      <c r="A106" s="20">
        <v>30</v>
      </c>
      <c r="B106" s="68" t="s">
        <v>180</v>
      </c>
      <c r="C106" s="55" t="s">
        <v>181</v>
      </c>
      <c r="D106" s="67"/>
      <c r="E106" s="29"/>
      <c r="F106" s="29"/>
      <c r="G106" s="29">
        <v>59.21</v>
      </c>
      <c r="H106" s="60"/>
      <c r="I106" s="110">
        <f>G106*1</f>
        <v>59.21</v>
      </c>
    </row>
    <row r="107" spans="1:9" ht="30">
      <c r="A107" s="20">
        <v>31</v>
      </c>
      <c r="B107" s="68" t="s">
        <v>119</v>
      </c>
      <c r="C107" s="55" t="s">
        <v>95</v>
      </c>
      <c r="D107" s="67"/>
      <c r="E107" s="29"/>
      <c r="F107" s="29"/>
      <c r="G107" s="29">
        <v>58.39</v>
      </c>
      <c r="H107" s="60"/>
      <c r="I107" s="110">
        <f>G107*1</f>
        <v>58.39</v>
      </c>
    </row>
    <row r="108" spans="1:9">
      <c r="A108" s="20">
        <v>32</v>
      </c>
      <c r="B108" s="68" t="s">
        <v>265</v>
      </c>
      <c r="C108" s="55" t="s">
        <v>95</v>
      </c>
      <c r="D108" s="67"/>
      <c r="E108" s="29"/>
      <c r="F108" s="29"/>
      <c r="G108" s="121">
        <v>853.91</v>
      </c>
      <c r="H108" s="60"/>
      <c r="I108" s="110">
        <f>G108*1</f>
        <v>853.91</v>
      </c>
    </row>
    <row r="109" spans="1:9" ht="16.5" customHeight="1">
      <c r="A109" s="20"/>
      <c r="B109" s="43" t="s">
        <v>53</v>
      </c>
      <c r="C109" s="123"/>
      <c r="D109" s="49"/>
      <c r="E109" s="39"/>
      <c r="F109" s="39"/>
      <c r="G109" s="39"/>
      <c r="H109" s="39"/>
      <c r="I109" s="23">
        <f>SUM(I93:I108)</f>
        <v>22438.5137</v>
      </c>
    </row>
    <row r="110" spans="1:9">
      <c r="A110" s="20"/>
      <c r="B110" s="47" t="s">
        <v>80</v>
      </c>
      <c r="C110" s="12"/>
      <c r="D110" s="12"/>
      <c r="E110" s="40"/>
      <c r="F110" s="40"/>
      <c r="G110" s="41"/>
      <c r="H110" s="41"/>
      <c r="I110" s="13">
        <v>0</v>
      </c>
    </row>
    <row r="111" spans="1:9">
      <c r="A111" s="50"/>
      <c r="B111" s="44" t="s">
        <v>158</v>
      </c>
      <c r="C111" s="28"/>
      <c r="D111" s="28"/>
      <c r="E111" s="28"/>
      <c r="F111" s="28"/>
      <c r="G111" s="28"/>
      <c r="H111" s="28"/>
      <c r="I111" s="42">
        <f>I109+I91</f>
        <v>90073.570909999995</v>
      </c>
    </row>
    <row r="112" spans="1:9" ht="15.75">
      <c r="A112" s="183" t="s">
        <v>266</v>
      </c>
      <c r="B112" s="183"/>
      <c r="C112" s="183"/>
      <c r="D112" s="183"/>
      <c r="E112" s="183"/>
      <c r="F112" s="183"/>
      <c r="G112" s="183"/>
      <c r="H112" s="183"/>
      <c r="I112" s="183"/>
    </row>
    <row r="113" spans="1:9" ht="15.75">
      <c r="A113" s="56"/>
      <c r="B113" s="184" t="s">
        <v>267</v>
      </c>
      <c r="C113" s="184"/>
      <c r="D113" s="184"/>
      <c r="E113" s="184"/>
      <c r="F113" s="184"/>
      <c r="G113" s="184"/>
      <c r="H113" s="59"/>
      <c r="I113" s="2"/>
    </row>
    <row r="114" spans="1:9">
      <c r="A114" s="148"/>
      <c r="B114" s="171" t="s">
        <v>6</v>
      </c>
      <c r="C114" s="171"/>
      <c r="D114" s="171"/>
      <c r="E114" s="171"/>
      <c r="F114" s="171"/>
      <c r="G114" s="171"/>
      <c r="H114" s="15"/>
      <c r="I114" s="4"/>
    </row>
    <row r="115" spans="1:9">
      <c r="A115" s="7"/>
      <c r="B115" s="7"/>
      <c r="C115" s="7"/>
      <c r="D115" s="7"/>
      <c r="E115" s="7"/>
      <c r="F115" s="7"/>
      <c r="G115" s="7"/>
      <c r="H115" s="7"/>
      <c r="I115" s="7"/>
    </row>
    <row r="116" spans="1:9" ht="15.75">
      <c r="A116" s="185" t="s">
        <v>7</v>
      </c>
      <c r="B116" s="185"/>
      <c r="C116" s="185"/>
      <c r="D116" s="185"/>
      <c r="E116" s="185"/>
      <c r="F116" s="185"/>
      <c r="G116" s="185"/>
      <c r="H116" s="185"/>
      <c r="I116" s="185"/>
    </row>
    <row r="117" spans="1:9" ht="15.75">
      <c r="A117" s="185" t="s">
        <v>8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15.75">
      <c r="A118" s="175" t="s">
        <v>62</v>
      </c>
      <c r="B118" s="175"/>
      <c r="C118" s="175"/>
      <c r="D118" s="175"/>
      <c r="E118" s="175"/>
      <c r="F118" s="175"/>
      <c r="G118" s="175"/>
      <c r="H118" s="175"/>
      <c r="I118" s="175"/>
    </row>
    <row r="119" spans="1:9" ht="15.75">
      <c r="A119" s="8"/>
    </row>
    <row r="120" spans="1:9" ht="15.75">
      <c r="A120" s="169" t="s">
        <v>9</v>
      </c>
      <c r="B120" s="169"/>
      <c r="C120" s="169"/>
      <c r="D120" s="169"/>
      <c r="E120" s="169"/>
      <c r="F120" s="169"/>
      <c r="G120" s="169"/>
      <c r="H120" s="169"/>
      <c r="I120" s="169"/>
    </row>
    <row r="121" spans="1:9" ht="15.75">
      <c r="A121" s="3"/>
    </row>
    <row r="122" spans="1:9" ht="15.75">
      <c r="B122" s="145" t="s">
        <v>10</v>
      </c>
      <c r="C122" s="170" t="s">
        <v>124</v>
      </c>
      <c r="D122" s="170"/>
      <c r="E122" s="170"/>
      <c r="F122" s="57"/>
      <c r="I122" s="147"/>
    </row>
    <row r="123" spans="1:9">
      <c r="A123" s="148"/>
      <c r="C123" s="171" t="s">
        <v>11</v>
      </c>
      <c r="D123" s="171"/>
      <c r="E123" s="171"/>
      <c r="F123" s="15"/>
      <c r="I123" s="146" t="s">
        <v>12</v>
      </c>
    </row>
    <row r="124" spans="1:9" ht="15.75">
      <c r="A124" s="16"/>
      <c r="C124" s="9"/>
      <c r="D124" s="9"/>
      <c r="G124" s="9"/>
      <c r="H124" s="9"/>
    </row>
    <row r="125" spans="1:9" ht="15.75">
      <c r="B125" s="145" t="s">
        <v>13</v>
      </c>
      <c r="C125" s="172"/>
      <c r="D125" s="172"/>
      <c r="E125" s="172"/>
      <c r="F125" s="58"/>
      <c r="I125" s="147"/>
    </row>
    <row r="126" spans="1:9">
      <c r="A126" s="148"/>
      <c r="C126" s="173" t="s">
        <v>11</v>
      </c>
      <c r="D126" s="173"/>
      <c r="E126" s="173"/>
      <c r="F126" s="148"/>
      <c r="I126" s="146" t="s">
        <v>12</v>
      </c>
    </row>
    <row r="127" spans="1:9" ht="15.75">
      <c r="A127" s="3" t="s">
        <v>14</v>
      </c>
    </row>
    <row r="128" spans="1:9">
      <c r="A128" s="174" t="s">
        <v>15</v>
      </c>
      <c r="B128" s="174"/>
      <c r="C128" s="174"/>
      <c r="D128" s="174"/>
      <c r="E128" s="174"/>
      <c r="F128" s="174"/>
      <c r="G128" s="174"/>
      <c r="H128" s="174"/>
      <c r="I128" s="174"/>
    </row>
    <row r="129" spans="1:9" ht="40.5" customHeight="1">
      <c r="A129" s="168" t="s">
        <v>16</v>
      </c>
      <c r="B129" s="168"/>
      <c r="C129" s="168"/>
      <c r="D129" s="168"/>
      <c r="E129" s="168"/>
      <c r="F129" s="168"/>
      <c r="G129" s="168"/>
      <c r="H129" s="168"/>
      <c r="I129" s="168"/>
    </row>
    <row r="130" spans="1:9" ht="34.5" customHeight="1">
      <c r="A130" s="168" t="s">
        <v>17</v>
      </c>
      <c r="B130" s="168"/>
      <c r="C130" s="168"/>
      <c r="D130" s="168"/>
      <c r="E130" s="168"/>
      <c r="F130" s="168"/>
      <c r="G130" s="168"/>
      <c r="H130" s="168"/>
      <c r="I130" s="168"/>
    </row>
    <row r="131" spans="1:9" ht="41.25" customHeight="1">
      <c r="A131" s="168" t="s">
        <v>21</v>
      </c>
      <c r="B131" s="168"/>
      <c r="C131" s="168"/>
      <c r="D131" s="168"/>
      <c r="E131" s="168"/>
      <c r="F131" s="168"/>
      <c r="G131" s="168"/>
      <c r="H131" s="168"/>
      <c r="I131" s="168"/>
    </row>
    <row r="132" spans="1:9" ht="15.75">
      <c r="A132" s="168" t="s">
        <v>20</v>
      </c>
      <c r="B132" s="168"/>
      <c r="C132" s="168"/>
      <c r="D132" s="168"/>
      <c r="E132" s="168"/>
      <c r="F132" s="168"/>
      <c r="G132" s="168"/>
      <c r="H132" s="168"/>
      <c r="I132" s="168"/>
    </row>
  </sheetData>
  <mergeCells count="28">
    <mergeCell ref="A128:I128"/>
    <mergeCell ref="A129:I129"/>
    <mergeCell ref="A130:I130"/>
    <mergeCell ref="A131:I131"/>
    <mergeCell ref="A132:I132"/>
    <mergeCell ref="C126:E126"/>
    <mergeCell ref="A112:I112"/>
    <mergeCell ref="B113:G113"/>
    <mergeCell ref="B114:G114"/>
    <mergeCell ref="A116:I116"/>
    <mergeCell ref="A117:I117"/>
    <mergeCell ref="A118:I118"/>
    <mergeCell ref="A120:I120"/>
    <mergeCell ref="C122:E122"/>
    <mergeCell ref="C123:E123"/>
    <mergeCell ref="C125:E125"/>
    <mergeCell ref="A92:I9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8:I88"/>
  </mergeCells>
  <pageMargins left="0.70866141732283472" right="0.51181102362204722" top="0.74803149606299213" bottom="0.74803149606299213" header="0.31496062992125984" footer="0.31496062992125984"/>
  <pageSetup paperSize="9" scale="6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78" zoomScale="60" workbookViewId="0">
      <selection activeCell="B94" sqref="B94:I94"/>
    </sheetView>
  </sheetViews>
  <sheetFormatPr defaultRowHeight="15"/>
  <cols>
    <col min="2" max="2" width="49.28515625" customWidth="1"/>
    <col min="3" max="3" width="18.28515625" customWidth="1"/>
    <col min="4" max="4" width="17.140625" customWidth="1"/>
    <col min="5" max="5" width="0" hidden="1" customWidth="1"/>
    <col min="6" max="6" width="13.5703125" hidden="1" customWidth="1"/>
    <col min="7" max="7" width="15.85546875" customWidth="1"/>
    <col min="8" max="8" width="0" hidden="1" customWidth="1"/>
    <col min="9" max="9" width="14.7109375" customWidth="1"/>
  </cols>
  <sheetData>
    <row r="1" spans="1:9" ht="15.75">
      <c r="A1" s="18" t="s">
        <v>168</v>
      </c>
      <c r="I1" s="17"/>
    </row>
    <row r="2" spans="1:9" ht="15.75">
      <c r="A2" s="19" t="s">
        <v>63</v>
      </c>
    </row>
    <row r="3" spans="1:9" ht="15.75">
      <c r="A3" s="187" t="s">
        <v>174</v>
      </c>
      <c r="B3" s="187"/>
      <c r="C3" s="187"/>
      <c r="D3" s="187"/>
      <c r="E3" s="187"/>
      <c r="F3" s="187"/>
      <c r="G3" s="187"/>
      <c r="H3" s="187"/>
      <c r="I3" s="187"/>
    </row>
    <row r="4" spans="1:9" ht="33.75" customHeight="1">
      <c r="A4" s="188" t="s">
        <v>121</v>
      </c>
      <c r="B4" s="188"/>
      <c r="C4" s="188"/>
      <c r="D4" s="188"/>
      <c r="E4" s="188"/>
      <c r="F4" s="188"/>
      <c r="G4" s="188"/>
      <c r="H4" s="188"/>
      <c r="I4" s="188"/>
    </row>
    <row r="5" spans="1:9" ht="15.75">
      <c r="A5" s="187" t="s">
        <v>262</v>
      </c>
      <c r="B5" s="189"/>
      <c r="C5" s="189"/>
      <c r="D5" s="189"/>
      <c r="E5" s="189"/>
      <c r="F5" s="189"/>
      <c r="G5" s="189"/>
      <c r="H5" s="189"/>
      <c r="I5" s="189"/>
    </row>
    <row r="6" spans="1:9" ht="15.75">
      <c r="A6" s="1"/>
      <c r="B6" s="154"/>
      <c r="C6" s="154"/>
      <c r="D6" s="154"/>
      <c r="E6" s="154"/>
      <c r="F6" s="154"/>
      <c r="G6" s="154"/>
      <c r="H6" s="154"/>
      <c r="I6" s="21">
        <v>43738</v>
      </c>
    </row>
    <row r="7" spans="1:9" ht="15.75">
      <c r="B7" s="152"/>
      <c r="C7" s="152"/>
      <c r="D7" s="152"/>
      <c r="E7" s="2"/>
      <c r="F7" s="2"/>
      <c r="G7" s="2"/>
      <c r="H7" s="2"/>
    </row>
    <row r="8" spans="1:9" ht="105" customHeight="1">
      <c r="A8" s="190" t="s">
        <v>171</v>
      </c>
      <c r="B8" s="190"/>
      <c r="C8" s="190"/>
      <c r="D8" s="190"/>
      <c r="E8" s="190"/>
      <c r="F8" s="190"/>
      <c r="G8" s="190"/>
      <c r="H8" s="190"/>
      <c r="I8" s="190"/>
    </row>
    <row r="9" spans="1:9" ht="15.75">
      <c r="A9" s="3"/>
    </row>
    <row r="10" spans="1:9" ht="67.5" customHeight="1">
      <c r="A10" s="191" t="s">
        <v>159</v>
      </c>
      <c r="B10" s="191"/>
      <c r="C10" s="191"/>
      <c r="D10" s="191"/>
      <c r="E10" s="191"/>
      <c r="F10" s="191"/>
      <c r="G10" s="191"/>
      <c r="H10" s="191"/>
      <c r="I10" s="191"/>
    </row>
    <row r="11" spans="1:9" ht="15.75">
      <c r="A11" s="3"/>
    </row>
    <row r="12" spans="1:9" ht="82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86" t="s">
        <v>60</v>
      </c>
      <c r="B14" s="186"/>
      <c r="C14" s="186"/>
      <c r="D14" s="186"/>
      <c r="E14" s="186"/>
      <c r="F14" s="186"/>
      <c r="G14" s="186"/>
      <c r="H14" s="186"/>
      <c r="I14" s="186"/>
    </row>
    <row r="15" spans="1:9">
      <c r="A15" s="176" t="s">
        <v>4</v>
      </c>
      <c r="B15" s="176"/>
      <c r="C15" s="176"/>
      <c r="D15" s="176"/>
      <c r="E15" s="176"/>
      <c r="F15" s="176"/>
      <c r="G15" s="176"/>
      <c r="H15" s="176"/>
      <c r="I15" s="176"/>
    </row>
    <row r="16" spans="1:9" ht="17.25" customHeight="1">
      <c r="A16" s="20">
        <v>1</v>
      </c>
      <c r="B16" s="25" t="s">
        <v>102</v>
      </c>
      <c r="C16" s="37" t="s">
        <v>86</v>
      </c>
      <c r="D16" s="25" t="s">
        <v>212</v>
      </c>
      <c r="E16" s="76">
        <v>121.14</v>
      </c>
      <c r="F16" s="24">
        <f>SUM(E16*156/100)</f>
        <v>188.97839999999999</v>
      </c>
      <c r="G16" s="24">
        <v>230</v>
      </c>
      <c r="H16" s="77">
        <f t="shared" ref="H16:H18" si="0">SUM(F16*G16/1000)</f>
        <v>43.465032000000001</v>
      </c>
      <c r="I16" s="10">
        <f>F16/12*G16</f>
        <v>3622.0859999999998</v>
      </c>
    </row>
    <row r="17" spans="1:9" ht="17.25" customHeight="1">
      <c r="A17" s="20">
        <v>2</v>
      </c>
      <c r="B17" s="25" t="s">
        <v>103</v>
      </c>
      <c r="C17" s="37" t="s">
        <v>86</v>
      </c>
      <c r="D17" s="25" t="s">
        <v>213</v>
      </c>
      <c r="E17" s="76">
        <v>484.56</v>
      </c>
      <c r="F17" s="24">
        <f>SUM(E17*104/100)</f>
        <v>503.94239999999996</v>
      </c>
      <c r="G17" s="24">
        <v>230</v>
      </c>
      <c r="H17" s="77">
        <f t="shared" si="0"/>
        <v>115.906752</v>
      </c>
      <c r="I17" s="10">
        <f>F17/12*G17</f>
        <v>9658.8959999999988</v>
      </c>
    </row>
    <row r="18" spans="1:9" ht="16.5" customHeight="1">
      <c r="A18" s="20">
        <v>3</v>
      </c>
      <c r="B18" s="25" t="s">
        <v>104</v>
      </c>
      <c r="C18" s="37" t="s">
        <v>86</v>
      </c>
      <c r="D18" s="25" t="s">
        <v>214</v>
      </c>
      <c r="E18" s="76">
        <f>SUM(E16+E17)</f>
        <v>605.70000000000005</v>
      </c>
      <c r="F18" s="24">
        <f>SUM(E18*24/100)</f>
        <v>145.36800000000002</v>
      </c>
      <c r="G18" s="24">
        <v>661.67</v>
      </c>
      <c r="H18" s="77">
        <f t="shared" si="0"/>
        <v>96.185644560000014</v>
      </c>
      <c r="I18" s="10">
        <f>F18/12*G18</f>
        <v>8015.4703800000016</v>
      </c>
    </row>
    <row r="19" spans="1:9" hidden="1">
      <c r="A19" s="20">
        <v>4</v>
      </c>
      <c r="B19" s="25" t="s">
        <v>105</v>
      </c>
      <c r="C19" s="37" t="s">
        <v>106</v>
      </c>
      <c r="D19" s="25" t="s">
        <v>107</v>
      </c>
      <c r="E19" s="76">
        <v>38.4</v>
      </c>
      <c r="F19" s="24">
        <f>SUM(E19/10)</f>
        <v>3.84</v>
      </c>
      <c r="G19" s="24">
        <v>223.17</v>
      </c>
      <c r="H19" s="77">
        <f t="shared" ref="H19:H25" si="1">SUM(F19*G19/1000)</f>
        <v>0.85697279999999987</v>
      </c>
      <c r="I19" s="10">
        <f>F19*G19</f>
        <v>856.97279999999989</v>
      </c>
    </row>
    <row r="20" spans="1:9" ht="16.5" customHeight="1">
      <c r="A20" s="20">
        <v>4</v>
      </c>
      <c r="B20" s="25" t="s">
        <v>108</v>
      </c>
      <c r="C20" s="37" t="s">
        <v>86</v>
      </c>
      <c r="D20" s="25" t="s">
        <v>220</v>
      </c>
      <c r="E20" s="76">
        <v>58.4</v>
      </c>
      <c r="F20" s="24">
        <f>SUM(E20*2/100)</f>
        <v>1.1679999999999999</v>
      </c>
      <c r="G20" s="24">
        <v>285.76</v>
      </c>
      <c r="H20" s="77">
        <f t="shared" si="1"/>
        <v>0.33376768000000001</v>
      </c>
      <c r="I20" s="10">
        <f>F20/2*G20</f>
        <v>166.88383999999999</v>
      </c>
    </row>
    <row r="21" spans="1:9" ht="18" customHeight="1">
      <c r="A21" s="20">
        <v>5</v>
      </c>
      <c r="B21" s="25" t="s">
        <v>109</v>
      </c>
      <c r="C21" s="37" t="s">
        <v>86</v>
      </c>
      <c r="D21" s="25" t="s">
        <v>220</v>
      </c>
      <c r="E21" s="76">
        <v>9.08</v>
      </c>
      <c r="F21" s="24">
        <f>SUM(E21*6/100)</f>
        <v>0.54480000000000006</v>
      </c>
      <c r="G21" s="24">
        <v>283.44</v>
      </c>
      <c r="H21" s="77">
        <f t="shared" si="1"/>
        <v>0.154418112</v>
      </c>
      <c r="I21" s="10">
        <f>F21/6*G21</f>
        <v>25.736352</v>
      </c>
    </row>
    <row r="22" spans="1:9" hidden="1">
      <c r="A22" s="20">
        <v>7</v>
      </c>
      <c r="B22" s="25" t="s">
        <v>110</v>
      </c>
      <c r="C22" s="37" t="s">
        <v>54</v>
      </c>
      <c r="D22" s="25" t="s">
        <v>107</v>
      </c>
      <c r="E22" s="76">
        <v>714</v>
      </c>
      <c r="F22" s="24">
        <f>SUM(E22/100)</f>
        <v>7.14</v>
      </c>
      <c r="G22" s="24">
        <v>353.14</v>
      </c>
      <c r="H22" s="77">
        <f t="shared" si="1"/>
        <v>2.5214195999999998</v>
      </c>
      <c r="I22" s="10">
        <f>7.14*G22</f>
        <v>2521.4195999999997</v>
      </c>
    </row>
    <row r="23" spans="1:9" hidden="1">
      <c r="A23" s="20">
        <v>8</v>
      </c>
      <c r="B23" s="25" t="s">
        <v>111</v>
      </c>
      <c r="C23" s="37" t="s">
        <v>54</v>
      </c>
      <c r="D23" s="25" t="s">
        <v>107</v>
      </c>
      <c r="E23" s="78">
        <v>96.6</v>
      </c>
      <c r="F23" s="24">
        <f>SUM(E23/100)</f>
        <v>0.96599999999999997</v>
      </c>
      <c r="G23" s="24">
        <v>58.08</v>
      </c>
      <c r="H23" s="77">
        <f t="shared" si="1"/>
        <v>5.6105279999999993E-2</v>
      </c>
      <c r="I23" s="10">
        <f>96.6/100*G23</f>
        <v>56.105279999999993</v>
      </c>
    </row>
    <row r="24" spans="1:9" hidden="1">
      <c r="A24" s="20">
        <v>9</v>
      </c>
      <c r="B24" s="25" t="s">
        <v>112</v>
      </c>
      <c r="C24" s="37" t="s">
        <v>54</v>
      </c>
      <c r="D24" s="25" t="s">
        <v>113</v>
      </c>
      <c r="E24" s="76">
        <v>32</v>
      </c>
      <c r="F24" s="24">
        <f>E24*12/100</f>
        <v>3.84</v>
      </c>
      <c r="G24" s="24">
        <v>511.12</v>
      </c>
      <c r="H24" s="77">
        <f t="shared" si="1"/>
        <v>1.9627007999999999</v>
      </c>
      <c r="I24" s="10">
        <f t="shared" ref="I24" si="2">F24/12*G24</f>
        <v>163.55840000000001</v>
      </c>
    </row>
    <row r="25" spans="1:9" ht="21" customHeight="1">
      <c r="A25" s="20">
        <v>6</v>
      </c>
      <c r="B25" s="25" t="s">
        <v>114</v>
      </c>
      <c r="C25" s="37" t="s">
        <v>54</v>
      </c>
      <c r="D25" s="25" t="s">
        <v>220</v>
      </c>
      <c r="E25" s="76">
        <v>17</v>
      </c>
      <c r="F25" s="24">
        <f>SUM(E25*12/100)</f>
        <v>2.04</v>
      </c>
      <c r="G25" s="24">
        <v>683.05</v>
      </c>
      <c r="H25" s="77">
        <f t="shared" si="1"/>
        <v>1.3934219999999999</v>
      </c>
      <c r="I25" s="10">
        <f>F25/12*G25</f>
        <v>116.1185</v>
      </c>
    </row>
    <row r="26" spans="1:9" ht="19.5" customHeight="1">
      <c r="A26" s="20">
        <v>7</v>
      </c>
      <c r="B26" s="25" t="s">
        <v>211</v>
      </c>
      <c r="C26" s="37" t="s">
        <v>25</v>
      </c>
      <c r="D26" s="25" t="s">
        <v>216</v>
      </c>
      <c r="E26" s="79">
        <v>5.33</v>
      </c>
      <c r="F26" s="24">
        <f>E26*258</f>
        <v>1375.14</v>
      </c>
      <c r="G26" s="24">
        <v>10.39</v>
      </c>
      <c r="H26" s="77">
        <f>SUM(F26*G26/1000)</f>
        <v>14.287704600000001</v>
      </c>
      <c r="I26" s="10">
        <f>F26/12*G26</f>
        <v>1190.6420500000002</v>
      </c>
    </row>
    <row r="27" spans="1:9">
      <c r="A27" s="177" t="s">
        <v>84</v>
      </c>
      <c r="B27" s="178"/>
      <c r="C27" s="178"/>
      <c r="D27" s="178"/>
      <c r="E27" s="178"/>
      <c r="F27" s="178"/>
      <c r="G27" s="178"/>
      <c r="H27" s="178"/>
      <c r="I27" s="179"/>
    </row>
    <row r="28" spans="1:9" ht="20.25" customHeight="1">
      <c r="A28" s="20"/>
      <c r="B28" s="94" t="s">
        <v>28</v>
      </c>
      <c r="C28" s="37"/>
      <c r="D28" s="25"/>
      <c r="E28" s="76"/>
      <c r="F28" s="24"/>
      <c r="G28" s="24"/>
      <c r="H28" s="77"/>
      <c r="I28" s="10"/>
    </row>
    <row r="29" spans="1:9" ht="18" customHeight="1">
      <c r="A29" s="20">
        <v>8</v>
      </c>
      <c r="B29" s="25" t="s">
        <v>94</v>
      </c>
      <c r="C29" s="37" t="s">
        <v>88</v>
      </c>
      <c r="D29" s="25" t="s">
        <v>213</v>
      </c>
      <c r="E29" s="24">
        <v>637</v>
      </c>
      <c r="F29" s="24">
        <f>SUM(E29*48/1000)</f>
        <v>30.576000000000001</v>
      </c>
      <c r="G29" s="24">
        <v>204.44</v>
      </c>
      <c r="H29" s="77">
        <f t="shared" ref="H29:H32" si="3">SUM(F29*G29/1000)</f>
        <v>6.2509574400000005</v>
      </c>
      <c r="I29" s="10">
        <f t="shared" ref="I29:I32" si="4">F29/6*G29</f>
        <v>1041.8262400000001</v>
      </c>
    </row>
    <row r="30" spans="1:9" ht="45" customHeight="1">
      <c r="A30" s="20">
        <v>9</v>
      </c>
      <c r="B30" s="25" t="s">
        <v>133</v>
      </c>
      <c r="C30" s="37" t="s">
        <v>88</v>
      </c>
      <c r="D30" s="25" t="s">
        <v>213</v>
      </c>
      <c r="E30" s="24">
        <v>188</v>
      </c>
      <c r="F30" s="24">
        <f>SUM(E30*48/1000)</f>
        <v>9.0239999999999991</v>
      </c>
      <c r="G30" s="24">
        <v>339.21</v>
      </c>
      <c r="H30" s="77">
        <f t="shared" si="3"/>
        <v>3.0610310399999996</v>
      </c>
      <c r="I30" s="10">
        <f t="shared" si="4"/>
        <v>510.17183999999992</v>
      </c>
    </row>
    <row r="31" spans="1:9" hidden="1">
      <c r="A31" s="20">
        <v>15</v>
      </c>
      <c r="B31" s="25" t="s">
        <v>27</v>
      </c>
      <c r="C31" s="37" t="s">
        <v>88</v>
      </c>
      <c r="D31" s="25" t="s">
        <v>55</v>
      </c>
      <c r="E31" s="24">
        <v>637</v>
      </c>
      <c r="F31" s="24">
        <f>SUM(E31/1000)</f>
        <v>0.63700000000000001</v>
      </c>
      <c r="G31" s="24">
        <v>3961.23</v>
      </c>
      <c r="H31" s="77">
        <f t="shared" si="3"/>
        <v>2.5233035100000003</v>
      </c>
      <c r="I31" s="10">
        <f>F31*G31</f>
        <v>2523.3035100000002</v>
      </c>
    </row>
    <row r="32" spans="1:9" ht="16.5" customHeight="1">
      <c r="A32" s="20">
        <v>10</v>
      </c>
      <c r="B32" s="25" t="s">
        <v>140</v>
      </c>
      <c r="C32" s="37" t="s">
        <v>41</v>
      </c>
      <c r="D32" s="25" t="s">
        <v>213</v>
      </c>
      <c r="E32" s="24">
        <v>8</v>
      </c>
      <c r="F32" s="24">
        <f>SUM(E32*48/100)</f>
        <v>3.84</v>
      </c>
      <c r="G32" s="24">
        <v>1707.63</v>
      </c>
      <c r="H32" s="77">
        <f t="shared" si="3"/>
        <v>6.5572992000000001</v>
      </c>
      <c r="I32" s="10">
        <f t="shared" si="4"/>
        <v>1092.8832</v>
      </c>
    </row>
    <row r="33" spans="1:9" ht="30" hidden="1">
      <c r="A33" s="20"/>
      <c r="B33" s="25" t="s">
        <v>65</v>
      </c>
      <c r="C33" s="37" t="s">
        <v>33</v>
      </c>
      <c r="D33" s="25" t="s">
        <v>67</v>
      </c>
      <c r="E33" s="76"/>
      <c r="F33" s="24">
        <v>2</v>
      </c>
      <c r="G33" s="24">
        <v>250.92</v>
      </c>
      <c r="H33" s="77">
        <f t="shared" ref="H33:H34" si="5">SUM(F33*G33/1000)</f>
        <v>0.50183999999999995</v>
      </c>
      <c r="I33" s="10">
        <v>0</v>
      </c>
    </row>
    <row r="34" spans="1:9" ht="30" hidden="1">
      <c r="A34" s="20"/>
      <c r="B34" s="25" t="s">
        <v>66</v>
      </c>
      <c r="C34" s="37" t="s">
        <v>32</v>
      </c>
      <c r="D34" s="25" t="s">
        <v>67</v>
      </c>
      <c r="E34" s="76"/>
      <c r="F34" s="24">
        <v>3</v>
      </c>
      <c r="G34" s="24">
        <v>1490.31</v>
      </c>
      <c r="H34" s="77">
        <f t="shared" si="5"/>
        <v>4.4709300000000001</v>
      </c>
      <c r="I34" s="10">
        <v>0</v>
      </c>
    </row>
    <row r="35" spans="1:9" hidden="1">
      <c r="A35" s="20"/>
      <c r="B35" s="94" t="s">
        <v>5</v>
      </c>
      <c r="C35" s="37"/>
      <c r="D35" s="25"/>
      <c r="E35" s="76"/>
      <c r="F35" s="24"/>
      <c r="G35" s="24"/>
      <c r="H35" s="77" t="s">
        <v>129</v>
      </c>
      <c r="I35" s="10"/>
    </row>
    <row r="36" spans="1:9" hidden="1">
      <c r="A36" s="20">
        <v>8</v>
      </c>
      <c r="B36" s="26" t="s">
        <v>26</v>
      </c>
      <c r="C36" s="37" t="s">
        <v>32</v>
      </c>
      <c r="D36" s="25"/>
      <c r="E36" s="76"/>
      <c r="F36" s="24">
        <v>8</v>
      </c>
      <c r="G36" s="24">
        <v>2003</v>
      </c>
      <c r="H36" s="77">
        <f t="shared" ref="H36:H44" si="6">SUM(F36*G36/1000)</f>
        <v>16.024000000000001</v>
      </c>
      <c r="I36" s="10">
        <f t="shared" ref="I36:I44" si="7">F36/6*G36</f>
        <v>2670.6666666666665</v>
      </c>
    </row>
    <row r="37" spans="1:9" hidden="1">
      <c r="A37" s="20">
        <v>9</v>
      </c>
      <c r="B37" s="26" t="s">
        <v>68</v>
      </c>
      <c r="C37" s="51" t="s">
        <v>29</v>
      </c>
      <c r="D37" s="26" t="s">
        <v>142</v>
      </c>
      <c r="E37" s="27">
        <v>188</v>
      </c>
      <c r="F37" s="27">
        <f>SUM(E37*26/1000)</f>
        <v>4.8879999999999999</v>
      </c>
      <c r="G37" s="27">
        <v>2757.78</v>
      </c>
      <c r="H37" s="77">
        <f t="shared" si="6"/>
        <v>13.48002864</v>
      </c>
      <c r="I37" s="10">
        <f t="shared" si="7"/>
        <v>2246.6714400000001</v>
      </c>
    </row>
    <row r="38" spans="1:9" ht="30" hidden="1">
      <c r="A38" s="20">
        <v>10</v>
      </c>
      <c r="B38" s="25" t="s">
        <v>69</v>
      </c>
      <c r="C38" s="37" t="s">
        <v>29</v>
      </c>
      <c r="D38" s="25" t="s">
        <v>87</v>
      </c>
      <c r="E38" s="24">
        <v>188</v>
      </c>
      <c r="F38" s="27">
        <f>SUM(E38*155/1000)</f>
        <v>29.14</v>
      </c>
      <c r="G38" s="24">
        <v>460.02</v>
      </c>
      <c r="H38" s="77">
        <f t="shared" si="6"/>
        <v>13.404982799999999</v>
      </c>
      <c r="I38" s="10">
        <f t="shared" si="7"/>
        <v>2234.1637999999998</v>
      </c>
    </row>
    <row r="39" spans="1:9" hidden="1">
      <c r="A39" s="20">
        <v>11</v>
      </c>
      <c r="B39" s="25" t="s">
        <v>143</v>
      </c>
      <c r="C39" s="37" t="s">
        <v>144</v>
      </c>
      <c r="D39" s="25"/>
      <c r="E39" s="76"/>
      <c r="F39" s="27">
        <v>50</v>
      </c>
      <c r="G39" s="24">
        <v>213.2</v>
      </c>
      <c r="H39" s="77">
        <f t="shared" si="6"/>
        <v>10.66</v>
      </c>
      <c r="I39" s="10">
        <v>0</v>
      </c>
    </row>
    <row r="40" spans="1:9" hidden="1">
      <c r="A40" s="20"/>
      <c r="B40" s="25" t="s">
        <v>143</v>
      </c>
      <c r="C40" s="37" t="s">
        <v>144</v>
      </c>
      <c r="D40" s="124" t="s">
        <v>163</v>
      </c>
      <c r="E40" s="76"/>
      <c r="F40" s="27"/>
      <c r="G40" s="24">
        <v>213.2</v>
      </c>
      <c r="H40" s="77"/>
      <c r="I40" s="10">
        <f>G40*39</f>
        <v>8314.7999999999993</v>
      </c>
    </row>
    <row r="41" spans="1:9" ht="60" hidden="1">
      <c r="A41" s="20">
        <v>11</v>
      </c>
      <c r="B41" s="25" t="s">
        <v>83</v>
      </c>
      <c r="C41" s="37" t="s">
        <v>88</v>
      </c>
      <c r="D41" s="25" t="s">
        <v>142</v>
      </c>
      <c r="E41" s="24">
        <v>188</v>
      </c>
      <c r="F41" s="27">
        <f>SUM(E41*26/1000)</f>
        <v>4.8879999999999999</v>
      </c>
      <c r="G41" s="24">
        <v>7611.16</v>
      </c>
      <c r="H41" s="77">
        <f t="shared" si="6"/>
        <v>37.20335008</v>
      </c>
      <c r="I41" s="10">
        <f t="shared" si="7"/>
        <v>6200.5583466666667</v>
      </c>
    </row>
    <row r="42" spans="1:9" hidden="1">
      <c r="A42" s="20">
        <v>12</v>
      </c>
      <c r="B42" s="25" t="s">
        <v>89</v>
      </c>
      <c r="C42" s="37" t="s">
        <v>88</v>
      </c>
      <c r="D42" s="25" t="s">
        <v>145</v>
      </c>
      <c r="E42" s="24">
        <v>188</v>
      </c>
      <c r="F42" s="27">
        <f>SUM(E42*24/1000)</f>
        <v>4.5119999999999996</v>
      </c>
      <c r="G42" s="24">
        <v>562.25</v>
      </c>
      <c r="H42" s="77">
        <f t="shared" si="6"/>
        <v>2.5368719999999998</v>
      </c>
      <c r="I42" s="10">
        <f>(F42/7.5*1.5)*G42</f>
        <v>507.37439999999992</v>
      </c>
    </row>
    <row r="43" spans="1:9" hidden="1">
      <c r="A43" s="20">
        <v>13</v>
      </c>
      <c r="B43" s="26" t="s">
        <v>70</v>
      </c>
      <c r="C43" s="51" t="s">
        <v>33</v>
      </c>
      <c r="D43" s="26"/>
      <c r="E43" s="80"/>
      <c r="F43" s="27">
        <v>0.9</v>
      </c>
      <c r="G43" s="27">
        <v>974.83</v>
      </c>
      <c r="H43" s="77">
        <f t="shared" si="6"/>
        <v>0.8773470000000001</v>
      </c>
      <c r="I43" s="10">
        <f>(F43/7.5*1.5)*G43</f>
        <v>175.46940000000004</v>
      </c>
    </row>
    <row r="44" spans="1:9" ht="30" hidden="1">
      <c r="A44" s="20">
        <v>14</v>
      </c>
      <c r="B44" s="68" t="s">
        <v>146</v>
      </c>
      <c r="C44" s="55" t="s">
        <v>29</v>
      </c>
      <c r="D44" s="26" t="s">
        <v>147</v>
      </c>
      <c r="E44" s="80">
        <v>2.4</v>
      </c>
      <c r="F44" s="27">
        <f>SUM(E44*12/1000)</f>
        <v>2.8799999999999996E-2</v>
      </c>
      <c r="G44" s="27">
        <v>260.2</v>
      </c>
      <c r="H44" s="77">
        <f t="shared" si="6"/>
        <v>7.4937599999999986E-3</v>
      </c>
      <c r="I44" s="10">
        <f t="shared" si="7"/>
        <v>1.2489599999999998</v>
      </c>
    </row>
    <row r="45" spans="1:9">
      <c r="A45" s="177" t="s">
        <v>122</v>
      </c>
      <c r="B45" s="178"/>
      <c r="C45" s="178"/>
      <c r="D45" s="178"/>
      <c r="E45" s="178"/>
      <c r="F45" s="178"/>
      <c r="G45" s="178"/>
      <c r="H45" s="178"/>
      <c r="I45" s="179"/>
    </row>
    <row r="46" spans="1:9" ht="14.25" customHeight="1">
      <c r="A46" s="20">
        <v>11</v>
      </c>
      <c r="B46" s="25" t="s">
        <v>130</v>
      </c>
      <c r="C46" s="37" t="s">
        <v>88</v>
      </c>
      <c r="D46" s="25" t="s">
        <v>220</v>
      </c>
      <c r="E46" s="76">
        <v>1609.3</v>
      </c>
      <c r="F46" s="24">
        <f>SUM(E46*2/1000)</f>
        <v>3.2185999999999999</v>
      </c>
      <c r="G46" s="29">
        <v>1193.71</v>
      </c>
      <c r="H46" s="77">
        <f t="shared" ref="H46:H55" si="8">SUM(F46*G46/1000)</f>
        <v>3.842075006</v>
      </c>
      <c r="I46" s="10">
        <f t="shared" ref="I46:I54" si="9">F46/2*G46</f>
        <v>1921.037503</v>
      </c>
    </row>
    <row r="47" spans="1:9" ht="14.25" customHeight="1">
      <c r="A47" s="20">
        <v>12</v>
      </c>
      <c r="B47" s="25" t="s">
        <v>36</v>
      </c>
      <c r="C47" s="37" t="s">
        <v>88</v>
      </c>
      <c r="D47" s="25" t="s">
        <v>220</v>
      </c>
      <c r="E47" s="76">
        <v>104</v>
      </c>
      <c r="F47" s="24">
        <f>SUM(E47*2/1000)</f>
        <v>0.20799999999999999</v>
      </c>
      <c r="G47" s="29">
        <v>4419.05</v>
      </c>
      <c r="H47" s="77">
        <f t="shared" si="8"/>
        <v>0.91916240000000005</v>
      </c>
      <c r="I47" s="10">
        <f t="shared" si="9"/>
        <v>459.58120000000002</v>
      </c>
    </row>
    <row r="48" spans="1:9" ht="15.75" customHeight="1">
      <c r="A48" s="20">
        <v>13</v>
      </c>
      <c r="B48" s="25" t="s">
        <v>37</v>
      </c>
      <c r="C48" s="37" t="s">
        <v>88</v>
      </c>
      <c r="D48" s="25" t="s">
        <v>220</v>
      </c>
      <c r="E48" s="76">
        <v>1996.87</v>
      </c>
      <c r="F48" s="24">
        <f>SUM(E48*2/1000)</f>
        <v>3.9937399999999998</v>
      </c>
      <c r="G48" s="29">
        <v>1803.69</v>
      </c>
      <c r="H48" s="77">
        <f t="shared" si="8"/>
        <v>7.2034689005999999</v>
      </c>
      <c r="I48" s="10">
        <f t="shared" si="9"/>
        <v>3601.7344502999999</v>
      </c>
    </row>
    <row r="49" spans="1:9" ht="14.25" customHeight="1">
      <c r="A49" s="20">
        <v>14</v>
      </c>
      <c r="B49" s="25" t="s">
        <v>38</v>
      </c>
      <c r="C49" s="37" t="s">
        <v>88</v>
      </c>
      <c r="D49" s="25" t="s">
        <v>220</v>
      </c>
      <c r="E49" s="76">
        <v>2654.21</v>
      </c>
      <c r="F49" s="24">
        <f>SUM(E49*2/1000)</f>
        <v>5.3084199999999999</v>
      </c>
      <c r="G49" s="29">
        <v>1243.43</v>
      </c>
      <c r="H49" s="77">
        <f t="shared" si="8"/>
        <v>6.6006486806</v>
      </c>
      <c r="I49" s="10">
        <f t="shared" si="9"/>
        <v>3300.3243403000001</v>
      </c>
    </row>
    <row r="50" spans="1:9" ht="18" customHeight="1">
      <c r="A50" s="20">
        <v>15</v>
      </c>
      <c r="B50" s="25" t="s">
        <v>34</v>
      </c>
      <c r="C50" s="37" t="s">
        <v>35</v>
      </c>
      <c r="D50" s="25" t="s">
        <v>220</v>
      </c>
      <c r="E50" s="76">
        <v>128.53</v>
      </c>
      <c r="F50" s="24">
        <f>SUM(E50*2/100)</f>
        <v>2.5706000000000002</v>
      </c>
      <c r="G50" s="29">
        <v>1352.76</v>
      </c>
      <c r="H50" s="77">
        <f t="shared" si="8"/>
        <v>3.4774048560000002</v>
      </c>
      <c r="I50" s="10">
        <f t="shared" si="9"/>
        <v>1738.7024280000001</v>
      </c>
    </row>
    <row r="51" spans="1:9" ht="16.5" customHeight="1">
      <c r="A51" s="20">
        <v>16</v>
      </c>
      <c r="B51" s="25" t="s">
        <v>57</v>
      </c>
      <c r="C51" s="37" t="s">
        <v>88</v>
      </c>
      <c r="D51" s="25" t="s">
        <v>220</v>
      </c>
      <c r="E51" s="76">
        <v>4394.8999999999996</v>
      </c>
      <c r="F51" s="24">
        <f>SUM(E51*5/1000)</f>
        <v>21.974499999999999</v>
      </c>
      <c r="G51" s="29">
        <v>1803.69</v>
      </c>
      <c r="H51" s="77">
        <f t="shared" si="8"/>
        <v>39.635185905</v>
      </c>
      <c r="I51" s="10">
        <f>F51/5*G51</f>
        <v>7927.0371809999997</v>
      </c>
    </row>
    <row r="52" spans="1:9" ht="45">
      <c r="A52" s="20">
        <v>17</v>
      </c>
      <c r="B52" s="25" t="s">
        <v>90</v>
      </c>
      <c r="C52" s="37" t="s">
        <v>88</v>
      </c>
      <c r="D52" s="25" t="s">
        <v>220</v>
      </c>
      <c r="E52" s="76">
        <v>4394.8999999999996</v>
      </c>
      <c r="F52" s="24">
        <f>SUM(E52*2/1000)</f>
        <v>8.7897999999999996</v>
      </c>
      <c r="G52" s="29">
        <v>1591.6</v>
      </c>
      <c r="H52" s="77">
        <f t="shared" si="8"/>
        <v>13.989845679999998</v>
      </c>
      <c r="I52" s="10">
        <f t="shared" si="9"/>
        <v>6994.9228399999993</v>
      </c>
    </row>
    <row r="53" spans="1:9" ht="30">
      <c r="A53" s="20">
        <v>18</v>
      </c>
      <c r="B53" s="25" t="s">
        <v>91</v>
      </c>
      <c r="C53" s="37" t="s">
        <v>39</v>
      </c>
      <c r="D53" s="25" t="s">
        <v>220</v>
      </c>
      <c r="E53" s="76">
        <v>40</v>
      </c>
      <c r="F53" s="24">
        <f>SUM(E53*2/100)</f>
        <v>0.8</v>
      </c>
      <c r="G53" s="29">
        <v>4058.32</v>
      </c>
      <c r="H53" s="77">
        <f t="shared" si="8"/>
        <v>3.2466560000000002</v>
      </c>
      <c r="I53" s="10">
        <f t="shared" si="9"/>
        <v>1623.3280000000002</v>
      </c>
    </row>
    <row r="54" spans="1:9">
      <c r="A54" s="20">
        <v>19</v>
      </c>
      <c r="B54" s="25" t="s">
        <v>40</v>
      </c>
      <c r="C54" s="37" t="s">
        <v>41</v>
      </c>
      <c r="D54" s="25" t="s">
        <v>220</v>
      </c>
      <c r="E54" s="76">
        <v>1</v>
      </c>
      <c r="F54" s="24">
        <v>0.02</v>
      </c>
      <c r="G54" s="29">
        <v>7412.92</v>
      </c>
      <c r="H54" s="77">
        <f t="shared" si="8"/>
        <v>0.14825839999999998</v>
      </c>
      <c r="I54" s="10">
        <f t="shared" si="9"/>
        <v>74.129199999999997</v>
      </c>
    </row>
    <row r="55" spans="1:9" ht="16.5" customHeight="1">
      <c r="A55" s="20">
        <v>20</v>
      </c>
      <c r="B55" s="25" t="s">
        <v>42</v>
      </c>
      <c r="C55" s="37" t="s">
        <v>95</v>
      </c>
      <c r="D55" s="25" t="s">
        <v>220</v>
      </c>
      <c r="E55" s="76">
        <v>160</v>
      </c>
      <c r="F55" s="24">
        <f>SUM(E55)*3</f>
        <v>480</v>
      </c>
      <c r="G55" s="30">
        <v>86.15</v>
      </c>
      <c r="H55" s="77">
        <f t="shared" si="8"/>
        <v>41.351999999999997</v>
      </c>
      <c r="I55" s="10">
        <f>F55/3*G55</f>
        <v>13784</v>
      </c>
    </row>
    <row r="56" spans="1:9">
      <c r="A56" s="177" t="s">
        <v>123</v>
      </c>
      <c r="B56" s="178"/>
      <c r="C56" s="178"/>
      <c r="D56" s="178"/>
      <c r="E56" s="178"/>
      <c r="F56" s="178"/>
      <c r="G56" s="178"/>
      <c r="H56" s="178"/>
      <c r="I56" s="179"/>
    </row>
    <row r="57" spans="1:9" hidden="1">
      <c r="A57" s="20"/>
      <c r="B57" s="94" t="s">
        <v>44</v>
      </c>
      <c r="C57" s="37"/>
      <c r="D57" s="25"/>
      <c r="E57" s="76"/>
      <c r="F57" s="24"/>
      <c r="G57" s="24"/>
      <c r="H57" s="77"/>
      <c r="I57" s="10"/>
    </row>
    <row r="58" spans="1:9" ht="45" hidden="1">
      <c r="A58" s="20">
        <v>17</v>
      </c>
      <c r="B58" s="25" t="s">
        <v>131</v>
      </c>
      <c r="C58" s="37" t="s">
        <v>86</v>
      </c>
      <c r="D58" s="25"/>
      <c r="E58" s="76">
        <v>160</v>
      </c>
      <c r="F58" s="24">
        <f>SUM(E58*6/100)</f>
        <v>9.6</v>
      </c>
      <c r="G58" s="29">
        <v>2029.3</v>
      </c>
      <c r="H58" s="77">
        <f>SUM(F58*G58/1000)</f>
        <v>19.481279999999998</v>
      </c>
      <c r="I58" s="10">
        <f t="shared" ref="I58" si="10">F58/6*G58</f>
        <v>3246.8799999999997</v>
      </c>
    </row>
    <row r="59" spans="1:9" ht="30" hidden="1">
      <c r="A59" s="20">
        <v>18</v>
      </c>
      <c r="B59" s="25" t="s">
        <v>148</v>
      </c>
      <c r="C59" s="37" t="s">
        <v>149</v>
      </c>
      <c r="D59" s="25" t="s">
        <v>67</v>
      </c>
      <c r="E59" s="76"/>
      <c r="F59" s="24">
        <v>3</v>
      </c>
      <c r="G59" s="29">
        <v>1582.05</v>
      </c>
      <c r="H59" s="77">
        <f>SUM(F59*G59/1000)</f>
        <v>4.7461499999999992</v>
      </c>
      <c r="I59" s="10">
        <f>G59*(1.5+1+1.5)</f>
        <v>6328.2</v>
      </c>
    </row>
    <row r="60" spans="1:9" ht="18" customHeight="1">
      <c r="A60" s="20"/>
      <c r="B60" s="94" t="s">
        <v>45</v>
      </c>
      <c r="C60" s="37"/>
      <c r="D60" s="25"/>
      <c r="E60" s="76"/>
      <c r="F60" s="24"/>
      <c r="G60" s="96"/>
      <c r="H60" s="77"/>
      <c r="I60" s="10"/>
    </row>
    <row r="61" spans="1:9" hidden="1">
      <c r="A61" s="20"/>
      <c r="B61" s="25" t="s">
        <v>46</v>
      </c>
      <c r="C61" s="37" t="s">
        <v>86</v>
      </c>
      <c r="D61" s="25" t="s">
        <v>55</v>
      </c>
      <c r="E61" s="76">
        <v>206</v>
      </c>
      <c r="F61" s="24">
        <f>SUM(E61/100)</f>
        <v>2.06</v>
      </c>
      <c r="G61" s="24">
        <v>1040.8399999999999</v>
      </c>
      <c r="H61" s="77">
        <f>F61*G61/1000</f>
        <v>2.1441303999999999</v>
      </c>
      <c r="I61" s="10">
        <v>0</v>
      </c>
    </row>
    <row r="62" spans="1:9" ht="17.25" customHeight="1">
      <c r="A62" s="20">
        <v>21</v>
      </c>
      <c r="B62" s="25" t="s">
        <v>120</v>
      </c>
      <c r="C62" s="37" t="s">
        <v>25</v>
      </c>
      <c r="D62" s="25" t="s">
        <v>220</v>
      </c>
      <c r="E62" s="76">
        <v>200</v>
      </c>
      <c r="F62" s="24">
        <f>E62*12</f>
        <v>2400</v>
      </c>
      <c r="G62" s="54">
        <v>1.4</v>
      </c>
      <c r="H62" s="77">
        <f>F62*G62/1000</f>
        <v>3.36</v>
      </c>
      <c r="I62" s="10">
        <f>F62/12*G62</f>
        <v>280</v>
      </c>
    </row>
    <row r="63" spans="1:9" ht="15.75" customHeight="1">
      <c r="A63" s="20"/>
      <c r="B63" s="95" t="s">
        <v>47</v>
      </c>
      <c r="C63" s="82"/>
      <c r="D63" s="83"/>
      <c r="E63" s="84"/>
      <c r="F63" s="85"/>
      <c r="G63" s="85"/>
      <c r="H63" s="86" t="s">
        <v>129</v>
      </c>
      <c r="I63" s="10"/>
    </row>
    <row r="64" spans="1:9" ht="18.75" customHeight="1">
      <c r="A64" s="20">
        <v>22</v>
      </c>
      <c r="B64" s="52" t="s">
        <v>48</v>
      </c>
      <c r="C64" s="33" t="s">
        <v>95</v>
      </c>
      <c r="D64" s="25" t="s">
        <v>263</v>
      </c>
      <c r="E64" s="13">
        <v>10</v>
      </c>
      <c r="F64" s="24">
        <f>SUM(E64)</f>
        <v>10</v>
      </c>
      <c r="G64" s="29">
        <v>291.68</v>
      </c>
      <c r="H64" s="66">
        <f t="shared" ref="H64:H83" si="11">SUM(F64*G64/1000)</f>
        <v>2.9168000000000003</v>
      </c>
      <c r="I64" s="10">
        <f>G64*7</f>
        <v>2041.76</v>
      </c>
    </row>
    <row r="65" spans="1:9" ht="30" hidden="1">
      <c r="A65" s="20"/>
      <c r="B65" s="52" t="s">
        <v>49</v>
      </c>
      <c r="C65" s="33" t="s">
        <v>95</v>
      </c>
      <c r="D65" s="25" t="s">
        <v>67</v>
      </c>
      <c r="E65" s="13">
        <v>5</v>
      </c>
      <c r="F65" s="24">
        <f>SUM(E65)</f>
        <v>5</v>
      </c>
      <c r="G65" s="29">
        <v>100.01</v>
      </c>
      <c r="H65" s="66">
        <f t="shared" si="11"/>
        <v>0.50004999999999999</v>
      </c>
      <c r="I65" s="10">
        <v>0</v>
      </c>
    </row>
    <row r="66" spans="1:9" hidden="1">
      <c r="A66" s="20">
        <v>29</v>
      </c>
      <c r="B66" s="52" t="s">
        <v>50</v>
      </c>
      <c r="C66" s="35" t="s">
        <v>96</v>
      </c>
      <c r="D66" s="32" t="s">
        <v>55</v>
      </c>
      <c r="E66" s="76">
        <v>24063</v>
      </c>
      <c r="F66" s="30">
        <f>SUM(E66/100)</f>
        <v>240.63</v>
      </c>
      <c r="G66" s="29">
        <v>278.24</v>
      </c>
      <c r="H66" s="66">
        <f t="shared" si="11"/>
        <v>66.952891199999996</v>
      </c>
      <c r="I66" s="10">
        <f>F66*G66</f>
        <v>66952.891199999998</v>
      </c>
    </row>
    <row r="67" spans="1:9" hidden="1">
      <c r="A67" s="20">
        <v>31</v>
      </c>
      <c r="B67" s="52" t="s">
        <v>51</v>
      </c>
      <c r="C67" s="33" t="s">
        <v>97</v>
      </c>
      <c r="D67" s="32" t="s">
        <v>55</v>
      </c>
      <c r="E67" s="76">
        <v>24063</v>
      </c>
      <c r="F67" s="29">
        <f>SUM(E67/1000)</f>
        <v>24.062999999999999</v>
      </c>
      <c r="G67" s="29">
        <v>216.68</v>
      </c>
      <c r="H67" s="66">
        <f t="shared" si="11"/>
        <v>5.21397084</v>
      </c>
      <c r="I67" s="10">
        <f t="shared" ref="I67:I70" si="12">F67*G67</f>
        <v>5213.97084</v>
      </c>
    </row>
    <row r="68" spans="1:9" hidden="1">
      <c r="A68" s="20">
        <v>32</v>
      </c>
      <c r="B68" s="52" t="s">
        <v>52</v>
      </c>
      <c r="C68" s="33" t="s">
        <v>78</v>
      </c>
      <c r="D68" s="32" t="s">
        <v>55</v>
      </c>
      <c r="E68" s="76">
        <v>1300</v>
      </c>
      <c r="F68" s="29">
        <f>SUM(E68/100)</f>
        <v>13</v>
      </c>
      <c r="G68" s="29">
        <v>2720.94</v>
      </c>
      <c r="H68" s="66">
        <f t="shared" si="11"/>
        <v>35.372219999999999</v>
      </c>
      <c r="I68" s="10">
        <f t="shared" si="12"/>
        <v>35372.22</v>
      </c>
    </row>
    <row r="69" spans="1:9" hidden="1">
      <c r="A69" s="20">
        <v>33</v>
      </c>
      <c r="B69" s="48" t="s">
        <v>72</v>
      </c>
      <c r="C69" s="33" t="s">
        <v>33</v>
      </c>
      <c r="D69" s="32"/>
      <c r="E69" s="76">
        <v>10.4</v>
      </c>
      <c r="F69" s="29">
        <f>SUM(E69)</f>
        <v>10.4</v>
      </c>
      <c r="G69" s="29">
        <v>42.61</v>
      </c>
      <c r="H69" s="66">
        <f t="shared" si="11"/>
        <v>0.44314399999999998</v>
      </c>
      <c r="I69" s="10">
        <f t="shared" si="12"/>
        <v>443.14400000000001</v>
      </c>
    </row>
    <row r="70" spans="1:9" ht="30" hidden="1">
      <c r="A70" s="20">
        <v>34</v>
      </c>
      <c r="B70" s="48" t="s">
        <v>73</v>
      </c>
      <c r="C70" s="33" t="s">
        <v>33</v>
      </c>
      <c r="D70" s="32"/>
      <c r="E70" s="76">
        <v>10.4</v>
      </c>
      <c r="F70" s="29">
        <f>SUM(E70)</f>
        <v>10.4</v>
      </c>
      <c r="G70" s="29">
        <v>46.04</v>
      </c>
      <c r="H70" s="66">
        <f t="shared" si="11"/>
        <v>0.47881600000000002</v>
      </c>
      <c r="I70" s="10">
        <f t="shared" si="12"/>
        <v>478.81600000000003</v>
      </c>
    </row>
    <row r="71" spans="1:9" ht="15.75" customHeight="1">
      <c r="A71" s="20">
        <v>23</v>
      </c>
      <c r="B71" s="32" t="s">
        <v>58</v>
      </c>
      <c r="C71" s="33" t="s">
        <v>59</v>
      </c>
      <c r="D71" s="32" t="s">
        <v>215</v>
      </c>
      <c r="E71" s="13">
        <v>5</v>
      </c>
      <c r="F71" s="24">
        <f>SUM(E71)</f>
        <v>5</v>
      </c>
      <c r="G71" s="29">
        <v>65.42</v>
      </c>
      <c r="H71" s="66">
        <f t="shared" si="11"/>
        <v>0.3271</v>
      </c>
      <c r="I71" s="10">
        <f>G71*F71</f>
        <v>327.10000000000002</v>
      </c>
    </row>
    <row r="72" spans="1:9" ht="15.75" customHeight="1">
      <c r="A72" s="20"/>
      <c r="B72" s="45" t="s">
        <v>74</v>
      </c>
      <c r="C72" s="33"/>
      <c r="D72" s="32"/>
      <c r="E72" s="13"/>
      <c r="F72" s="29"/>
      <c r="G72" s="29"/>
      <c r="H72" s="66" t="s">
        <v>129</v>
      </c>
      <c r="I72" s="10"/>
    </row>
    <row r="73" spans="1:9" ht="30" hidden="1">
      <c r="A73" s="20"/>
      <c r="B73" s="32" t="s">
        <v>150</v>
      </c>
      <c r="C73" s="33" t="s">
        <v>95</v>
      </c>
      <c r="D73" s="25" t="s">
        <v>67</v>
      </c>
      <c r="E73" s="13">
        <v>1</v>
      </c>
      <c r="F73" s="29">
        <v>1</v>
      </c>
      <c r="G73" s="29">
        <v>1029.1199999999999</v>
      </c>
      <c r="H73" s="66">
        <f t="shared" ref="H73:H76" si="13">SUM(F73*G73/1000)</f>
        <v>1.0291199999999998</v>
      </c>
      <c r="I73" s="10">
        <v>0</v>
      </c>
    </row>
    <row r="74" spans="1:9" hidden="1">
      <c r="A74" s="20"/>
      <c r="B74" s="32" t="s">
        <v>151</v>
      </c>
      <c r="C74" s="33" t="s">
        <v>152</v>
      </c>
      <c r="D74" s="32"/>
      <c r="E74" s="13">
        <v>1</v>
      </c>
      <c r="F74" s="29">
        <f>E74</f>
        <v>1</v>
      </c>
      <c r="G74" s="29">
        <v>735</v>
      </c>
      <c r="H74" s="66">
        <f t="shared" si="13"/>
        <v>0.73499999999999999</v>
      </c>
      <c r="I74" s="10">
        <v>0</v>
      </c>
    </row>
    <row r="75" spans="1:9" ht="15" hidden="1" customHeight="1">
      <c r="A75" s="20">
        <v>23</v>
      </c>
      <c r="B75" s="32" t="s">
        <v>75</v>
      </c>
      <c r="C75" s="33" t="s">
        <v>76</v>
      </c>
      <c r="D75" s="25" t="s">
        <v>67</v>
      </c>
      <c r="E75" s="13">
        <v>7</v>
      </c>
      <c r="F75" s="29">
        <f>E75/10</f>
        <v>0.7</v>
      </c>
      <c r="G75" s="29">
        <v>657.87</v>
      </c>
      <c r="H75" s="66">
        <f t="shared" si="13"/>
        <v>0.46050899999999995</v>
      </c>
      <c r="I75" s="10">
        <f>G75*0.2</f>
        <v>131.57400000000001</v>
      </c>
    </row>
    <row r="76" spans="1:9" ht="30" hidden="1">
      <c r="A76" s="20"/>
      <c r="B76" s="32" t="s">
        <v>116</v>
      </c>
      <c r="C76" s="33" t="s">
        <v>95</v>
      </c>
      <c r="D76" s="25" t="s">
        <v>67</v>
      </c>
      <c r="E76" s="13">
        <v>1</v>
      </c>
      <c r="F76" s="24">
        <f>SUM(E76)</f>
        <v>1</v>
      </c>
      <c r="G76" s="29">
        <v>1118.72</v>
      </c>
      <c r="H76" s="66">
        <f t="shared" si="13"/>
        <v>1.1187199999999999</v>
      </c>
      <c r="I76" s="10">
        <v>0</v>
      </c>
    </row>
    <row r="77" spans="1:9" ht="30" hidden="1">
      <c r="A77" s="20"/>
      <c r="B77" s="68" t="s">
        <v>153</v>
      </c>
      <c r="C77" s="55" t="s">
        <v>95</v>
      </c>
      <c r="D77" s="25" t="s">
        <v>67</v>
      </c>
      <c r="E77" s="13">
        <v>1</v>
      </c>
      <c r="F77" s="54">
        <v>1</v>
      </c>
      <c r="G77" s="29">
        <v>1605.83</v>
      </c>
      <c r="H77" s="66">
        <f>SUM(F77*G77/1000)</f>
        <v>1.6058299999999999</v>
      </c>
      <c r="I77" s="10">
        <v>0</v>
      </c>
    </row>
    <row r="78" spans="1:9" ht="32.25" customHeight="1">
      <c r="A78" s="20">
        <v>24</v>
      </c>
      <c r="B78" s="68" t="s">
        <v>154</v>
      </c>
      <c r="C78" s="55" t="s">
        <v>95</v>
      </c>
      <c r="D78" s="32" t="s">
        <v>215</v>
      </c>
      <c r="E78" s="87">
        <v>2</v>
      </c>
      <c r="F78" s="85">
        <f>E78*12</f>
        <v>24</v>
      </c>
      <c r="G78" s="88">
        <v>53.42</v>
      </c>
      <c r="H78" s="66">
        <f t="shared" ref="H78:H79" si="14">SUM(F78*G78/1000)</f>
        <v>1.2820799999999999</v>
      </c>
      <c r="I78" s="10">
        <f>F78/12*G78</f>
        <v>106.84</v>
      </c>
    </row>
    <row r="79" spans="1:9" ht="16.5" customHeight="1">
      <c r="A79" s="20">
        <v>25</v>
      </c>
      <c r="B79" s="62" t="s">
        <v>117</v>
      </c>
      <c r="C79" s="33"/>
      <c r="D79" s="32" t="s">
        <v>215</v>
      </c>
      <c r="E79" s="13">
        <v>1</v>
      </c>
      <c r="F79" s="29">
        <v>12</v>
      </c>
      <c r="G79" s="29">
        <v>1194</v>
      </c>
      <c r="H79" s="66">
        <f t="shared" si="14"/>
        <v>14.327999999999999</v>
      </c>
      <c r="I79" s="10">
        <f>F79/12*G79</f>
        <v>1194</v>
      </c>
    </row>
    <row r="80" spans="1:9" ht="17.25" customHeight="1">
      <c r="A80" s="20"/>
      <c r="B80" s="97" t="s">
        <v>155</v>
      </c>
      <c r="C80" s="55"/>
      <c r="D80" s="32"/>
      <c r="E80" s="13"/>
      <c r="F80" s="29"/>
      <c r="G80" s="29"/>
      <c r="H80" s="66"/>
      <c r="I80" s="10"/>
    </row>
    <row r="81" spans="1:9" ht="21.75" customHeight="1">
      <c r="A81" s="20">
        <v>26</v>
      </c>
      <c r="B81" s="32" t="s">
        <v>156</v>
      </c>
      <c r="C81" s="38" t="s">
        <v>157</v>
      </c>
      <c r="D81" s="25"/>
      <c r="E81" s="13">
        <v>4394.8999999999996</v>
      </c>
      <c r="F81" s="29">
        <f>SUM(E81*12)</f>
        <v>52738.799999999996</v>
      </c>
      <c r="G81" s="29">
        <v>2.2799999999999998</v>
      </c>
      <c r="H81" s="66">
        <f t="shared" ref="H81" si="15">SUM(F81*G81/1000)</f>
        <v>120.24446399999998</v>
      </c>
      <c r="I81" s="10">
        <f>F81/12*G81</f>
        <v>10020.371999999998</v>
      </c>
    </row>
    <row r="82" spans="1:9" hidden="1">
      <c r="A82" s="20"/>
      <c r="B82" s="46" t="s">
        <v>77</v>
      </c>
      <c r="C82" s="33"/>
      <c r="D82" s="32"/>
      <c r="E82" s="13"/>
      <c r="F82" s="29"/>
      <c r="G82" s="29" t="s">
        <v>129</v>
      </c>
      <c r="H82" s="66" t="s">
        <v>129</v>
      </c>
      <c r="I82" s="10"/>
    </row>
    <row r="83" spans="1:9" hidden="1">
      <c r="A83" s="20"/>
      <c r="B83" s="34" t="s">
        <v>100</v>
      </c>
      <c r="C83" s="35" t="s">
        <v>78</v>
      </c>
      <c r="D83" s="52"/>
      <c r="E83" s="89"/>
      <c r="F83" s="30">
        <v>0.6</v>
      </c>
      <c r="G83" s="30">
        <v>3619.09</v>
      </c>
      <c r="H83" s="66">
        <f t="shared" si="11"/>
        <v>2.1714540000000002</v>
      </c>
      <c r="I83" s="10">
        <v>0</v>
      </c>
    </row>
    <row r="84" spans="1:9" ht="28.5" hidden="1">
      <c r="A84" s="20"/>
      <c r="B84" s="153" t="s">
        <v>92</v>
      </c>
      <c r="C84" s="64"/>
      <c r="D84" s="22"/>
      <c r="E84" s="23"/>
      <c r="F84" s="61"/>
      <c r="G84" s="61"/>
      <c r="H84" s="90">
        <f>SUM(H58:H83)</f>
        <v>284.91172943999999</v>
      </c>
      <c r="I84" s="10"/>
    </row>
    <row r="85" spans="1:9" hidden="1">
      <c r="A85" s="20"/>
      <c r="B85" s="25" t="s">
        <v>98</v>
      </c>
      <c r="C85" s="91"/>
      <c r="D85" s="92"/>
      <c r="E85" s="93"/>
      <c r="F85" s="31">
        <v>1</v>
      </c>
      <c r="G85" s="31">
        <v>18792</v>
      </c>
      <c r="H85" s="66">
        <f>G85*F85/1000</f>
        <v>18.792000000000002</v>
      </c>
      <c r="I85" s="10">
        <v>0</v>
      </c>
    </row>
    <row r="86" spans="1:9">
      <c r="A86" s="177" t="s">
        <v>125</v>
      </c>
      <c r="B86" s="178"/>
      <c r="C86" s="178"/>
      <c r="D86" s="178"/>
      <c r="E86" s="178"/>
      <c r="F86" s="178"/>
      <c r="G86" s="178"/>
      <c r="H86" s="178"/>
      <c r="I86" s="179"/>
    </row>
    <row r="87" spans="1:9" ht="15.75" customHeight="1">
      <c r="A87" s="20">
        <v>27</v>
      </c>
      <c r="B87" s="25" t="s">
        <v>99</v>
      </c>
      <c r="C87" s="33" t="s">
        <v>56</v>
      </c>
      <c r="D87" s="53"/>
      <c r="E87" s="29">
        <v>4394.8999999999996</v>
      </c>
      <c r="F87" s="29">
        <f>SUM(E87*12)</f>
        <v>52738.799999999996</v>
      </c>
      <c r="G87" s="29">
        <v>3.1</v>
      </c>
      <c r="H87" s="66">
        <f>SUM(F87*G87/1000)</f>
        <v>163.49028000000001</v>
      </c>
      <c r="I87" s="10">
        <f>F87/12*G87</f>
        <v>13624.189999999999</v>
      </c>
    </row>
    <row r="88" spans="1:9" ht="35.25" customHeight="1">
      <c r="A88" s="20">
        <v>28</v>
      </c>
      <c r="B88" s="32" t="s">
        <v>79</v>
      </c>
      <c r="C88" s="33"/>
      <c r="D88" s="53"/>
      <c r="E88" s="76">
        <f>E87</f>
        <v>4394.8999999999996</v>
      </c>
      <c r="F88" s="29">
        <f>E88*12</f>
        <v>52738.799999999996</v>
      </c>
      <c r="G88" s="29">
        <v>3.5</v>
      </c>
      <c r="H88" s="66">
        <f>F88*G88/1000</f>
        <v>184.58579999999998</v>
      </c>
      <c r="I88" s="10">
        <f>F88/12*G88</f>
        <v>15382.149999999998</v>
      </c>
    </row>
    <row r="89" spans="1:9">
      <c r="A89" s="20"/>
      <c r="B89" s="36" t="s">
        <v>81</v>
      </c>
      <c r="C89" s="64"/>
      <c r="D89" s="63"/>
      <c r="E89" s="61"/>
      <c r="F89" s="61"/>
      <c r="G89" s="61"/>
      <c r="H89" s="65">
        <f>SUM(H76)</f>
        <v>1.1187199999999999</v>
      </c>
      <c r="I89" s="61">
        <f>I88+I87+I81+I79+I78+I71+I64+I62+I55+I54+I53+I52+I51+I50+I49+I48+I47+I46+I32+I30+I29+I26+I25+I21+I20+I18+I17+I16</f>
        <v>109841.92354459997</v>
      </c>
    </row>
    <row r="90" spans="1:9">
      <c r="A90" s="180" t="s">
        <v>61</v>
      </c>
      <c r="B90" s="181"/>
      <c r="C90" s="181"/>
      <c r="D90" s="181"/>
      <c r="E90" s="181"/>
      <c r="F90" s="181"/>
      <c r="G90" s="181"/>
      <c r="H90" s="181"/>
      <c r="I90" s="182"/>
    </row>
    <row r="91" spans="1:9" ht="33.75" customHeight="1">
      <c r="A91" s="20">
        <v>29</v>
      </c>
      <c r="B91" s="32" t="s">
        <v>183</v>
      </c>
      <c r="C91" s="33" t="s">
        <v>184</v>
      </c>
      <c r="D91" s="47" t="s">
        <v>264</v>
      </c>
      <c r="E91" s="10"/>
      <c r="F91" s="10">
        <v>158</v>
      </c>
      <c r="G91" s="29">
        <v>1465</v>
      </c>
      <c r="H91" s="60">
        <f>G91*F91/1000</f>
        <v>231.47</v>
      </c>
      <c r="I91" s="110">
        <f>G91*3</f>
        <v>4395</v>
      </c>
    </row>
    <row r="92" spans="1:9">
      <c r="A92" s="20">
        <v>30</v>
      </c>
      <c r="B92" s="68" t="s">
        <v>196</v>
      </c>
      <c r="C92" s="55" t="s">
        <v>136</v>
      </c>
      <c r="D92" s="32" t="s">
        <v>268</v>
      </c>
      <c r="E92" s="13"/>
      <c r="F92" s="29">
        <v>42</v>
      </c>
      <c r="G92" s="29">
        <v>214.07</v>
      </c>
      <c r="H92" s="66">
        <f>G92*F92/1000</f>
        <v>8.9909400000000002</v>
      </c>
      <c r="I92" s="110">
        <f>G92*2</f>
        <v>428.14</v>
      </c>
    </row>
    <row r="93" spans="1:9">
      <c r="A93" s="20">
        <v>31</v>
      </c>
      <c r="B93" s="68" t="s">
        <v>82</v>
      </c>
      <c r="C93" s="55" t="s">
        <v>95</v>
      </c>
      <c r="D93" s="32"/>
      <c r="E93" s="13"/>
      <c r="F93" s="29"/>
      <c r="G93" s="29">
        <v>207.55</v>
      </c>
      <c r="H93" s="66"/>
      <c r="I93" s="110">
        <f>G93*1</f>
        <v>207.55</v>
      </c>
    </row>
    <row r="94" spans="1:9" ht="30">
      <c r="A94" s="20">
        <v>32</v>
      </c>
      <c r="B94" s="68" t="s">
        <v>119</v>
      </c>
      <c r="C94" s="55" t="s">
        <v>95</v>
      </c>
      <c r="D94" s="67"/>
      <c r="E94" s="29"/>
      <c r="F94" s="29"/>
      <c r="G94" s="29">
        <v>58.39</v>
      </c>
      <c r="H94" s="60"/>
      <c r="I94" s="110">
        <f>G94*1</f>
        <v>58.39</v>
      </c>
    </row>
    <row r="95" spans="1:9">
      <c r="A95" s="20">
        <v>33</v>
      </c>
      <c r="B95" s="68" t="s">
        <v>160</v>
      </c>
      <c r="C95" s="55" t="s">
        <v>184</v>
      </c>
      <c r="D95" s="67" t="s">
        <v>269</v>
      </c>
      <c r="E95" s="29"/>
      <c r="F95" s="29"/>
      <c r="G95" s="29">
        <v>273</v>
      </c>
      <c r="H95" s="60"/>
      <c r="I95" s="110">
        <f>G95*17</f>
        <v>4641</v>
      </c>
    </row>
    <row r="96" spans="1:9" ht="15.75" customHeight="1">
      <c r="A96" s="20"/>
      <c r="B96" s="43" t="s">
        <v>53</v>
      </c>
      <c r="C96" s="123"/>
      <c r="D96" s="49"/>
      <c r="E96" s="39"/>
      <c r="F96" s="39"/>
      <c r="G96" s="39"/>
      <c r="H96" s="39"/>
      <c r="I96" s="23">
        <f>SUM(I91:I95)</f>
        <v>9730.0800000000017</v>
      </c>
    </row>
    <row r="97" spans="1:9">
      <c r="A97" s="20"/>
      <c r="B97" s="47" t="s">
        <v>80</v>
      </c>
      <c r="C97" s="12"/>
      <c r="D97" s="12"/>
      <c r="E97" s="40"/>
      <c r="F97" s="40"/>
      <c r="G97" s="41"/>
      <c r="H97" s="41"/>
      <c r="I97" s="13">
        <v>0</v>
      </c>
    </row>
    <row r="98" spans="1:9">
      <c r="A98" s="50"/>
      <c r="B98" s="44" t="s">
        <v>158</v>
      </c>
      <c r="C98" s="28"/>
      <c r="D98" s="28"/>
      <c r="E98" s="28"/>
      <c r="F98" s="28"/>
      <c r="G98" s="28"/>
      <c r="H98" s="28"/>
      <c r="I98" s="42">
        <f>I96+I89</f>
        <v>119572.00354459997</v>
      </c>
    </row>
    <row r="99" spans="1:9" ht="15.75">
      <c r="A99" s="183" t="s">
        <v>270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56"/>
      <c r="B100" s="184" t="s">
        <v>271</v>
      </c>
      <c r="C100" s="184"/>
      <c r="D100" s="184"/>
      <c r="E100" s="184"/>
      <c r="F100" s="184"/>
      <c r="G100" s="184"/>
      <c r="H100" s="59"/>
      <c r="I100" s="2"/>
    </row>
    <row r="101" spans="1:9">
      <c r="A101" s="151"/>
      <c r="B101" s="171" t="s">
        <v>6</v>
      </c>
      <c r="C101" s="171"/>
      <c r="D101" s="171"/>
      <c r="E101" s="171"/>
      <c r="F101" s="171"/>
      <c r="G101" s="171"/>
      <c r="H101" s="15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>
      <c r="A103" s="185" t="s">
        <v>7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185" t="s">
        <v>8</v>
      </c>
      <c r="B104" s="185"/>
      <c r="C104" s="185"/>
      <c r="D104" s="185"/>
      <c r="E104" s="185"/>
      <c r="F104" s="185"/>
      <c r="G104" s="185"/>
      <c r="H104" s="185"/>
      <c r="I104" s="185"/>
    </row>
    <row r="105" spans="1:9" ht="15.75">
      <c r="A105" s="175" t="s">
        <v>62</v>
      </c>
      <c r="B105" s="175"/>
      <c r="C105" s="175"/>
      <c r="D105" s="175"/>
      <c r="E105" s="175"/>
      <c r="F105" s="175"/>
      <c r="G105" s="175"/>
      <c r="H105" s="175"/>
      <c r="I105" s="175"/>
    </row>
    <row r="106" spans="1:9" ht="15.75">
      <c r="A106" s="8"/>
    </row>
    <row r="107" spans="1:9" ht="15.75">
      <c r="A107" s="169" t="s">
        <v>9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>
      <c r="A108" s="3"/>
    </row>
    <row r="109" spans="1:9" ht="15.75">
      <c r="B109" s="152" t="s">
        <v>10</v>
      </c>
      <c r="C109" s="170" t="s">
        <v>124</v>
      </c>
      <c r="D109" s="170"/>
      <c r="E109" s="170"/>
      <c r="F109" s="57"/>
      <c r="I109" s="150"/>
    </row>
    <row r="110" spans="1:9">
      <c r="A110" s="151"/>
      <c r="C110" s="171" t="s">
        <v>11</v>
      </c>
      <c r="D110" s="171"/>
      <c r="E110" s="171"/>
      <c r="F110" s="15"/>
      <c r="I110" s="149" t="s">
        <v>12</v>
      </c>
    </row>
    <row r="111" spans="1:9" ht="15.75">
      <c r="A111" s="16"/>
      <c r="C111" s="9"/>
      <c r="D111" s="9"/>
      <c r="G111" s="9"/>
      <c r="H111" s="9"/>
    </row>
    <row r="112" spans="1:9" ht="15.75">
      <c r="B112" s="152" t="s">
        <v>13</v>
      </c>
      <c r="C112" s="172"/>
      <c r="D112" s="172"/>
      <c r="E112" s="172"/>
      <c r="F112" s="58"/>
      <c r="I112" s="150"/>
    </row>
    <row r="113" spans="1:9">
      <c r="A113" s="151"/>
      <c r="C113" s="173" t="s">
        <v>11</v>
      </c>
      <c r="D113" s="173"/>
      <c r="E113" s="173"/>
      <c r="F113" s="151"/>
      <c r="I113" s="149" t="s">
        <v>12</v>
      </c>
    </row>
    <row r="114" spans="1:9" ht="15.75">
      <c r="A114" s="3" t="s">
        <v>14</v>
      </c>
    </row>
    <row r="115" spans="1:9">
      <c r="A115" s="174" t="s">
        <v>15</v>
      </c>
      <c r="B115" s="174"/>
      <c r="C115" s="174"/>
      <c r="D115" s="174"/>
      <c r="E115" s="174"/>
      <c r="F115" s="174"/>
      <c r="G115" s="174"/>
      <c r="H115" s="174"/>
      <c r="I115" s="174"/>
    </row>
    <row r="116" spans="1:9" ht="42" customHeight="1">
      <c r="A116" s="168" t="s">
        <v>16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36" customHeight="1">
      <c r="A117" s="168" t="s">
        <v>17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33" customHeight="1">
      <c r="A118" s="168" t="s">
        <v>21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15.75">
      <c r="A119" s="168" t="s">
        <v>20</v>
      </c>
      <c r="B119" s="168"/>
      <c r="C119" s="168"/>
      <c r="D119" s="168"/>
      <c r="E119" s="168"/>
      <c r="F119" s="168"/>
      <c r="G119" s="168"/>
      <c r="H119" s="168"/>
      <c r="I119" s="168"/>
    </row>
  </sheetData>
  <mergeCells count="28"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  <mergeCell ref="A86:I86"/>
    <mergeCell ref="C113:E113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115:I115"/>
    <mergeCell ref="A116:I116"/>
    <mergeCell ref="A117:I117"/>
    <mergeCell ref="A118:I118"/>
    <mergeCell ref="A119:I119"/>
  </mergeCells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2020-02-13T11:03:53Z</cp:lastPrinted>
  <dcterms:created xsi:type="dcterms:W3CDTF">2016-03-25T08:33:47Z</dcterms:created>
  <dcterms:modified xsi:type="dcterms:W3CDTF">2020-02-13T11:05:28Z</dcterms:modified>
</cp:coreProperties>
</file>