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390" yWindow="315" windowWidth="15975" windowHeight="5565"/>
  </bookViews>
  <sheets>
    <sheet name="Косм.,5" sheetId="1" r:id="rId1"/>
  </sheets>
  <definedNames>
    <definedName name="_xlnm.Print_Area" localSheetId="0">'Косм.,5'!$A$1:$U$100</definedName>
  </definedNames>
  <calcPr calcId="124519"/>
</workbook>
</file>

<file path=xl/calcChain.xml><?xml version="1.0" encoding="utf-8"?>
<calcChain xmlns="http://schemas.openxmlformats.org/spreadsheetml/2006/main">
  <c r="C97" i="1"/>
  <c r="H87"/>
  <c r="H86"/>
  <c r="H88" l="1"/>
  <c r="U88"/>
  <c r="U87"/>
  <c r="T87"/>
  <c r="T86"/>
  <c r="F86"/>
  <c r="C98"/>
  <c r="C95" l="1"/>
  <c r="U86"/>
  <c r="U76"/>
  <c r="U72"/>
  <c r="F72"/>
  <c r="H72" s="1"/>
  <c r="F70"/>
  <c r="U69"/>
  <c r="H69"/>
  <c r="U68"/>
  <c r="F68"/>
  <c r="H68" s="1"/>
  <c r="T66" l="1"/>
  <c r="U66" s="1"/>
  <c r="H66"/>
  <c r="F59"/>
  <c r="F58"/>
  <c r="U54"/>
  <c r="H54"/>
  <c r="U56"/>
  <c r="U58"/>
  <c r="U59"/>
  <c r="U60"/>
  <c r="U61"/>
  <c r="U62"/>
  <c r="U63"/>
  <c r="U64"/>
  <c r="U65"/>
  <c r="U70"/>
  <c r="U71"/>
  <c r="U74"/>
  <c r="U43"/>
  <c r="U44"/>
  <c r="U45"/>
  <c r="U47"/>
  <c r="U48"/>
  <c r="U49"/>
  <c r="U50"/>
  <c r="U42"/>
  <c r="F38"/>
  <c r="F37"/>
  <c r="F35"/>
  <c r="F34"/>
  <c r="U36"/>
  <c r="U24"/>
  <c r="U25"/>
  <c r="U26"/>
  <c r="U28"/>
  <c r="U29"/>
  <c r="U23"/>
  <c r="E26"/>
  <c r="F16"/>
  <c r="F15"/>
  <c r="H15" s="1"/>
  <c r="H16"/>
  <c r="U14" l="1"/>
  <c r="U15"/>
  <c r="U16"/>
  <c r="U17"/>
  <c r="U18"/>
  <c r="U19"/>
  <c r="U20"/>
  <c r="R58" l="1"/>
  <c r="R86"/>
  <c r="Q86" l="1"/>
  <c r="P86"/>
  <c r="P50" l="1"/>
  <c r="L36"/>
  <c r="I50" l="1"/>
  <c r="L50" s="1"/>
  <c r="J59" l="1"/>
  <c r="J58"/>
  <c r="R76"/>
  <c r="T39" l="1"/>
  <c r="U39" s="1"/>
  <c r="S39"/>
  <c r="T33"/>
  <c r="U33" s="1"/>
  <c r="S33"/>
  <c r="Q65"/>
  <c r="Q49"/>
  <c r="F50"/>
  <c r="F26"/>
  <c r="L39"/>
  <c r="L33"/>
  <c r="K39"/>
  <c r="K33"/>
  <c r="H76"/>
  <c r="Q26" l="1"/>
  <c r="H26"/>
  <c r="M26"/>
  <c r="P26"/>
  <c r="R26"/>
  <c r="N26"/>
  <c r="O26"/>
  <c r="J49"/>
  <c r="J39"/>
  <c r="J33"/>
  <c r="I39"/>
  <c r="I33"/>
  <c r="F45" l="1"/>
  <c r="F19"/>
  <c r="M16"/>
  <c r="M15"/>
  <c r="H56"/>
  <c r="M19" l="1"/>
  <c r="H19"/>
  <c r="Q45"/>
  <c r="M45"/>
  <c r="S35"/>
  <c r="T35"/>
  <c r="U35" s="1"/>
  <c r="S34"/>
  <c r="T34"/>
  <c r="U34" s="1"/>
  <c r="L34"/>
  <c r="K34"/>
  <c r="J34"/>
  <c r="I35"/>
  <c r="L35"/>
  <c r="K35"/>
  <c r="J35"/>
  <c r="H45"/>
  <c r="H34"/>
  <c r="I34"/>
  <c r="H36"/>
  <c r="H35" l="1"/>
  <c r="H71" l="1"/>
  <c r="F14" l="1"/>
  <c r="H14" s="1"/>
  <c r="F17"/>
  <c r="F18"/>
  <c r="M17" l="1"/>
  <c r="H17"/>
  <c r="M18"/>
  <c r="H18"/>
  <c r="M14"/>
  <c r="F91"/>
  <c r="H90"/>
  <c r="E79"/>
  <c r="H82" s="1"/>
  <c r="F77"/>
  <c r="H74"/>
  <c r="H70"/>
  <c r="H65"/>
  <c r="F64"/>
  <c r="F63"/>
  <c r="F62"/>
  <c r="F61"/>
  <c r="F60"/>
  <c r="H59"/>
  <c r="H58"/>
  <c r="F53"/>
  <c r="H50"/>
  <c r="H49"/>
  <c r="F48"/>
  <c r="Q48" s="1"/>
  <c r="F47"/>
  <c r="Q47" s="1"/>
  <c r="F46"/>
  <c r="F44"/>
  <c r="F43"/>
  <c r="F42"/>
  <c r="H39"/>
  <c r="H33"/>
  <c r="F30"/>
  <c r="H29"/>
  <c r="H28"/>
  <c r="F27"/>
  <c r="F25"/>
  <c r="F24"/>
  <c r="F23"/>
  <c r="F20"/>
  <c r="E13"/>
  <c r="F13" s="1"/>
  <c r="H13" s="1"/>
  <c r="F12"/>
  <c r="H12" s="1"/>
  <c r="F11"/>
  <c r="M20" l="1"/>
  <c r="H20"/>
  <c r="Q44"/>
  <c r="M44"/>
  <c r="Q42"/>
  <c r="M42"/>
  <c r="Q43"/>
  <c r="M43"/>
  <c r="S13"/>
  <c r="P13"/>
  <c r="N13"/>
  <c r="M13"/>
  <c r="T13"/>
  <c r="U13" s="1"/>
  <c r="R13"/>
  <c r="Q13"/>
  <c r="O13"/>
  <c r="S12"/>
  <c r="Q12"/>
  <c r="O12"/>
  <c r="T12"/>
  <c r="U12" s="1"/>
  <c r="R12"/>
  <c r="P12"/>
  <c r="N12"/>
  <c r="M12"/>
  <c r="H23"/>
  <c r="Q23"/>
  <c r="O23"/>
  <c r="R23"/>
  <c r="P23"/>
  <c r="N23"/>
  <c r="M23"/>
  <c r="H25"/>
  <c r="M25"/>
  <c r="S27"/>
  <c r="R27"/>
  <c r="P27"/>
  <c r="N27"/>
  <c r="M27"/>
  <c r="T27"/>
  <c r="U27" s="1"/>
  <c r="Q27"/>
  <c r="O27"/>
  <c r="T53"/>
  <c r="U53" s="1"/>
  <c r="S53"/>
  <c r="H61"/>
  <c r="M61"/>
  <c r="H63"/>
  <c r="M63"/>
  <c r="S11"/>
  <c r="R11"/>
  <c r="P11"/>
  <c r="N11"/>
  <c r="M11"/>
  <c r="T11"/>
  <c r="U11" s="1"/>
  <c r="Q11"/>
  <c r="O11"/>
  <c r="H24"/>
  <c r="R24"/>
  <c r="P24"/>
  <c r="N24"/>
  <c r="M24"/>
  <c r="Q24"/>
  <c r="O24"/>
  <c r="S30"/>
  <c r="Q30"/>
  <c r="O30"/>
  <c r="T30"/>
  <c r="U30" s="1"/>
  <c r="R30"/>
  <c r="P30"/>
  <c r="N30"/>
  <c r="M30"/>
  <c r="S37"/>
  <c r="T37"/>
  <c r="U37" s="1"/>
  <c r="S38"/>
  <c r="T38"/>
  <c r="U38" s="1"/>
  <c r="T46"/>
  <c r="U46" s="1"/>
  <c r="M46"/>
  <c r="Q46"/>
  <c r="H60"/>
  <c r="M60"/>
  <c r="H62"/>
  <c r="M62"/>
  <c r="H64"/>
  <c r="M64"/>
  <c r="T77"/>
  <c r="U77" s="1"/>
  <c r="Q77"/>
  <c r="O77"/>
  <c r="M77"/>
  <c r="S77"/>
  <c r="R77"/>
  <c r="P77"/>
  <c r="N77"/>
  <c r="I11"/>
  <c r="L11"/>
  <c r="K11"/>
  <c r="J11"/>
  <c r="I12"/>
  <c r="L12"/>
  <c r="K12"/>
  <c r="J12"/>
  <c r="I27"/>
  <c r="L27"/>
  <c r="K27"/>
  <c r="J27"/>
  <c r="H44"/>
  <c r="H47"/>
  <c r="K47"/>
  <c r="K53"/>
  <c r="L53"/>
  <c r="J53"/>
  <c r="I13"/>
  <c r="L13"/>
  <c r="K13"/>
  <c r="J13"/>
  <c r="L30"/>
  <c r="K30"/>
  <c r="J30"/>
  <c r="L37"/>
  <c r="K37"/>
  <c r="J37"/>
  <c r="L38"/>
  <c r="K38"/>
  <c r="J38"/>
  <c r="H42"/>
  <c r="H43"/>
  <c r="I46"/>
  <c r="J46"/>
  <c r="H48"/>
  <c r="K48"/>
  <c r="I77"/>
  <c r="L77"/>
  <c r="K77"/>
  <c r="J77"/>
  <c r="H30"/>
  <c r="I30"/>
  <c r="H37"/>
  <c r="I37"/>
  <c r="H38"/>
  <c r="I38"/>
  <c r="H53"/>
  <c r="I53"/>
  <c r="H77"/>
  <c r="H78" s="1"/>
  <c r="H27"/>
  <c r="H46"/>
  <c r="H11"/>
  <c r="H21" s="1"/>
  <c r="F79"/>
  <c r="H40" l="1"/>
  <c r="H75"/>
  <c r="H51"/>
  <c r="U51"/>
  <c r="H31"/>
  <c r="U75"/>
  <c r="T79"/>
  <c r="R79"/>
  <c r="R91" s="1"/>
  <c r="P79"/>
  <c r="N79"/>
  <c r="N91" s="1"/>
  <c r="S79"/>
  <c r="S91" s="1"/>
  <c r="Q79"/>
  <c r="Q91" s="1"/>
  <c r="O79"/>
  <c r="O91" s="1"/>
  <c r="M79"/>
  <c r="M91" s="1"/>
  <c r="P91"/>
  <c r="I79"/>
  <c r="K79"/>
  <c r="K91" s="1"/>
  <c r="L79"/>
  <c r="J79"/>
  <c r="J91" s="1"/>
  <c r="U78"/>
  <c r="U31"/>
  <c r="L91"/>
  <c r="U40"/>
  <c r="H79"/>
  <c r="H80" s="1"/>
  <c r="T91" l="1"/>
  <c r="U79"/>
  <c r="U21"/>
  <c r="U80"/>
  <c r="U81" s="1"/>
  <c r="I91"/>
  <c r="H81"/>
  <c r="H83" s="1"/>
  <c r="G91" s="1"/>
  <c r="H91" s="1"/>
  <c r="U91" l="1"/>
  <c r="C96" s="1"/>
  <c r="C100" s="1"/>
</calcChain>
</file>

<file path=xl/sharedStrings.xml><?xml version="1.0" encoding="utf-8"?>
<sst xmlns="http://schemas.openxmlformats.org/spreadsheetml/2006/main" count="271" uniqueCount="199">
  <si>
    <t>ОТЧЁТ</t>
  </si>
  <si>
    <t xml:space="preserve">по предоставленным услугам и произведённым работам по содержанию и ремонту общего имущества собственников помещений в многоквартирном доме </t>
  </si>
  <si>
    <t>№ расц.</t>
  </si>
  <si>
    <t>Перечень работ</t>
  </si>
  <si>
    <t>Ед.изм</t>
  </si>
  <si>
    <t>Периодичность</t>
  </si>
  <si>
    <t>Объем работ разовый</t>
  </si>
  <si>
    <t xml:space="preserve">Объем работ на год </t>
  </si>
  <si>
    <t>Расценка (руб)</t>
  </si>
  <si>
    <t>Сумма в год (тыс.руб)</t>
  </si>
  <si>
    <t>А.Обязательные работы по содержанию общего имущества собственников помещений в многоквартирном доме</t>
  </si>
  <si>
    <t xml:space="preserve">1. Санитарное содержание </t>
  </si>
  <si>
    <t>Влажное подметание лестничных клеток 1 этажа</t>
  </si>
  <si>
    <t>100м2</t>
  </si>
  <si>
    <t>Влажное подметание лестничных клеток 2-5 этажа</t>
  </si>
  <si>
    <t>Мытье лестничных  площадок и маршей 1-5 этаж.</t>
  </si>
  <si>
    <t>Мытье окон</t>
  </si>
  <si>
    <t>10м2</t>
  </si>
  <si>
    <t>Влажная протирка перил</t>
  </si>
  <si>
    <t>Влажная протирка почтовых ящиков</t>
  </si>
  <si>
    <t xml:space="preserve">Влажная уборка стен </t>
  </si>
  <si>
    <t>100 м2</t>
  </si>
  <si>
    <t>Влажная протирка дверей</t>
  </si>
  <si>
    <t>Влажная протирка отопительных приборов</t>
  </si>
  <si>
    <t>итого:</t>
  </si>
  <si>
    <t>Летняя уборка</t>
  </si>
  <si>
    <t>1000м2</t>
  </si>
  <si>
    <t>Уборка газонов сильной загрязненности</t>
  </si>
  <si>
    <t>1 раз в год</t>
  </si>
  <si>
    <t xml:space="preserve"> - Уборка контейнерной площадки (16 кв.м.)</t>
  </si>
  <si>
    <t>шт.</t>
  </si>
  <si>
    <t>155 раз</t>
  </si>
  <si>
    <t>Подборка мусора на контейнерной площадке</t>
  </si>
  <si>
    <t>м3</t>
  </si>
  <si>
    <t>ежедневно 365 раз</t>
  </si>
  <si>
    <t>по мере необходимости</t>
  </si>
  <si>
    <t>м/час</t>
  </si>
  <si>
    <t>Вывоз ТБО и КГО</t>
  </si>
  <si>
    <t xml:space="preserve">кв. м </t>
  </si>
  <si>
    <t xml:space="preserve"> </t>
  </si>
  <si>
    <t>Зимняя уборка</t>
  </si>
  <si>
    <t>Механизированная уборка дворовой территории</t>
  </si>
  <si>
    <t>1000 м2</t>
  </si>
  <si>
    <t>155 раз за сезон</t>
  </si>
  <si>
    <t xml:space="preserve"> II. Плановые осмотры</t>
  </si>
  <si>
    <t>2 раза в год</t>
  </si>
  <si>
    <t>Осмотр внутренней и наружной отделки здания</t>
  </si>
  <si>
    <t>Осмотр каменных конструкций</t>
  </si>
  <si>
    <t xml:space="preserve">Осмотр СО </t>
  </si>
  <si>
    <t>Осмотр электросетей, арматуры и электрооборудования на чердаках, подвалах и техэтажах</t>
  </si>
  <si>
    <t>Осмотр электросетей,арматуры и электооборудования на лестничных клетках</t>
  </si>
  <si>
    <t>100 лест.</t>
  </si>
  <si>
    <t>Осмотр вводных электрических щитков</t>
  </si>
  <si>
    <t>100 шт.</t>
  </si>
  <si>
    <t>шт</t>
  </si>
  <si>
    <t>2-1-1б</t>
  </si>
  <si>
    <t>Проверка вентканалов</t>
  </si>
  <si>
    <t>Кровля</t>
  </si>
  <si>
    <t xml:space="preserve">6 раз за сезон </t>
  </si>
  <si>
    <t>1м3</t>
  </si>
  <si>
    <t>Отопление</t>
  </si>
  <si>
    <t>Ликвидация воздушных пробок в стояках</t>
  </si>
  <si>
    <t>Ликвидация воздушных пробок в радиаторах</t>
  </si>
  <si>
    <t xml:space="preserve">Промывка СО </t>
  </si>
  <si>
    <t>100м3</t>
  </si>
  <si>
    <t>Спуск воды и наполнение системы без осмотра</t>
  </si>
  <si>
    <t>1000м3</t>
  </si>
  <si>
    <t>Гидравлическое испытание СО</t>
  </si>
  <si>
    <t>100м</t>
  </si>
  <si>
    <t>Проверка на прогрев отопительных приборов</t>
  </si>
  <si>
    <t>прибор</t>
  </si>
  <si>
    <t>Электроснабжение</t>
  </si>
  <si>
    <t>Смена ламп накаливания</t>
  </si>
  <si>
    <t>10 шт</t>
  </si>
  <si>
    <t>Вентканалы, дымоходы</t>
  </si>
  <si>
    <t>ГЭСН60-16</t>
  </si>
  <si>
    <t xml:space="preserve"> - прочистка каналов</t>
  </si>
  <si>
    <t>Аварийно-диспетчерское обслуживание</t>
  </si>
  <si>
    <t>1 м2</t>
  </si>
  <si>
    <t>Услуги по выпуску квитанций, сопровождение собраний, работа с должниками</t>
  </si>
  <si>
    <t>ИТОГО</t>
  </si>
  <si>
    <t xml:space="preserve">ВСЕГО </t>
  </si>
  <si>
    <t>Площадь жилых помещений и нежилых</t>
  </si>
  <si>
    <t xml:space="preserve">     </t>
  </si>
  <si>
    <t>Затраты на 1 кв.м  в месяц в рублях  по плану</t>
  </si>
  <si>
    <t>Текущий ремонт</t>
  </si>
  <si>
    <t>итого по текущему ремонту</t>
  </si>
  <si>
    <t>Размер платы по текущему ремонту, руб/м2 в мес.</t>
  </si>
  <si>
    <t xml:space="preserve">Затраты в рублях  по плану   </t>
  </si>
  <si>
    <t xml:space="preserve">1 раз в год     </t>
  </si>
  <si>
    <t>Вода для промывки СО</t>
  </si>
  <si>
    <t>Сброс воды после промывки СО в канализацию</t>
  </si>
  <si>
    <t>Смена плавкой вставки в электрощите</t>
  </si>
  <si>
    <t>Генеральный директор ООО "Жилсервис"_______Ю.Л.Куканов</t>
  </si>
  <si>
    <t>Вывоз снега с придомовой территории</t>
  </si>
  <si>
    <t>30 раз за сезон</t>
  </si>
  <si>
    <t>Сдвигание снега в дни снегопада (проезд)</t>
  </si>
  <si>
    <t>Очистка  от мусора</t>
  </si>
  <si>
    <t>Влажная протирка подоконников</t>
  </si>
  <si>
    <t>Осмотр деревянных конструкций стропил</t>
  </si>
  <si>
    <t>Осмотр шиферной кровли</t>
  </si>
  <si>
    <t xml:space="preserve">Выполнение    январь  </t>
  </si>
  <si>
    <t>Выполнение   февраль</t>
  </si>
  <si>
    <t>Выполнение   март</t>
  </si>
  <si>
    <t>Выполнение    апрель</t>
  </si>
  <si>
    <t>Выполнение    июнь</t>
  </si>
  <si>
    <t>Выполнение    июль</t>
  </si>
  <si>
    <t>Выполнение    август</t>
  </si>
  <si>
    <t>Выполнение    сентябрь</t>
  </si>
  <si>
    <t>Выполнение    октябрь</t>
  </si>
  <si>
    <t>Выполнение    ноябрь</t>
  </si>
  <si>
    <t>Выполнение    декабрь</t>
  </si>
  <si>
    <t>3 раза в год</t>
  </si>
  <si>
    <t>калькуляция</t>
  </si>
  <si>
    <t>5 этажей, 4 подъезда</t>
  </si>
  <si>
    <t>Стоимость (руб.)</t>
  </si>
  <si>
    <t>договор</t>
  </si>
  <si>
    <t>ТО внутридомового газ.оборудования</t>
  </si>
  <si>
    <t>Выполне ние      май</t>
  </si>
  <si>
    <t>Баланс выполненных работ на 01.01.2016 г. ( -долг за предприятием, +долг за населением)</t>
  </si>
  <si>
    <t>Начислено за содержание и текущий ремонт за 2016  г.</t>
  </si>
  <si>
    <t>Выполнено работ по текущему ремонту за 2016 г.</t>
  </si>
  <si>
    <t>Фактически оплачено за 2016 г.</t>
  </si>
  <si>
    <r>
      <t xml:space="preserve">по адресу:  </t>
    </r>
    <r>
      <rPr>
        <b/>
        <sz val="14"/>
        <color indexed="10"/>
        <rFont val="Arial"/>
        <family val="2"/>
        <charset val="204"/>
      </rPr>
      <t>ул. Космонавтов, 5</t>
    </r>
    <r>
      <rPr>
        <b/>
        <sz val="14"/>
        <rFont val="Arial"/>
        <family val="2"/>
        <charset val="204"/>
      </rPr>
      <t xml:space="preserve">  (п. Ярега)  </t>
    </r>
    <r>
      <rPr>
        <b/>
        <sz val="14"/>
        <color indexed="10"/>
        <rFont val="Arial"/>
        <family val="2"/>
        <charset val="204"/>
      </rPr>
      <t>за 2016 год</t>
    </r>
  </si>
  <si>
    <t>Выполнено работ по содержанию за 2016 г.</t>
  </si>
  <si>
    <t xml:space="preserve"> - Уборка газонов</t>
  </si>
  <si>
    <t xml:space="preserve">Погрузка травы, ветвей </t>
  </si>
  <si>
    <t xml:space="preserve"> - Подметание территории с усовершенствованным покрытием асф.: крыльца, контейнерн пл., проезд, тротуар</t>
  </si>
  <si>
    <t>Очистка края кровли от слежавшегося снега со сбрасыванием сосулек (10% от S кровли и козырьки)</t>
  </si>
  <si>
    <t>Вывоз смета,травы,ветвей и т.п.- м/ч</t>
  </si>
  <si>
    <t>Сдвигание снега в дни снегопада (крыльца, тротуары)</t>
  </si>
  <si>
    <t>Очистка территории 1-го класса с усовершенствованным покрытием под скребок: ступеньки и площадки крылец, контейнерные площадки</t>
  </si>
  <si>
    <t xml:space="preserve">Пескопосыпка территории: крыльца и тротуары </t>
  </si>
  <si>
    <t>Стоимость песка -100м2-0,002м3</t>
  </si>
  <si>
    <t>100 м3</t>
  </si>
  <si>
    <t>ТЕР 51-001</t>
  </si>
  <si>
    <t>ТЕР 51-009</t>
  </si>
  <si>
    <t>ТЕР 51-031</t>
  </si>
  <si>
    <t>ТЕР 51-025</t>
  </si>
  <si>
    <t>ТЕР 51-023</t>
  </si>
  <si>
    <t>ТЕР 51-018</t>
  </si>
  <si>
    <t>ТЕР 51-019</t>
  </si>
  <si>
    <t>ТЕР 51-020</t>
  </si>
  <si>
    <t>ТЕР 51-024</t>
  </si>
  <si>
    <t>ТЕР 53-020</t>
  </si>
  <si>
    <t>ТЕР 53-001</t>
  </si>
  <si>
    <t>ТЕР 53-021</t>
  </si>
  <si>
    <t>ТЕР 52-033</t>
  </si>
  <si>
    <t>пр.ТЕР 52-003</t>
  </si>
  <si>
    <t>ТЕР 53-030</t>
  </si>
  <si>
    <t>ТЕР 54-013</t>
  </si>
  <si>
    <t>ТЕР 54-022</t>
  </si>
  <si>
    <t>ТЕР 54-025</t>
  </si>
  <si>
    <t>ТЕР 3-7-1в</t>
  </si>
  <si>
    <t>ТЕР 42-009</t>
  </si>
  <si>
    <t>ТЕР 42-010</t>
  </si>
  <si>
    <t>ТЕР 42-003</t>
  </si>
  <si>
    <t>ТЕР 42-011</t>
  </si>
  <si>
    <t>ТЕР 42-013</t>
  </si>
  <si>
    <t>ТЕР 42-012</t>
  </si>
  <si>
    <t>ТЕР 42-014</t>
  </si>
  <si>
    <t xml:space="preserve">пр.ТЕР 54-041 </t>
  </si>
  <si>
    <t>ТЕР 51-034</t>
  </si>
  <si>
    <t>ТЕР 31-065</t>
  </si>
  <si>
    <t>ТЕР 31-064</t>
  </si>
  <si>
    <t>ТЕР 31-052</t>
  </si>
  <si>
    <t>ТЕР 31-043</t>
  </si>
  <si>
    <t>ТЕР 31-068</t>
  </si>
  <si>
    <t>ТЕР 31-045</t>
  </si>
  <si>
    <t>ТЕР 33-019</t>
  </si>
  <si>
    <t>ТЕР 33-043</t>
  </si>
  <si>
    <t>ТЕР 32-101</t>
  </si>
  <si>
    <t>Прочистка засоров ГВС, XВC</t>
  </si>
  <si>
    <t>3м</t>
  </si>
  <si>
    <t>156 раз в год</t>
  </si>
  <si>
    <t>104 раза в год</t>
  </si>
  <si>
    <t xml:space="preserve">24 раза в год </t>
  </si>
  <si>
    <t>52 раза в сезон</t>
  </si>
  <si>
    <t>78 раз за сезон</t>
  </si>
  <si>
    <t>35 раз за сезон</t>
  </si>
  <si>
    <t>20 раз за сезон</t>
  </si>
  <si>
    <t>1 раз в месяц (5 раз в году)</t>
  </si>
  <si>
    <t>Работа автовышки</t>
  </si>
  <si>
    <t>маш-час</t>
  </si>
  <si>
    <t>Чердак, распред.узел</t>
  </si>
  <si>
    <t>ТО внутренних сетей водопровода и канализации</t>
  </si>
  <si>
    <t>руб/м2 в мес</t>
  </si>
  <si>
    <t>пр.ТЕР 33-024</t>
  </si>
  <si>
    <t>Смена светодиодных светильников в.о.</t>
  </si>
  <si>
    <t>1 шт.</t>
  </si>
  <si>
    <t>счёт</t>
  </si>
  <si>
    <t>Стоимость светодиодного светильника</t>
  </si>
  <si>
    <t>руб.</t>
  </si>
  <si>
    <t>Смена светодиодных светильников н.о.</t>
  </si>
  <si>
    <t>Просроченная задолженность по Вашему дому по статье "Содержание и текущий ремонт МКД" на конец декабря 2016 г., составляет:</t>
  </si>
  <si>
    <t>Баланс выполненных работ на 01.01.2017 г. ( -долг за предприятием, +долг за населением)</t>
  </si>
  <si>
    <t xml:space="preserve">Уплотнение сгонов с применением льняной пряди или асбестового шнура (без разборки сгонов) </t>
  </si>
  <si>
    <t>1 соединение</t>
  </si>
  <si>
    <t>ТЕР 2-2-1-2-7</t>
  </si>
</sst>
</file>

<file path=xl/styles.xml><?xml version="1.0" encoding="utf-8"?>
<styleSheet xmlns="http://schemas.openxmlformats.org/spreadsheetml/2006/main">
  <numFmts count="1">
    <numFmt numFmtId="164" formatCode="0.000"/>
  </numFmts>
  <fonts count="18">
    <font>
      <sz val="10"/>
      <name val="Arial Cyr"/>
      <family val="2"/>
      <charset val="204"/>
    </font>
    <font>
      <sz val="10"/>
      <name val="Arial"/>
      <family val="2"/>
      <charset val="204"/>
    </font>
    <font>
      <b/>
      <sz val="10"/>
      <color indexed="18"/>
      <name val="Arial"/>
      <family val="2"/>
      <charset val="204"/>
    </font>
    <font>
      <b/>
      <sz val="10"/>
      <name val="Arial"/>
      <family val="2"/>
      <charset val="204"/>
    </font>
    <font>
      <b/>
      <u/>
      <sz val="10"/>
      <name val="Arial"/>
      <family val="2"/>
      <charset val="204"/>
    </font>
    <font>
      <sz val="10"/>
      <color theme="1"/>
      <name val="Arial"/>
      <family val="2"/>
      <charset val="204"/>
    </font>
    <font>
      <i/>
      <sz val="10"/>
      <name val="Arial Cyr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11"/>
      <name val="Arial"/>
      <family val="2"/>
      <charset val="204"/>
    </font>
    <font>
      <b/>
      <sz val="14"/>
      <color rgb="FFFF0000"/>
      <name val="Arial"/>
      <family val="2"/>
      <charset val="204"/>
    </font>
    <font>
      <b/>
      <sz val="14"/>
      <name val="Arial"/>
      <family val="2"/>
      <charset val="204"/>
    </font>
    <font>
      <b/>
      <sz val="14"/>
      <color indexed="10"/>
      <name val="Arial"/>
      <family val="2"/>
      <charset val="204"/>
    </font>
    <font>
      <sz val="10"/>
      <color rgb="FFFF0000"/>
      <name val="Arial"/>
      <family val="2"/>
      <charset val="204"/>
    </font>
    <font>
      <b/>
      <i/>
      <sz val="10"/>
      <name val="Arial"/>
      <family val="2"/>
      <charset val="204"/>
    </font>
    <font>
      <i/>
      <sz val="10"/>
      <name val="Arial"/>
      <family val="2"/>
      <charset val="204"/>
    </font>
    <font>
      <sz val="14"/>
      <name val="Arial"/>
      <family val="2"/>
      <charset val="204"/>
    </font>
    <font>
      <b/>
      <sz val="10"/>
      <color rgb="FFFF0000"/>
      <name val="Arial"/>
      <family val="2"/>
      <charset val="204"/>
    </font>
  </fonts>
  <fills count="1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26"/>
      </patternFill>
    </fill>
    <fill>
      <patternFill patternType="solid">
        <fgColor theme="0"/>
        <bgColor indexed="51"/>
      </patternFill>
    </fill>
    <fill>
      <patternFill patternType="solid">
        <fgColor theme="0"/>
        <bgColor indexed="26"/>
      </patternFill>
    </fill>
    <fill>
      <patternFill patternType="solid">
        <fgColor theme="2"/>
        <bgColor indexed="64"/>
      </patternFill>
    </fill>
    <fill>
      <patternFill patternType="solid">
        <fgColor theme="2"/>
        <bgColor indexed="26"/>
      </patternFill>
    </fill>
    <fill>
      <patternFill patternType="solid">
        <fgColor rgb="FFFFFF00"/>
        <bgColor indexed="41"/>
      </patternFill>
    </fill>
    <fill>
      <patternFill patternType="solid">
        <fgColor rgb="FFFFFF00"/>
        <bgColor indexed="34"/>
      </patternFill>
    </fill>
    <fill>
      <patternFill patternType="solid">
        <fgColor indexed="9"/>
        <bgColor indexed="64"/>
      </patternFill>
    </fill>
    <fill>
      <patternFill patternType="solid">
        <fgColor rgb="FF00B050"/>
        <bgColor indexed="64"/>
      </patternFill>
    </fill>
  </fills>
  <borders count="2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</borders>
  <cellStyleXfs count="1">
    <xf numFmtId="0" fontId="0" fillId="0" borderId="0"/>
  </cellStyleXfs>
  <cellXfs count="157">
    <xf numFmtId="0" fontId="0" fillId="0" borderId="0" xfId="0"/>
    <xf numFmtId="0" fontId="0" fillId="3" borderId="0" xfId="0" applyFill="1"/>
    <xf numFmtId="4" fontId="0" fillId="0" borderId="0" xfId="0" applyNumberFormat="1"/>
    <xf numFmtId="4" fontId="6" fillId="0" borderId="0" xfId="0" applyNumberFormat="1" applyFont="1"/>
    <xf numFmtId="0" fontId="6" fillId="0" borderId="0" xfId="0" applyFont="1"/>
    <xf numFmtId="164" fontId="0" fillId="0" borderId="0" xfId="0" applyNumberFormat="1"/>
    <xf numFmtId="2" fontId="0" fillId="0" borderId="0" xfId="0" applyNumberFormat="1"/>
    <xf numFmtId="0" fontId="1" fillId="4" borderId="1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left" vertical="center" wrapText="1"/>
    </xf>
    <xf numFmtId="0" fontId="1" fillId="7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3" fillId="7" borderId="5" xfId="0" applyFont="1" applyFill="1" applyBorder="1" applyAlignment="1">
      <alignment horizontal="left" vertical="center" wrapText="1"/>
    </xf>
    <xf numFmtId="0" fontId="1" fillId="7" borderId="3" xfId="0" applyFont="1" applyFill="1" applyBorder="1" applyAlignment="1">
      <alignment horizontal="left" vertical="center" wrapText="1"/>
    </xf>
    <xf numFmtId="0" fontId="5" fillId="7" borderId="3" xfId="0" applyFont="1" applyFill="1" applyBorder="1" applyAlignment="1">
      <alignment horizontal="left" vertical="center" wrapText="1"/>
    </xf>
    <xf numFmtId="0" fontId="3" fillId="4" borderId="3" xfId="0" applyFont="1" applyFill="1" applyBorder="1" applyAlignment="1">
      <alignment horizontal="left" vertical="center" wrapText="1"/>
    </xf>
    <xf numFmtId="0" fontId="0" fillId="2" borderId="0" xfId="0" applyFill="1"/>
    <xf numFmtId="0" fontId="3" fillId="2" borderId="1" xfId="0" applyFont="1" applyFill="1" applyBorder="1" applyAlignment="1">
      <alignment horizontal="left" vertical="center" wrapText="1"/>
    </xf>
    <xf numFmtId="0" fontId="0" fillId="5" borderId="0" xfId="0" applyFill="1"/>
    <xf numFmtId="0" fontId="1" fillId="4" borderId="5" xfId="0" applyFont="1" applyFill="1" applyBorder="1" applyAlignment="1">
      <alignment horizontal="left" vertical="center" wrapText="1"/>
    </xf>
    <xf numFmtId="0" fontId="3" fillId="4" borderId="5" xfId="0" applyFont="1" applyFill="1" applyBorder="1" applyAlignment="1">
      <alignment horizontal="left" vertical="center" wrapText="1"/>
    </xf>
    <xf numFmtId="0" fontId="9" fillId="8" borderId="3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8" borderId="3" xfId="0" applyFont="1" applyFill="1" applyBorder="1" applyAlignment="1">
      <alignment horizontal="center" vertical="center"/>
    </xf>
    <xf numFmtId="0" fontId="1" fillId="8" borderId="3" xfId="0" applyFont="1" applyFill="1" applyBorder="1"/>
    <xf numFmtId="164" fontId="1" fillId="4" borderId="2" xfId="0" applyNumberFormat="1" applyFont="1" applyFill="1" applyBorder="1" applyAlignment="1">
      <alignment horizontal="center" vertical="center"/>
    </xf>
    <xf numFmtId="0" fontId="1" fillId="8" borderId="3" xfId="0" applyFont="1" applyFill="1" applyBorder="1" applyAlignment="1">
      <alignment vertical="center"/>
    </xf>
    <xf numFmtId="4" fontId="1" fillId="8" borderId="7" xfId="0" applyNumberFormat="1" applyFont="1" applyFill="1" applyBorder="1" applyAlignment="1">
      <alignment vertical="center"/>
    </xf>
    <xf numFmtId="4" fontId="1" fillId="4" borderId="1" xfId="0" applyNumberFormat="1" applyFont="1" applyFill="1" applyBorder="1" applyAlignment="1">
      <alignment horizontal="center" vertical="center" wrapText="1"/>
    </xf>
    <xf numFmtId="4" fontId="1" fillId="4" borderId="1" xfId="0" applyNumberFormat="1" applyFont="1" applyFill="1" applyBorder="1" applyAlignment="1">
      <alignment horizontal="center" vertical="center"/>
    </xf>
    <xf numFmtId="4" fontId="1" fillId="4" borderId="2" xfId="0" applyNumberFormat="1" applyFont="1" applyFill="1" applyBorder="1" applyAlignment="1">
      <alignment horizontal="center" vertical="center"/>
    </xf>
    <xf numFmtId="4" fontId="1" fillId="8" borderId="3" xfId="0" applyNumberFormat="1" applyFont="1" applyFill="1" applyBorder="1" applyAlignment="1">
      <alignment horizontal="center" vertical="center"/>
    </xf>
    <xf numFmtId="4" fontId="1" fillId="8" borderId="7" xfId="0" applyNumberFormat="1" applyFont="1" applyFill="1" applyBorder="1" applyAlignment="1">
      <alignment horizontal="center" vertical="center"/>
    </xf>
    <xf numFmtId="4" fontId="1" fillId="4" borderId="4" xfId="0" applyNumberFormat="1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left" vertical="center" wrapText="1"/>
    </xf>
    <xf numFmtId="4" fontId="1" fillId="4" borderId="3" xfId="0" applyNumberFormat="1" applyFont="1" applyFill="1" applyBorder="1" applyAlignment="1">
      <alignment horizontal="center" vertical="center" wrapText="1"/>
    </xf>
    <xf numFmtId="4" fontId="1" fillId="4" borderId="15" xfId="0" applyNumberFormat="1" applyFont="1" applyFill="1" applyBorder="1" applyAlignment="1">
      <alignment horizontal="center" vertical="center"/>
    </xf>
    <xf numFmtId="4" fontId="1" fillId="4" borderId="9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/>
    </xf>
    <xf numFmtId="4" fontId="3" fillId="11" borderId="2" xfId="0" applyNumberFormat="1" applyFont="1" applyFill="1" applyBorder="1" applyAlignment="1">
      <alignment horizontal="center" vertical="center"/>
    </xf>
    <xf numFmtId="4" fontId="3" fillId="2" borderId="3" xfId="0" applyNumberFormat="1" applyFont="1" applyFill="1" applyBorder="1" applyAlignment="1">
      <alignment horizontal="center" vertical="center"/>
    </xf>
    <xf numFmtId="4" fontId="3" fillId="2" borderId="7" xfId="0" applyNumberFormat="1" applyFont="1" applyFill="1" applyBorder="1" applyAlignment="1">
      <alignment horizontal="center" vertical="center"/>
    </xf>
    <xf numFmtId="4" fontId="13" fillId="4" borderId="1" xfId="0" applyNumberFormat="1" applyFont="1" applyFill="1" applyBorder="1" applyAlignment="1">
      <alignment horizontal="center" vertical="center" wrapText="1"/>
    </xf>
    <xf numFmtId="4" fontId="1" fillId="7" borderId="1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left" vertical="center"/>
    </xf>
    <xf numFmtId="4" fontId="3" fillId="10" borderId="2" xfId="0" applyNumberFormat="1" applyFont="1" applyFill="1" applyBorder="1" applyAlignment="1">
      <alignment horizontal="center" vertical="center"/>
    </xf>
    <xf numFmtId="4" fontId="1" fillId="7" borderId="1" xfId="0" applyNumberFormat="1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4" fontId="1" fillId="9" borderId="3" xfId="0" applyNumberFormat="1" applyFont="1" applyFill="1" applyBorder="1" applyAlignment="1">
      <alignment horizontal="center" vertical="center"/>
    </xf>
    <xf numFmtId="4" fontId="1" fillId="4" borderId="3" xfId="0" applyNumberFormat="1" applyFont="1" applyFill="1" applyBorder="1" applyAlignment="1">
      <alignment horizontal="center" vertical="center"/>
    </xf>
    <xf numFmtId="4" fontId="1" fillId="7" borderId="3" xfId="0" applyNumberFormat="1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4" fontId="3" fillId="5" borderId="1" xfId="0" applyNumberFormat="1" applyFont="1" applyFill="1" applyBorder="1" applyAlignment="1">
      <alignment horizontal="center" vertical="center" wrapText="1"/>
    </xf>
    <xf numFmtId="4" fontId="3" fillId="5" borderId="1" xfId="0" applyNumberFormat="1" applyFont="1" applyFill="1" applyBorder="1" applyAlignment="1">
      <alignment horizontal="center" vertical="center"/>
    </xf>
    <xf numFmtId="4" fontId="3" fillId="5" borderId="3" xfId="0" applyNumberFormat="1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4" fontId="1" fillId="4" borderId="5" xfId="0" applyNumberFormat="1" applyFont="1" applyFill="1" applyBorder="1" applyAlignment="1">
      <alignment horizontal="center" vertical="center" wrapText="1"/>
    </xf>
    <xf numFmtId="4" fontId="1" fillId="4" borderId="6" xfId="0" applyNumberFormat="1" applyFont="1" applyFill="1" applyBorder="1" applyAlignment="1">
      <alignment horizontal="center" vertical="center"/>
    </xf>
    <xf numFmtId="4" fontId="1" fillId="4" borderId="14" xfId="0" applyNumberFormat="1" applyFont="1" applyFill="1" applyBorder="1" applyAlignment="1">
      <alignment horizontal="center" vertical="center"/>
    </xf>
    <xf numFmtId="4" fontId="1" fillId="4" borderId="5" xfId="0" applyNumberFormat="1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1" fillId="7" borderId="3" xfId="0" applyFont="1" applyFill="1" applyBorder="1" applyAlignment="1">
      <alignment horizontal="center" vertical="center"/>
    </xf>
    <xf numFmtId="0" fontId="1" fillId="0" borderId="0" xfId="0" applyFont="1"/>
    <xf numFmtId="4" fontId="1" fillId="4" borderId="0" xfId="0" applyNumberFormat="1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left" vertical="center"/>
    </xf>
    <xf numFmtId="0" fontId="1" fillId="7" borderId="3" xfId="0" applyFont="1" applyFill="1" applyBorder="1" applyAlignment="1">
      <alignment horizontal="left" vertical="center"/>
    </xf>
    <xf numFmtId="4" fontId="1" fillId="7" borderId="3" xfId="0" applyNumberFormat="1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left" vertical="center" wrapText="1"/>
    </xf>
    <xf numFmtId="4" fontId="3" fillId="5" borderId="3" xfId="0" applyNumberFormat="1" applyFont="1" applyFill="1" applyBorder="1" applyAlignment="1">
      <alignment horizontal="center" vertical="center" wrapText="1"/>
    </xf>
    <xf numFmtId="4" fontId="3" fillId="10" borderId="7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left" vertical="center" wrapText="1"/>
    </xf>
    <xf numFmtId="0" fontId="1" fillId="6" borderId="3" xfId="0" applyFont="1" applyFill="1" applyBorder="1" applyAlignment="1">
      <alignment horizontal="center" vertical="center"/>
    </xf>
    <xf numFmtId="0" fontId="1" fillId="6" borderId="3" xfId="0" applyFont="1" applyFill="1" applyBorder="1" applyAlignment="1">
      <alignment horizontal="left" vertical="center" wrapText="1"/>
    </xf>
    <xf numFmtId="4" fontId="1" fillId="6" borderId="3" xfId="0" applyNumberFormat="1" applyFont="1" applyFill="1" applyBorder="1" applyAlignment="1">
      <alignment horizontal="center" vertical="center"/>
    </xf>
    <xf numFmtId="4" fontId="3" fillId="6" borderId="3" xfId="0" applyNumberFormat="1" applyFont="1" applyFill="1" applyBorder="1" applyAlignment="1">
      <alignment horizontal="center" vertical="center"/>
    </xf>
    <xf numFmtId="1" fontId="1" fillId="4" borderId="3" xfId="0" applyNumberFormat="1" applyFont="1" applyFill="1" applyBorder="1" applyAlignment="1">
      <alignment horizontal="left" vertical="center" wrapText="1"/>
    </xf>
    <xf numFmtId="4" fontId="3" fillId="4" borderId="3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 applyProtection="1">
      <alignment horizontal="center" vertical="center" wrapText="1"/>
    </xf>
    <xf numFmtId="2" fontId="3" fillId="2" borderId="3" xfId="0" applyNumberFormat="1" applyFont="1" applyFill="1" applyBorder="1" applyAlignment="1" applyProtection="1">
      <alignment horizontal="center" vertical="center" wrapText="1"/>
      <protection hidden="1"/>
    </xf>
    <xf numFmtId="0" fontId="3" fillId="2" borderId="3" xfId="0" applyFont="1" applyFill="1" applyBorder="1" applyAlignment="1">
      <alignment horizontal="left" vertical="center" wrapText="1"/>
    </xf>
    <xf numFmtId="4" fontId="3" fillId="2" borderId="3" xfId="0" applyNumberFormat="1" applyFont="1" applyFill="1" applyBorder="1" applyAlignment="1">
      <alignment horizontal="center" vertical="center" wrapText="1"/>
    </xf>
    <xf numFmtId="4" fontId="3" fillId="2" borderId="3" xfId="0" applyNumberFormat="1" applyFont="1" applyFill="1" applyBorder="1" applyAlignment="1" applyProtection="1">
      <alignment horizontal="center" vertical="center" wrapText="1"/>
      <protection hidden="1"/>
    </xf>
    <xf numFmtId="0" fontId="1" fillId="4" borderId="3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left" vertical="center"/>
    </xf>
    <xf numFmtId="4" fontId="1" fillId="2" borderId="3" xfId="0" applyNumberFormat="1" applyFont="1" applyFill="1" applyBorder="1" applyAlignment="1">
      <alignment horizontal="center" vertical="center"/>
    </xf>
    <xf numFmtId="4" fontId="1" fillId="4" borderId="2" xfId="0" applyNumberFormat="1" applyFont="1" applyFill="1" applyBorder="1" applyAlignment="1">
      <alignment horizontal="center" vertical="center" wrapText="1"/>
    </xf>
    <xf numFmtId="4" fontId="14" fillId="2" borderId="6" xfId="0" applyNumberFormat="1" applyFont="1" applyFill="1" applyBorder="1" applyAlignment="1">
      <alignment horizontal="center" vertical="center"/>
    </xf>
    <xf numFmtId="0" fontId="1" fillId="4" borderId="3" xfId="0" applyFont="1" applyFill="1" applyBorder="1" applyAlignment="1" applyProtection="1">
      <alignment horizontal="center" vertical="center" wrapText="1"/>
    </xf>
    <xf numFmtId="4" fontId="14" fillId="4" borderId="3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0" fontId="3" fillId="4" borderId="3" xfId="0" applyFont="1" applyFill="1" applyBorder="1" applyAlignment="1">
      <alignment vertical="center"/>
    </xf>
    <xf numFmtId="0" fontId="1" fillId="4" borderId="3" xfId="0" applyFont="1" applyFill="1" applyBorder="1" applyAlignment="1">
      <alignment vertical="center"/>
    </xf>
    <xf numFmtId="4" fontId="3" fillId="4" borderId="7" xfId="0" applyNumberFormat="1" applyFont="1" applyFill="1" applyBorder="1" applyAlignment="1">
      <alignment horizontal="center" vertical="center"/>
    </xf>
    <xf numFmtId="4" fontId="14" fillId="4" borderId="7" xfId="0" applyNumberFormat="1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left" vertical="center"/>
    </xf>
    <xf numFmtId="0" fontId="1" fillId="2" borderId="8" xfId="0" applyFont="1" applyFill="1" applyBorder="1" applyAlignment="1">
      <alignment horizontal="center" vertical="center"/>
    </xf>
    <xf numFmtId="4" fontId="1" fillId="2" borderId="8" xfId="0" applyNumberFormat="1" applyFont="1" applyFill="1" applyBorder="1" applyAlignment="1">
      <alignment horizontal="center" vertical="center"/>
    </xf>
    <xf numFmtId="4" fontId="14" fillId="2" borderId="8" xfId="0" applyNumberFormat="1" applyFont="1" applyFill="1" applyBorder="1" applyAlignment="1">
      <alignment horizontal="center" vertical="center"/>
    </xf>
    <xf numFmtId="4" fontId="3" fillId="2" borderId="10" xfId="0" applyNumberFormat="1" applyFont="1" applyFill="1" applyBorder="1" applyAlignment="1">
      <alignment horizontal="center" vertical="center"/>
    </xf>
    <xf numFmtId="4" fontId="1" fillId="0" borderId="0" xfId="0" applyNumberFormat="1" applyFont="1"/>
    <xf numFmtId="4" fontId="15" fillId="0" borderId="0" xfId="0" applyNumberFormat="1" applyFont="1"/>
    <xf numFmtId="0" fontId="15" fillId="0" borderId="0" xfId="0" applyFont="1"/>
    <xf numFmtId="0" fontId="16" fillId="0" borderId="0" xfId="0" applyFont="1" applyAlignment="1">
      <alignment vertical="center"/>
    </xf>
    <xf numFmtId="4" fontId="1" fillId="0" borderId="0" xfId="0" applyNumberFormat="1" applyFont="1" applyAlignment="1">
      <alignment vertical="center"/>
    </xf>
    <xf numFmtId="4" fontId="15" fillId="0" borderId="0" xfId="0" applyNumberFormat="1" applyFont="1" applyAlignment="1">
      <alignment vertical="center"/>
    </xf>
    <xf numFmtId="0" fontId="15" fillId="0" borderId="0" xfId="0" applyFont="1" applyAlignment="1">
      <alignment vertical="center"/>
    </xf>
    <xf numFmtId="0" fontId="7" fillId="0" borderId="3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4" fontId="3" fillId="10" borderId="3" xfId="0" applyNumberFormat="1" applyFont="1" applyFill="1" applyBorder="1" applyAlignment="1">
      <alignment horizontal="center" vertical="center"/>
    </xf>
    <xf numFmtId="4" fontId="14" fillId="2" borderId="3" xfId="0" applyNumberFormat="1" applyFont="1" applyFill="1" applyBorder="1" applyAlignment="1">
      <alignment horizontal="center" vertical="center"/>
    </xf>
    <xf numFmtId="4" fontId="14" fillId="8" borderId="3" xfId="0" applyNumberFormat="1" applyFont="1" applyFill="1" applyBorder="1" applyAlignment="1">
      <alignment horizontal="center" vertical="center"/>
    </xf>
    <xf numFmtId="4" fontId="3" fillId="8" borderId="3" xfId="0" applyNumberFormat="1" applyFont="1" applyFill="1" applyBorder="1" applyAlignment="1">
      <alignment horizontal="center" vertical="center"/>
    </xf>
    <xf numFmtId="4" fontId="1" fillId="4" borderId="0" xfId="0" applyNumberFormat="1" applyFont="1" applyFill="1" applyBorder="1" applyAlignment="1">
      <alignment horizontal="center" vertical="center" wrapText="1"/>
    </xf>
    <xf numFmtId="0" fontId="17" fillId="0" borderId="0" xfId="0" applyFont="1" applyAlignment="1"/>
    <xf numFmtId="0" fontId="1" fillId="12" borderId="3" xfId="0" applyNumberFormat="1" applyFont="1" applyFill="1" applyBorder="1" applyAlignment="1" applyProtection="1">
      <alignment horizontal="center" vertical="center" wrapText="1"/>
    </xf>
    <xf numFmtId="4" fontId="1" fillId="4" borderId="7" xfId="0" applyNumberFormat="1" applyFont="1" applyFill="1" applyBorder="1" applyAlignment="1">
      <alignment horizontal="center" vertical="center"/>
    </xf>
    <xf numFmtId="0" fontId="1" fillId="0" borderId="3" xfId="0" applyNumberFormat="1" applyFont="1" applyFill="1" applyBorder="1" applyAlignment="1" applyProtection="1">
      <alignment horizontal="center" vertical="center" wrapText="1"/>
    </xf>
    <xf numFmtId="0" fontId="1" fillId="0" borderId="3" xfId="0" applyNumberFormat="1" applyFont="1" applyFill="1" applyBorder="1" applyAlignment="1" applyProtection="1">
      <alignment horizontal="left" vertical="center" wrapText="1"/>
    </xf>
    <xf numFmtId="0" fontId="1" fillId="4" borderId="3" xfId="0" applyFont="1" applyFill="1" applyBorder="1" applyAlignment="1">
      <alignment horizontal="center" vertical="center" wrapText="1"/>
    </xf>
    <xf numFmtId="4" fontId="1" fillId="13" borderId="3" xfId="0" applyNumberFormat="1" applyFont="1" applyFill="1" applyBorder="1" applyAlignment="1">
      <alignment horizontal="center" vertical="center"/>
    </xf>
    <xf numFmtId="0" fontId="9" fillId="4" borderId="16" xfId="0" applyFont="1" applyFill="1" applyBorder="1" applyAlignment="1">
      <alignment horizontal="center" vertical="center" wrapText="1"/>
    </xf>
    <xf numFmtId="0" fontId="9" fillId="4" borderId="17" xfId="0" applyFont="1" applyFill="1" applyBorder="1" applyAlignment="1">
      <alignment horizontal="center" vertical="center" wrapText="1"/>
    </xf>
    <xf numFmtId="0" fontId="9" fillId="4" borderId="18" xfId="0" applyFont="1" applyFill="1" applyBorder="1" applyAlignment="1">
      <alignment horizontal="center" vertical="center" wrapText="1"/>
    </xf>
    <xf numFmtId="0" fontId="1" fillId="4" borderId="19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1" fillId="7" borderId="19" xfId="0" applyFont="1" applyFill="1" applyBorder="1" applyAlignment="1">
      <alignment horizontal="center" vertical="center"/>
    </xf>
    <xf numFmtId="0" fontId="1" fillId="4" borderId="20" xfId="0" applyFont="1" applyFill="1" applyBorder="1" applyAlignment="1">
      <alignment horizontal="center" vertical="center"/>
    </xf>
    <xf numFmtId="0" fontId="1" fillId="0" borderId="21" xfId="0" applyFont="1" applyBorder="1"/>
    <xf numFmtId="0" fontId="1" fillId="5" borderId="21" xfId="0" applyFont="1" applyFill="1" applyBorder="1"/>
    <xf numFmtId="0" fontId="1" fillId="4" borderId="22" xfId="0" applyFont="1" applyFill="1" applyBorder="1" applyAlignment="1">
      <alignment horizontal="center" vertical="center"/>
    </xf>
    <xf numFmtId="0" fontId="1" fillId="0" borderId="3" xfId="0" applyFont="1" applyBorder="1"/>
    <xf numFmtId="4" fontId="1" fillId="2" borderId="23" xfId="0" applyNumberFormat="1" applyFont="1" applyFill="1" applyBorder="1" applyAlignment="1">
      <alignment horizontal="center" vertical="center" wrapText="1"/>
    </xf>
    <xf numFmtId="0" fontId="0" fillId="4" borderId="0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2" fontId="7" fillId="0" borderId="7" xfId="0" applyNumberFormat="1" applyFont="1" applyBorder="1" applyAlignment="1">
      <alignment horizontal="center" vertical="center"/>
    </xf>
    <xf numFmtId="2" fontId="7" fillId="0" borderId="11" xfId="0" applyNumberFormat="1" applyFont="1" applyBorder="1" applyAlignment="1">
      <alignment horizontal="center" vertical="center"/>
    </xf>
    <xf numFmtId="2" fontId="7" fillId="0" borderId="12" xfId="0" applyNumberFormat="1" applyFont="1" applyBorder="1" applyAlignment="1">
      <alignment horizontal="center" vertical="center"/>
    </xf>
    <xf numFmtId="4" fontId="7" fillId="0" borderId="7" xfId="0" applyNumberFormat="1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2" fontId="8" fillId="0" borderId="7" xfId="0" applyNumberFormat="1" applyFont="1" applyBorder="1" applyAlignment="1">
      <alignment horizontal="center" vertical="center"/>
    </xf>
    <xf numFmtId="2" fontId="8" fillId="0" borderId="11" xfId="0" applyNumberFormat="1" applyFont="1" applyBorder="1" applyAlignment="1">
      <alignment horizontal="center" vertical="center"/>
    </xf>
    <xf numFmtId="2" fontId="8" fillId="0" borderId="12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11" fillId="0" borderId="0" xfId="0" applyFont="1" applyBorder="1" applyAlignment="1">
      <alignment horizontal="center" wrapText="1"/>
    </xf>
    <xf numFmtId="0" fontId="9" fillId="0" borderId="0" xfId="0" applyFont="1" applyBorder="1" applyAlignment="1">
      <alignment horizontal="center"/>
    </xf>
    <xf numFmtId="0" fontId="0" fillId="2" borderId="0" xfId="0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5" tint="-0.249977111117893"/>
  </sheetPr>
  <dimension ref="A1:AA104"/>
  <sheetViews>
    <sheetView tabSelected="1" view="pageBreakPreview" zoomScaleNormal="75" zoomScaleSheetLayoutView="100" workbookViewId="0">
      <pane ySplit="7" topLeftCell="A87" activePane="bottomLeft" state="frozen"/>
      <selection activeCell="B1" sqref="B1"/>
      <selection pane="bottomLeft" activeCell="C95" sqref="C95:F95"/>
    </sheetView>
  </sheetViews>
  <sheetFormatPr defaultRowHeight="12.75"/>
  <cols>
    <col min="1" max="1" width="14.42578125" customWidth="1"/>
    <col min="2" max="2" width="42.85546875" customWidth="1"/>
    <col min="3" max="3" width="9.140625" customWidth="1"/>
    <col min="4" max="4" width="22" customWidth="1"/>
    <col min="5" max="8" width="10.140625" customWidth="1"/>
    <col min="9" max="19" width="9.85546875" hidden="1" customWidth="1"/>
    <col min="20" max="20" width="9.85546875" customWidth="1"/>
    <col min="21" max="21" width="12.28515625" customWidth="1"/>
  </cols>
  <sheetData>
    <row r="1" spans="1:21" ht="14.25" customHeight="1">
      <c r="A1" s="142"/>
    </row>
    <row r="3" spans="1:21" ht="18">
      <c r="A3" s="123"/>
      <c r="B3" s="153" t="s">
        <v>0</v>
      </c>
      <c r="C3" s="153"/>
      <c r="D3" s="153"/>
      <c r="E3" s="153"/>
      <c r="F3" s="153"/>
      <c r="G3" s="153"/>
      <c r="H3" s="153"/>
      <c r="I3" s="153"/>
      <c r="J3" s="153"/>
      <c r="K3" s="153"/>
      <c r="L3" s="153"/>
      <c r="M3" s="67"/>
      <c r="N3" s="67"/>
      <c r="O3" s="67"/>
      <c r="P3" s="67"/>
      <c r="Q3" s="67"/>
      <c r="R3" s="67"/>
      <c r="S3" s="67"/>
      <c r="T3" s="67"/>
      <c r="U3" s="67"/>
    </row>
    <row r="4" spans="1:21" ht="34.5" customHeight="1">
      <c r="A4" s="67"/>
      <c r="B4" s="154" t="s">
        <v>1</v>
      </c>
      <c r="C4" s="154"/>
      <c r="D4" s="154"/>
      <c r="E4" s="154"/>
      <c r="F4" s="154"/>
      <c r="G4" s="154"/>
      <c r="H4" s="154"/>
      <c r="I4" s="154"/>
      <c r="J4" s="154"/>
      <c r="K4" s="154"/>
      <c r="L4" s="154"/>
      <c r="M4" s="67"/>
      <c r="N4" s="67"/>
      <c r="O4" s="67"/>
      <c r="P4" s="67"/>
      <c r="Q4" s="67"/>
      <c r="R4" s="67"/>
      <c r="S4" s="67"/>
      <c r="T4" s="67"/>
      <c r="U4" s="67"/>
    </row>
    <row r="5" spans="1:21" ht="18">
      <c r="A5" s="67"/>
      <c r="B5" s="154" t="s">
        <v>123</v>
      </c>
      <c r="C5" s="154"/>
      <c r="D5" s="154"/>
      <c r="E5" s="154"/>
      <c r="F5" s="154"/>
      <c r="G5" s="154"/>
      <c r="H5" s="154"/>
      <c r="I5" s="154"/>
      <c r="J5" s="154"/>
      <c r="K5" s="154"/>
      <c r="L5" s="154"/>
      <c r="M5" s="67"/>
      <c r="N5" s="67"/>
      <c r="O5" s="67"/>
      <c r="P5" s="67"/>
      <c r="Q5" s="67"/>
      <c r="R5" s="67"/>
      <c r="S5" s="67"/>
      <c r="T5" s="67"/>
      <c r="U5" s="67"/>
    </row>
    <row r="6" spans="1:21" ht="14.25">
      <c r="A6" s="67"/>
      <c r="B6" s="155" t="s">
        <v>114</v>
      </c>
      <c r="C6" s="155"/>
      <c r="D6" s="155"/>
      <c r="E6" s="155"/>
      <c r="F6" s="155"/>
      <c r="G6" s="155"/>
      <c r="H6" s="155"/>
      <c r="I6" s="155"/>
      <c r="J6" s="155"/>
      <c r="K6" s="155"/>
      <c r="L6" s="155"/>
      <c r="M6" s="67"/>
      <c r="N6" s="67"/>
      <c r="O6" s="67"/>
      <c r="P6" s="67"/>
      <c r="Q6" s="67"/>
      <c r="R6" s="67"/>
      <c r="S6" s="67"/>
      <c r="T6" s="67"/>
      <c r="U6" s="67"/>
    </row>
    <row r="7" spans="1:21" ht="54.75" customHeight="1">
      <c r="A7" s="130" t="s">
        <v>2</v>
      </c>
      <c r="B7" s="131" t="s">
        <v>3</v>
      </c>
      <c r="C7" s="131" t="s">
        <v>4</v>
      </c>
      <c r="D7" s="131" t="s">
        <v>5</v>
      </c>
      <c r="E7" s="131" t="s">
        <v>6</v>
      </c>
      <c r="F7" s="131" t="s">
        <v>7</v>
      </c>
      <c r="G7" s="131" t="s">
        <v>8</v>
      </c>
      <c r="H7" s="132" t="s">
        <v>9</v>
      </c>
      <c r="I7" s="23" t="s">
        <v>101</v>
      </c>
      <c r="J7" s="23" t="s">
        <v>102</v>
      </c>
      <c r="K7" s="23" t="s">
        <v>103</v>
      </c>
      <c r="L7" s="23" t="s">
        <v>104</v>
      </c>
      <c r="M7" s="23" t="s">
        <v>118</v>
      </c>
      <c r="N7" s="23" t="s">
        <v>105</v>
      </c>
      <c r="O7" s="23" t="s">
        <v>106</v>
      </c>
      <c r="P7" s="23" t="s">
        <v>107</v>
      </c>
      <c r="Q7" s="23" t="s">
        <v>108</v>
      </c>
      <c r="R7" s="23" t="s">
        <v>109</v>
      </c>
      <c r="S7" s="23" t="s">
        <v>110</v>
      </c>
      <c r="T7" s="23" t="s">
        <v>111</v>
      </c>
      <c r="U7" s="23" t="s">
        <v>115</v>
      </c>
    </row>
    <row r="8" spans="1:21">
      <c r="A8" s="133">
        <v>1</v>
      </c>
      <c r="B8" s="7">
        <v>2</v>
      </c>
      <c r="C8" s="24">
        <v>3</v>
      </c>
      <c r="D8" s="7">
        <v>4</v>
      </c>
      <c r="E8" s="7">
        <v>5</v>
      </c>
      <c r="F8" s="24">
        <v>6</v>
      </c>
      <c r="G8" s="24">
        <v>7</v>
      </c>
      <c r="H8" s="25">
        <v>8</v>
      </c>
      <c r="I8" s="26">
        <v>9</v>
      </c>
      <c r="J8" s="26">
        <v>10</v>
      </c>
      <c r="K8" s="26">
        <v>11</v>
      </c>
      <c r="L8" s="26">
        <v>12</v>
      </c>
      <c r="M8" s="26">
        <v>13</v>
      </c>
      <c r="N8" s="26">
        <v>14</v>
      </c>
      <c r="O8" s="26">
        <v>15</v>
      </c>
      <c r="P8" s="26">
        <v>16</v>
      </c>
      <c r="Q8" s="26">
        <v>17</v>
      </c>
      <c r="R8" s="26">
        <v>18</v>
      </c>
      <c r="S8" s="26">
        <v>19</v>
      </c>
      <c r="T8" s="26">
        <v>9</v>
      </c>
      <c r="U8" s="26">
        <v>10</v>
      </c>
    </row>
    <row r="9" spans="1:21" ht="38.25">
      <c r="A9" s="133"/>
      <c r="B9" s="9" t="s">
        <v>10</v>
      </c>
      <c r="C9" s="24"/>
      <c r="D9" s="10"/>
      <c r="E9" s="10"/>
      <c r="F9" s="24"/>
      <c r="G9" s="24"/>
      <c r="H9" s="28"/>
      <c r="I9" s="29"/>
      <c r="J9" s="29"/>
      <c r="K9" s="29"/>
      <c r="L9" s="29"/>
      <c r="M9" s="30"/>
      <c r="N9" s="27"/>
      <c r="O9" s="27"/>
      <c r="P9" s="27"/>
      <c r="Q9" s="27"/>
      <c r="R9" s="27"/>
      <c r="S9" s="27"/>
      <c r="T9" s="27"/>
      <c r="U9" s="27"/>
    </row>
    <row r="10" spans="1:21">
      <c r="A10" s="133"/>
      <c r="B10" s="9" t="s">
        <v>11</v>
      </c>
      <c r="C10" s="24"/>
      <c r="D10" s="10"/>
      <c r="E10" s="10"/>
      <c r="F10" s="24"/>
      <c r="G10" s="24"/>
      <c r="H10" s="28"/>
      <c r="I10" s="29"/>
      <c r="J10" s="29"/>
      <c r="K10" s="29"/>
      <c r="L10" s="29"/>
      <c r="M10" s="30"/>
      <c r="N10" s="27"/>
      <c r="O10" s="27"/>
      <c r="P10" s="27"/>
      <c r="Q10" s="27"/>
      <c r="R10" s="27"/>
      <c r="S10" s="27"/>
      <c r="T10" s="27"/>
      <c r="U10" s="27"/>
    </row>
    <row r="11" spans="1:21" ht="25.5">
      <c r="A11" s="133" t="s">
        <v>135</v>
      </c>
      <c r="B11" s="10" t="s">
        <v>12</v>
      </c>
      <c r="C11" s="24" t="s">
        <v>13</v>
      </c>
      <c r="D11" s="10" t="s">
        <v>174</v>
      </c>
      <c r="E11" s="31">
        <v>54</v>
      </c>
      <c r="F11" s="32">
        <f>SUM(E11*156/100)</f>
        <v>84.24</v>
      </c>
      <c r="G11" s="32">
        <v>218.21</v>
      </c>
      <c r="H11" s="33">
        <f t="shared" ref="H11:H20" si="0">SUM(F11*G11/1000)</f>
        <v>18.382010399999999</v>
      </c>
      <c r="I11" s="34">
        <f>F11/12*G11</f>
        <v>1531.8342</v>
      </c>
      <c r="J11" s="34">
        <f>F11/12*G11</f>
        <v>1531.8342</v>
      </c>
      <c r="K11" s="34">
        <f>F11/12*G11</f>
        <v>1531.8342</v>
      </c>
      <c r="L11" s="34">
        <f>F11/12*G11</f>
        <v>1531.8342</v>
      </c>
      <c r="M11" s="34">
        <f>F11/12*G11</f>
        <v>1531.8342</v>
      </c>
      <c r="N11" s="34">
        <f>F11/12*G11</f>
        <v>1531.8342</v>
      </c>
      <c r="O11" s="34">
        <f>F11/12*G11</f>
        <v>1531.8342</v>
      </c>
      <c r="P11" s="34">
        <f>F11/12*G11</f>
        <v>1531.8342</v>
      </c>
      <c r="Q11" s="34">
        <f>F11/12*G11</f>
        <v>1531.8342</v>
      </c>
      <c r="R11" s="34">
        <f>F11/12*G11</f>
        <v>1531.8342</v>
      </c>
      <c r="S11" s="34">
        <f>F11/12*G11</f>
        <v>1531.8342</v>
      </c>
      <c r="T11" s="34">
        <f>F11/12*G11</f>
        <v>1531.8342</v>
      </c>
      <c r="U11" s="34">
        <f>SUM(T11)</f>
        <v>1531.8342</v>
      </c>
    </row>
    <row r="12" spans="1:21" ht="25.5">
      <c r="A12" s="133" t="s">
        <v>135</v>
      </c>
      <c r="B12" s="10" t="s">
        <v>14</v>
      </c>
      <c r="C12" s="24" t="s">
        <v>13</v>
      </c>
      <c r="D12" s="10" t="s">
        <v>175</v>
      </c>
      <c r="E12" s="31">
        <v>216</v>
      </c>
      <c r="F12" s="32">
        <f>SUM(E12*104/100)</f>
        <v>224.64</v>
      </c>
      <c r="G12" s="32">
        <v>218.21</v>
      </c>
      <c r="H12" s="33">
        <f t="shared" si="0"/>
        <v>49.018694400000001</v>
      </c>
      <c r="I12" s="34">
        <f>F12/12*G12</f>
        <v>4084.8912</v>
      </c>
      <c r="J12" s="34">
        <f>F12/12*G12</f>
        <v>4084.8912</v>
      </c>
      <c r="K12" s="34">
        <f>F12/12*G12</f>
        <v>4084.8912</v>
      </c>
      <c r="L12" s="34">
        <f>F12/12*G12</f>
        <v>4084.8912</v>
      </c>
      <c r="M12" s="34">
        <f>F12/12*G12</f>
        <v>4084.8912</v>
      </c>
      <c r="N12" s="34">
        <f>F12/12*G12</f>
        <v>4084.8912</v>
      </c>
      <c r="O12" s="34">
        <f>F12/12*G12</f>
        <v>4084.8912</v>
      </c>
      <c r="P12" s="34">
        <f>F12/12*G12</f>
        <v>4084.8912</v>
      </c>
      <c r="Q12" s="34">
        <f>F12/12*G12</f>
        <v>4084.8912</v>
      </c>
      <c r="R12" s="34">
        <f>F12/12*G12</f>
        <v>4084.8912</v>
      </c>
      <c r="S12" s="34">
        <f>F12/12*G12</f>
        <v>4084.8912</v>
      </c>
      <c r="T12" s="34">
        <f>F12/12*G12</f>
        <v>4084.8912</v>
      </c>
      <c r="U12" s="34">
        <f t="shared" ref="U12:U20" si="1">SUM(T12)</f>
        <v>4084.8912</v>
      </c>
    </row>
    <row r="13" spans="1:21" ht="25.5">
      <c r="A13" s="133" t="s">
        <v>136</v>
      </c>
      <c r="B13" s="10" t="s">
        <v>15</v>
      </c>
      <c r="C13" s="24" t="s">
        <v>13</v>
      </c>
      <c r="D13" s="10" t="s">
        <v>176</v>
      </c>
      <c r="E13" s="31">
        <f>SUM(E11+E12)</f>
        <v>270</v>
      </c>
      <c r="F13" s="32">
        <f>SUM(E13*24/100)</f>
        <v>64.8</v>
      </c>
      <c r="G13" s="32">
        <v>627.77</v>
      </c>
      <c r="H13" s="33">
        <f t="shared" si="0"/>
        <v>40.679496</v>
      </c>
      <c r="I13" s="34">
        <f>F13/12*G13</f>
        <v>3389.9579999999996</v>
      </c>
      <c r="J13" s="34">
        <f>F13/12*G13</f>
        <v>3389.9579999999996</v>
      </c>
      <c r="K13" s="34">
        <f>F13/12*G13</f>
        <v>3389.9579999999996</v>
      </c>
      <c r="L13" s="34">
        <f>F13/12*G13</f>
        <v>3389.9579999999996</v>
      </c>
      <c r="M13" s="34">
        <f>F13/12*G13</f>
        <v>3389.9579999999996</v>
      </c>
      <c r="N13" s="34">
        <f>F13/12*G13</f>
        <v>3389.9579999999996</v>
      </c>
      <c r="O13" s="34">
        <f>F13/12*G13</f>
        <v>3389.9579999999996</v>
      </c>
      <c r="P13" s="34">
        <f>F13/12*G13</f>
        <v>3389.9579999999996</v>
      </c>
      <c r="Q13" s="34">
        <f>F13/12*G13</f>
        <v>3389.9579999999996</v>
      </c>
      <c r="R13" s="34">
        <f>F13/12*G13</f>
        <v>3389.9579999999996</v>
      </c>
      <c r="S13" s="34">
        <f>F13/12*G13</f>
        <v>3389.9579999999996</v>
      </c>
      <c r="T13" s="34">
        <f>F13/12*G13</f>
        <v>3389.9579999999996</v>
      </c>
      <c r="U13" s="34">
        <f t="shared" si="1"/>
        <v>3389.9579999999996</v>
      </c>
    </row>
    <row r="14" spans="1:21">
      <c r="A14" s="133" t="s">
        <v>137</v>
      </c>
      <c r="B14" s="10" t="s">
        <v>16</v>
      </c>
      <c r="C14" s="24" t="s">
        <v>17</v>
      </c>
      <c r="D14" s="10" t="s">
        <v>89</v>
      </c>
      <c r="E14" s="31">
        <v>40</v>
      </c>
      <c r="F14" s="32">
        <f>SUM(E14/10)</f>
        <v>4</v>
      </c>
      <c r="G14" s="32">
        <v>211.74</v>
      </c>
      <c r="H14" s="33">
        <f t="shared" si="0"/>
        <v>0.84696000000000005</v>
      </c>
      <c r="I14" s="34">
        <v>0</v>
      </c>
      <c r="J14" s="34">
        <v>0</v>
      </c>
      <c r="K14" s="34">
        <v>0</v>
      </c>
      <c r="L14" s="34">
        <v>0</v>
      </c>
      <c r="M14" s="34">
        <f>F14/2*G14</f>
        <v>423.48</v>
      </c>
      <c r="N14" s="34">
        <v>0</v>
      </c>
      <c r="O14" s="34">
        <v>0</v>
      </c>
      <c r="P14" s="34">
        <v>0</v>
      </c>
      <c r="Q14" s="34">
        <v>0</v>
      </c>
      <c r="R14" s="34">
        <v>0</v>
      </c>
      <c r="S14" s="34">
        <v>0</v>
      </c>
      <c r="T14" s="34">
        <v>0</v>
      </c>
      <c r="U14" s="34">
        <f t="shared" si="1"/>
        <v>0</v>
      </c>
    </row>
    <row r="15" spans="1:21">
      <c r="A15" s="133" t="s">
        <v>138</v>
      </c>
      <c r="B15" s="10" t="s">
        <v>18</v>
      </c>
      <c r="C15" s="24" t="s">
        <v>13</v>
      </c>
      <c r="D15" s="10" t="s">
        <v>45</v>
      </c>
      <c r="E15" s="31">
        <v>10.5</v>
      </c>
      <c r="F15" s="32">
        <f>SUM(E15*2/100)</f>
        <v>0.21</v>
      </c>
      <c r="G15" s="32">
        <v>271.12</v>
      </c>
      <c r="H15" s="33">
        <f>SUM(F15*G15/1000)</f>
        <v>5.6935200000000005E-2</v>
      </c>
      <c r="I15" s="34">
        <v>0</v>
      </c>
      <c r="J15" s="34">
        <v>0</v>
      </c>
      <c r="K15" s="34">
        <v>0</v>
      </c>
      <c r="L15" s="34">
        <v>0</v>
      </c>
      <c r="M15" s="34">
        <f t="shared" ref="M15:M20" si="2">G15*F15</f>
        <v>56.935200000000002</v>
      </c>
      <c r="N15" s="34">
        <v>0</v>
      </c>
      <c r="O15" s="34">
        <v>0</v>
      </c>
      <c r="P15" s="34">
        <v>0</v>
      </c>
      <c r="Q15" s="34">
        <v>0</v>
      </c>
      <c r="R15" s="34">
        <v>0</v>
      </c>
      <c r="S15" s="34">
        <v>0</v>
      </c>
      <c r="T15" s="34">
        <v>0</v>
      </c>
      <c r="U15" s="34">
        <f t="shared" si="1"/>
        <v>0</v>
      </c>
    </row>
    <row r="16" spans="1:21">
      <c r="A16" s="133" t="s">
        <v>139</v>
      </c>
      <c r="B16" s="10" t="s">
        <v>19</v>
      </c>
      <c r="C16" s="24" t="s">
        <v>13</v>
      </c>
      <c r="D16" s="10" t="s">
        <v>45</v>
      </c>
      <c r="E16" s="31">
        <v>2.7</v>
      </c>
      <c r="F16" s="32">
        <f>SUM(E16*2/100)</f>
        <v>5.4000000000000006E-2</v>
      </c>
      <c r="G16" s="32">
        <v>268.92</v>
      </c>
      <c r="H16" s="33">
        <f t="shared" si="0"/>
        <v>1.4521680000000002E-2</v>
      </c>
      <c r="I16" s="34">
        <v>0</v>
      </c>
      <c r="J16" s="34">
        <v>0</v>
      </c>
      <c r="K16" s="34">
        <v>0</v>
      </c>
      <c r="L16" s="34">
        <v>0</v>
      </c>
      <c r="M16" s="34">
        <f t="shared" si="2"/>
        <v>14.521680000000002</v>
      </c>
      <c r="N16" s="34">
        <v>0</v>
      </c>
      <c r="O16" s="34">
        <v>0</v>
      </c>
      <c r="P16" s="34">
        <v>0</v>
      </c>
      <c r="Q16" s="34">
        <v>0</v>
      </c>
      <c r="R16" s="34">
        <v>0</v>
      </c>
      <c r="S16" s="34">
        <v>0</v>
      </c>
      <c r="T16" s="34">
        <v>0</v>
      </c>
      <c r="U16" s="34">
        <f t="shared" si="1"/>
        <v>0</v>
      </c>
    </row>
    <row r="17" spans="1:21">
      <c r="A17" s="133" t="s">
        <v>140</v>
      </c>
      <c r="B17" s="10" t="s">
        <v>20</v>
      </c>
      <c r="C17" s="24" t="s">
        <v>21</v>
      </c>
      <c r="D17" s="10" t="s">
        <v>89</v>
      </c>
      <c r="E17" s="31">
        <v>357</v>
      </c>
      <c r="F17" s="32">
        <f t="shared" ref="F17:F20" si="3">SUM(E17/100)</f>
        <v>3.57</v>
      </c>
      <c r="G17" s="32">
        <v>335.05</v>
      </c>
      <c r="H17" s="33">
        <f t="shared" si="0"/>
        <v>1.1961284999999999</v>
      </c>
      <c r="I17" s="34">
        <v>0</v>
      </c>
      <c r="J17" s="34">
        <v>0</v>
      </c>
      <c r="K17" s="34">
        <v>0</v>
      </c>
      <c r="L17" s="34">
        <v>0</v>
      </c>
      <c r="M17" s="34">
        <f t="shared" si="2"/>
        <v>1196.1285</v>
      </c>
      <c r="N17" s="34">
        <v>0</v>
      </c>
      <c r="O17" s="34">
        <v>0</v>
      </c>
      <c r="P17" s="34">
        <v>0</v>
      </c>
      <c r="Q17" s="34">
        <v>0</v>
      </c>
      <c r="R17" s="34">
        <v>0</v>
      </c>
      <c r="S17" s="34">
        <v>0</v>
      </c>
      <c r="T17" s="34">
        <v>0</v>
      </c>
      <c r="U17" s="34">
        <f t="shared" si="1"/>
        <v>0</v>
      </c>
    </row>
    <row r="18" spans="1:21">
      <c r="A18" s="133" t="s">
        <v>141</v>
      </c>
      <c r="B18" s="10" t="s">
        <v>22</v>
      </c>
      <c r="C18" s="24" t="s">
        <v>21</v>
      </c>
      <c r="D18" s="10" t="s">
        <v>89</v>
      </c>
      <c r="E18" s="36">
        <v>38.64</v>
      </c>
      <c r="F18" s="32">
        <f t="shared" si="3"/>
        <v>0.38640000000000002</v>
      </c>
      <c r="G18" s="32">
        <v>55.1</v>
      </c>
      <c r="H18" s="33">
        <f t="shared" si="0"/>
        <v>2.1290640000000003E-2</v>
      </c>
      <c r="I18" s="34">
        <v>0</v>
      </c>
      <c r="J18" s="34">
        <v>0</v>
      </c>
      <c r="K18" s="34">
        <v>0</v>
      </c>
      <c r="L18" s="34">
        <v>0</v>
      </c>
      <c r="M18" s="34">
        <f t="shared" si="2"/>
        <v>21.290640000000003</v>
      </c>
      <c r="N18" s="34">
        <v>0</v>
      </c>
      <c r="O18" s="34">
        <v>0</v>
      </c>
      <c r="P18" s="34">
        <v>0</v>
      </c>
      <c r="Q18" s="34">
        <v>0</v>
      </c>
      <c r="R18" s="34">
        <v>0</v>
      </c>
      <c r="S18" s="34">
        <v>0</v>
      </c>
      <c r="T18" s="34">
        <v>0</v>
      </c>
      <c r="U18" s="34">
        <f t="shared" si="1"/>
        <v>0</v>
      </c>
    </row>
    <row r="19" spans="1:21">
      <c r="A19" s="133" t="s">
        <v>142</v>
      </c>
      <c r="B19" s="10" t="s">
        <v>98</v>
      </c>
      <c r="C19" s="24" t="s">
        <v>21</v>
      </c>
      <c r="D19" s="37" t="s">
        <v>89</v>
      </c>
      <c r="E19" s="38">
        <v>15</v>
      </c>
      <c r="F19" s="39">
        <f t="shared" si="3"/>
        <v>0.15</v>
      </c>
      <c r="G19" s="32">
        <v>484.94</v>
      </c>
      <c r="H19" s="33">
        <f t="shared" si="0"/>
        <v>7.2741E-2</v>
      </c>
      <c r="I19" s="34">
        <v>0</v>
      </c>
      <c r="J19" s="34">
        <v>0</v>
      </c>
      <c r="K19" s="34">
        <v>0</v>
      </c>
      <c r="L19" s="34">
        <v>0</v>
      </c>
      <c r="M19" s="34">
        <f t="shared" si="2"/>
        <v>72.741</v>
      </c>
      <c r="N19" s="34">
        <v>0</v>
      </c>
      <c r="O19" s="34">
        <v>0</v>
      </c>
      <c r="P19" s="34">
        <v>0</v>
      </c>
      <c r="Q19" s="34">
        <v>0</v>
      </c>
      <c r="R19" s="34">
        <v>0</v>
      </c>
      <c r="S19" s="34">
        <v>0</v>
      </c>
      <c r="T19" s="34">
        <v>0</v>
      </c>
      <c r="U19" s="34">
        <f t="shared" si="1"/>
        <v>0</v>
      </c>
    </row>
    <row r="20" spans="1:21">
      <c r="A20" s="133" t="s">
        <v>143</v>
      </c>
      <c r="B20" s="10" t="s">
        <v>23</v>
      </c>
      <c r="C20" s="24" t="s">
        <v>21</v>
      </c>
      <c r="D20" s="10" t="s">
        <v>89</v>
      </c>
      <c r="E20" s="40">
        <v>6.38</v>
      </c>
      <c r="F20" s="32">
        <f t="shared" si="3"/>
        <v>6.3799999999999996E-2</v>
      </c>
      <c r="G20" s="32">
        <v>648.04999999999995</v>
      </c>
      <c r="H20" s="33">
        <f t="shared" si="0"/>
        <v>4.1345589999999995E-2</v>
      </c>
      <c r="I20" s="34">
        <v>0</v>
      </c>
      <c r="J20" s="34">
        <v>0</v>
      </c>
      <c r="K20" s="34">
        <v>0</v>
      </c>
      <c r="L20" s="34">
        <v>0</v>
      </c>
      <c r="M20" s="34">
        <f t="shared" si="2"/>
        <v>41.345589999999994</v>
      </c>
      <c r="N20" s="34">
        <v>0</v>
      </c>
      <c r="O20" s="34">
        <v>0</v>
      </c>
      <c r="P20" s="34">
        <v>0</v>
      </c>
      <c r="Q20" s="34">
        <v>0</v>
      </c>
      <c r="R20" s="34">
        <v>0</v>
      </c>
      <c r="S20" s="34">
        <v>0</v>
      </c>
      <c r="T20" s="34">
        <v>0</v>
      </c>
      <c r="U20" s="34">
        <f t="shared" si="1"/>
        <v>0</v>
      </c>
    </row>
    <row r="21" spans="1:21" s="18" customFormat="1">
      <c r="A21" s="134"/>
      <c r="B21" s="19" t="s">
        <v>24</v>
      </c>
      <c r="C21" s="41"/>
      <c r="D21" s="19"/>
      <c r="E21" s="42"/>
      <c r="F21" s="43"/>
      <c r="G21" s="43"/>
      <c r="H21" s="44">
        <f>SUM(H11:H20)</f>
        <v>110.33012341</v>
      </c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>
        <f>SUM(U11:U20)</f>
        <v>9006.6833999999999</v>
      </c>
    </row>
    <row r="22" spans="1:21">
      <c r="A22" s="133"/>
      <c r="B22" s="11" t="s">
        <v>25</v>
      </c>
      <c r="C22" s="24"/>
      <c r="D22" s="10"/>
      <c r="E22" s="31"/>
      <c r="F22" s="32"/>
      <c r="G22" s="32"/>
      <c r="H22" s="33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</row>
    <row r="23" spans="1:21" ht="25.5" customHeight="1">
      <c r="A23" s="133" t="s">
        <v>144</v>
      </c>
      <c r="B23" s="10" t="s">
        <v>125</v>
      </c>
      <c r="C23" s="24" t="s">
        <v>26</v>
      </c>
      <c r="D23" s="10" t="s">
        <v>177</v>
      </c>
      <c r="E23" s="32">
        <v>191.65</v>
      </c>
      <c r="F23" s="32">
        <f>SUM(E23*52/1000)</f>
        <v>9.9658000000000015</v>
      </c>
      <c r="G23" s="32">
        <v>193.97</v>
      </c>
      <c r="H23" s="33">
        <f t="shared" ref="H23:H30" si="4">SUM(F23*G23/1000)</f>
        <v>1.9330662260000004</v>
      </c>
      <c r="I23" s="34">
        <v>0</v>
      </c>
      <c r="J23" s="34">
        <v>0</v>
      </c>
      <c r="K23" s="34">
        <v>0</v>
      </c>
      <c r="L23" s="34">
        <v>0</v>
      </c>
      <c r="M23" s="34">
        <f>F23/6*G23</f>
        <v>322.17770433333339</v>
      </c>
      <c r="N23" s="34">
        <f>F23/6*G23</f>
        <v>322.17770433333339</v>
      </c>
      <c r="O23" s="34">
        <f>F23/6*G23</f>
        <v>322.17770433333339</v>
      </c>
      <c r="P23" s="34">
        <f>F23/6*G23</f>
        <v>322.17770433333339</v>
      </c>
      <c r="Q23" s="34">
        <f>F23/6*G23</f>
        <v>322.17770433333339</v>
      </c>
      <c r="R23" s="34">
        <f>F23/6*G23</f>
        <v>322.17770433333339</v>
      </c>
      <c r="S23" s="34">
        <v>0</v>
      </c>
      <c r="T23" s="34">
        <v>0</v>
      </c>
      <c r="U23" s="34">
        <f t="shared" ref="U23:U30" si="5">SUM(T23)</f>
        <v>0</v>
      </c>
    </row>
    <row r="24" spans="1:21" ht="38.25" customHeight="1">
      <c r="A24" s="133" t="s">
        <v>145</v>
      </c>
      <c r="B24" s="10" t="s">
        <v>127</v>
      </c>
      <c r="C24" s="24" t="s">
        <v>26</v>
      </c>
      <c r="D24" s="10" t="s">
        <v>178</v>
      </c>
      <c r="E24" s="32">
        <v>67.650000000000006</v>
      </c>
      <c r="F24" s="32">
        <f>SUM(E24*78/1000)</f>
        <v>5.2767000000000008</v>
      </c>
      <c r="G24" s="32">
        <v>321.82</v>
      </c>
      <c r="H24" s="33">
        <f t="shared" si="4"/>
        <v>1.6981475940000001</v>
      </c>
      <c r="I24" s="34">
        <v>0</v>
      </c>
      <c r="J24" s="34">
        <v>0</v>
      </c>
      <c r="K24" s="34">
        <v>0</v>
      </c>
      <c r="L24" s="34">
        <v>0</v>
      </c>
      <c r="M24" s="34">
        <f>F24/6*G24</f>
        <v>283.02459900000002</v>
      </c>
      <c r="N24" s="34">
        <f>F24/6*G24</f>
        <v>283.02459900000002</v>
      </c>
      <c r="O24" s="34">
        <f>F24/6*G24</f>
        <v>283.02459900000002</v>
      </c>
      <c r="P24" s="34">
        <f>F24/6*G24</f>
        <v>283.02459900000002</v>
      </c>
      <c r="Q24" s="34">
        <f>F24/6*G24</f>
        <v>283.02459900000002</v>
      </c>
      <c r="R24" s="34">
        <f>F24/6*G24</f>
        <v>283.02459900000002</v>
      </c>
      <c r="S24" s="34">
        <v>0</v>
      </c>
      <c r="T24" s="34">
        <v>0</v>
      </c>
      <c r="U24" s="34">
        <f t="shared" si="5"/>
        <v>0</v>
      </c>
    </row>
    <row r="25" spans="1:21">
      <c r="A25" s="133" t="s">
        <v>146</v>
      </c>
      <c r="B25" s="10" t="s">
        <v>27</v>
      </c>
      <c r="C25" s="24" t="s">
        <v>26</v>
      </c>
      <c r="D25" s="10" t="s">
        <v>28</v>
      </c>
      <c r="E25" s="32">
        <v>191.65</v>
      </c>
      <c r="F25" s="32">
        <f>SUM(E25/1000)</f>
        <v>0.19165000000000001</v>
      </c>
      <c r="G25" s="32">
        <v>3758.28</v>
      </c>
      <c r="H25" s="33">
        <f t="shared" si="4"/>
        <v>0.72027436200000006</v>
      </c>
      <c r="I25" s="34">
        <v>0</v>
      </c>
      <c r="J25" s="34">
        <v>0</v>
      </c>
      <c r="K25" s="34">
        <v>0</v>
      </c>
      <c r="L25" s="34">
        <v>0</v>
      </c>
      <c r="M25" s="34">
        <f>F25*G25</f>
        <v>720.27436200000011</v>
      </c>
      <c r="N25" s="34">
        <v>0</v>
      </c>
      <c r="O25" s="34">
        <v>0</v>
      </c>
      <c r="P25" s="34">
        <v>0</v>
      </c>
      <c r="Q25" s="34">
        <v>0</v>
      </c>
      <c r="R25" s="34">
        <v>0</v>
      </c>
      <c r="S25" s="34">
        <v>0</v>
      </c>
      <c r="T25" s="34">
        <v>0</v>
      </c>
      <c r="U25" s="34">
        <f t="shared" si="5"/>
        <v>0</v>
      </c>
    </row>
    <row r="26" spans="1:21">
      <c r="A26" s="133" t="s">
        <v>147</v>
      </c>
      <c r="B26" s="10" t="s">
        <v>29</v>
      </c>
      <c r="C26" s="24" t="s">
        <v>30</v>
      </c>
      <c r="D26" s="10" t="s">
        <v>31</v>
      </c>
      <c r="E26" s="47">
        <f>1/3</f>
        <v>0.33333333333333331</v>
      </c>
      <c r="F26" s="32">
        <f>155/3</f>
        <v>51.666666666666664</v>
      </c>
      <c r="G26" s="32">
        <v>70.540000000000006</v>
      </c>
      <c r="H26" s="33">
        <f t="shared" si="4"/>
        <v>3.6445666666666665</v>
      </c>
      <c r="I26" s="34">
        <v>0</v>
      </c>
      <c r="J26" s="34">
        <v>0</v>
      </c>
      <c r="K26" s="34">
        <v>0</v>
      </c>
      <c r="L26" s="34">
        <v>0</v>
      </c>
      <c r="M26" s="34">
        <f>F26/6*G26</f>
        <v>607.42777777777781</v>
      </c>
      <c r="N26" s="34">
        <f>F26/6*G26</f>
        <v>607.42777777777781</v>
      </c>
      <c r="O26" s="34">
        <f>F26/6*G26</f>
        <v>607.42777777777781</v>
      </c>
      <c r="P26" s="34">
        <f>F26/6*G26</f>
        <v>607.42777777777781</v>
      </c>
      <c r="Q26" s="34">
        <f>F26/6*G26</f>
        <v>607.42777777777781</v>
      </c>
      <c r="R26" s="34">
        <f>F26/6*G26</f>
        <v>607.42777777777781</v>
      </c>
      <c r="S26" s="34">
        <v>0</v>
      </c>
      <c r="T26" s="34">
        <v>0</v>
      </c>
      <c r="U26" s="34">
        <f t="shared" si="5"/>
        <v>0</v>
      </c>
    </row>
    <row r="27" spans="1:21" ht="12.75" customHeight="1">
      <c r="A27" s="133" t="s">
        <v>148</v>
      </c>
      <c r="B27" s="10" t="s">
        <v>32</v>
      </c>
      <c r="C27" s="24" t="s">
        <v>33</v>
      </c>
      <c r="D27" s="10" t="s">
        <v>34</v>
      </c>
      <c r="E27" s="48">
        <v>0.1</v>
      </c>
      <c r="F27" s="32">
        <f>SUM(E27*365)</f>
        <v>36.5</v>
      </c>
      <c r="G27" s="32">
        <v>182.96</v>
      </c>
      <c r="H27" s="33">
        <f t="shared" si="4"/>
        <v>6.6780400000000002</v>
      </c>
      <c r="I27" s="34">
        <f>F27/12*G27</f>
        <v>556.50333333333333</v>
      </c>
      <c r="J27" s="34">
        <f>F27/12*G27</f>
        <v>556.50333333333333</v>
      </c>
      <c r="K27" s="34">
        <f>F27/12*G27</f>
        <v>556.50333333333333</v>
      </c>
      <c r="L27" s="34">
        <f>F27/12*G27</f>
        <v>556.50333333333333</v>
      </c>
      <c r="M27" s="34">
        <f>F27/12*G27</f>
        <v>556.50333333333333</v>
      </c>
      <c r="N27" s="34">
        <f>F27/12*G27</f>
        <v>556.50333333333333</v>
      </c>
      <c r="O27" s="34">
        <f>F27/12*G27</f>
        <v>556.50333333333333</v>
      </c>
      <c r="P27" s="34">
        <f>F27/12*G27</f>
        <v>556.50333333333333</v>
      </c>
      <c r="Q27" s="34">
        <f>F27/12*G27</f>
        <v>556.50333333333333</v>
      </c>
      <c r="R27" s="34">
        <f>F27/12*G27</f>
        <v>556.50333333333333</v>
      </c>
      <c r="S27" s="34">
        <f>F27/12*G27</f>
        <v>556.50333333333333</v>
      </c>
      <c r="T27" s="34">
        <f>F27/12*G27</f>
        <v>556.50333333333333</v>
      </c>
      <c r="U27" s="34">
        <f t="shared" si="5"/>
        <v>556.50333333333333</v>
      </c>
    </row>
    <row r="28" spans="1:21" ht="12.75" customHeight="1">
      <c r="A28" s="133" t="s">
        <v>149</v>
      </c>
      <c r="B28" s="10" t="s">
        <v>126</v>
      </c>
      <c r="C28" s="24" t="s">
        <v>33</v>
      </c>
      <c r="D28" s="10" t="s">
        <v>35</v>
      </c>
      <c r="E28" s="31"/>
      <c r="F28" s="32">
        <v>3</v>
      </c>
      <c r="G28" s="32">
        <v>238.07</v>
      </c>
      <c r="H28" s="33">
        <f t="shared" si="4"/>
        <v>0.71421000000000001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  <c r="O28" s="34">
        <v>0</v>
      </c>
      <c r="P28" s="34">
        <v>0</v>
      </c>
      <c r="Q28" s="34">
        <v>0</v>
      </c>
      <c r="R28" s="34">
        <v>0</v>
      </c>
      <c r="S28" s="34">
        <v>0</v>
      </c>
      <c r="T28" s="34">
        <v>0</v>
      </c>
      <c r="U28" s="34">
        <f t="shared" si="5"/>
        <v>0</v>
      </c>
    </row>
    <row r="29" spans="1:21" ht="12.75" customHeight="1">
      <c r="A29" s="133" t="s">
        <v>113</v>
      </c>
      <c r="B29" s="10" t="s">
        <v>129</v>
      </c>
      <c r="C29" s="24" t="s">
        <v>36</v>
      </c>
      <c r="D29" s="10" t="s">
        <v>35</v>
      </c>
      <c r="E29" s="31"/>
      <c r="F29" s="32">
        <v>2</v>
      </c>
      <c r="G29" s="32">
        <v>1413.96</v>
      </c>
      <c r="H29" s="33">
        <f t="shared" si="4"/>
        <v>2.8279200000000002</v>
      </c>
      <c r="I29" s="34">
        <v>0</v>
      </c>
      <c r="J29" s="34">
        <v>0</v>
      </c>
      <c r="K29" s="34">
        <v>0</v>
      </c>
      <c r="L29" s="34">
        <v>0</v>
      </c>
      <c r="M29" s="34">
        <v>0</v>
      </c>
      <c r="N29" s="34">
        <v>0</v>
      </c>
      <c r="O29" s="34">
        <v>0</v>
      </c>
      <c r="P29" s="34">
        <v>0</v>
      </c>
      <c r="Q29" s="34">
        <v>0</v>
      </c>
      <c r="R29" s="34">
        <v>0</v>
      </c>
      <c r="S29" s="34">
        <v>0</v>
      </c>
      <c r="T29" s="34">
        <v>0</v>
      </c>
      <c r="U29" s="34">
        <f t="shared" si="5"/>
        <v>0</v>
      </c>
    </row>
    <row r="30" spans="1:21">
      <c r="A30" s="133"/>
      <c r="B30" s="49" t="s">
        <v>37</v>
      </c>
      <c r="C30" s="24" t="s">
        <v>38</v>
      </c>
      <c r="D30" s="49" t="s">
        <v>39</v>
      </c>
      <c r="E30" s="31">
        <v>3216.2</v>
      </c>
      <c r="F30" s="32">
        <f>SUM(E30*12)</f>
        <v>38594.399999999994</v>
      </c>
      <c r="G30" s="32">
        <v>4.01</v>
      </c>
      <c r="H30" s="33">
        <f t="shared" si="4"/>
        <v>154.76354399999997</v>
      </c>
      <c r="I30" s="34">
        <f>F30/12*G30</f>
        <v>12896.961999999996</v>
      </c>
      <c r="J30" s="34">
        <f>F30/12*G30</f>
        <v>12896.961999999996</v>
      </c>
      <c r="K30" s="34">
        <f>F30/12*G30</f>
        <v>12896.961999999996</v>
      </c>
      <c r="L30" s="34">
        <f>F30/12*G30</f>
        <v>12896.961999999996</v>
      </c>
      <c r="M30" s="34">
        <f>F30/12*G30</f>
        <v>12896.961999999996</v>
      </c>
      <c r="N30" s="34">
        <f>F30/12*G30</f>
        <v>12896.961999999996</v>
      </c>
      <c r="O30" s="34">
        <f>F30/12*G30</f>
        <v>12896.961999999996</v>
      </c>
      <c r="P30" s="34">
        <f>F30/12*G30</f>
        <v>12896.961999999996</v>
      </c>
      <c r="Q30" s="34">
        <f>F30/12*G30</f>
        <v>12896.961999999996</v>
      </c>
      <c r="R30" s="34">
        <f>F30/12*G30</f>
        <v>12896.961999999996</v>
      </c>
      <c r="S30" s="34">
        <f>F30/12*G30</f>
        <v>12896.961999999996</v>
      </c>
      <c r="T30" s="34">
        <f>F30/12*G30</f>
        <v>12896.961999999996</v>
      </c>
      <c r="U30" s="34">
        <f t="shared" si="5"/>
        <v>12896.961999999996</v>
      </c>
    </row>
    <row r="31" spans="1:21" s="18" customFormat="1">
      <c r="A31" s="134"/>
      <c r="B31" s="19" t="s">
        <v>24</v>
      </c>
      <c r="C31" s="41"/>
      <c r="D31" s="19"/>
      <c r="E31" s="42"/>
      <c r="F31" s="43"/>
      <c r="G31" s="43"/>
      <c r="H31" s="50">
        <f>SUM(H23:H30)</f>
        <v>172.97976884866662</v>
      </c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>
        <f>SUM(U23:U30)</f>
        <v>13453.46533333333</v>
      </c>
    </row>
    <row r="32" spans="1:21">
      <c r="A32" s="133"/>
      <c r="B32" s="11" t="s">
        <v>40</v>
      </c>
      <c r="C32" s="24"/>
      <c r="D32" s="10"/>
      <c r="E32" s="31"/>
      <c r="F32" s="32"/>
      <c r="G32" s="32"/>
      <c r="H32" s="33" t="s">
        <v>39</v>
      </c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</row>
    <row r="33" spans="1:21" ht="12.75" customHeight="1">
      <c r="A33" s="133" t="s">
        <v>113</v>
      </c>
      <c r="B33" s="12" t="s">
        <v>41</v>
      </c>
      <c r="C33" s="24" t="s">
        <v>36</v>
      </c>
      <c r="D33" s="10"/>
      <c r="E33" s="31"/>
      <c r="F33" s="32">
        <v>3</v>
      </c>
      <c r="G33" s="32">
        <v>1900.37</v>
      </c>
      <c r="H33" s="33">
        <f t="shared" ref="H33:H39" si="6">SUM(F33*G33/1000)</f>
        <v>5.7011099999999999</v>
      </c>
      <c r="I33" s="34">
        <f>F33/6*G33</f>
        <v>950.18499999999995</v>
      </c>
      <c r="J33" s="34">
        <f>F33/6*G33</f>
        <v>950.18499999999995</v>
      </c>
      <c r="K33" s="34">
        <f>F33/6*G33</f>
        <v>950.18499999999995</v>
      </c>
      <c r="L33" s="34">
        <f>F33/6*G33</f>
        <v>950.18499999999995</v>
      </c>
      <c r="M33" s="34">
        <v>0</v>
      </c>
      <c r="N33" s="34">
        <v>0</v>
      </c>
      <c r="O33" s="34">
        <v>0</v>
      </c>
      <c r="P33" s="34">
        <v>0</v>
      </c>
      <c r="Q33" s="34">
        <v>0</v>
      </c>
      <c r="R33" s="34">
        <v>0</v>
      </c>
      <c r="S33" s="34">
        <f>F33/6*G33</f>
        <v>950.18499999999995</v>
      </c>
      <c r="T33" s="34">
        <f>F33/6*G33</f>
        <v>950.18499999999995</v>
      </c>
      <c r="U33" s="34">
        <f t="shared" ref="U33:U39" si="7">SUM(T33)</f>
        <v>950.18499999999995</v>
      </c>
    </row>
    <row r="34" spans="1:21">
      <c r="A34" s="135" t="s">
        <v>150</v>
      </c>
      <c r="B34" s="12" t="s">
        <v>96</v>
      </c>
      <c r="C34" s="52" t="s">
        <v>42</v>
      </c>
      <c r="D34" s="10" t="s">
        <v>95</v>
      </c>
      <c r="E34" s="31">
        <v>67.650000000000006</v>
      </c>
      <c r="F34" s="51">
        <f>E34*30/1000</f>
        <v>2.0295000000000001</v>
      </c>
      <c r="G34" s="32">
        <v>2616.4899999999998</v>
      </c>
      <c r="H34" s="33">
        <f>G34*F34/1000</f>
        <v>5.3101664549999992</v>
      </c>
      <c r="I34" s="34">
        <f>F34/6*G34</f>
        <v>885.02774249999993</v>
      </c>
      <c r="J34" s="34">
        <f>F34/6*G34</f>
        <v>885.02774249999993</v>
      </c>
      <c r="K34" s="34">
        <f>F34/6*G34</f>
        <v>885.02774249999993</v>
      </c>
      <c r="L34" s="34">
        <f>F34/6*G34</f>
        <v>885.02774249999993</v>
      </c>
      <c r="M34" s="34">
        <v>0</v>
      </c>
      <c r="N34" s="34">
        <v>0</v>
      </c>
      <c r="O34" s="34">
        <v>0</v>
      </c>
      <c r="P34" s="34">
        <v>0</v>
      </c>
      <c r="Q34" s="34">
        <v>0</v>
      </c>
      <c r="R34" s="34">
        <v>0</v>
      </c>
      <c r="S34" s="34">
        <f>F34/6*G34</f>
        <v>885.02774249999993</v>
      </c>
      <c r="T34" s="34">
        <f>F34/6*G34</f>
        <v>885.02774249999993</v>
      </c>
      <c r="U34" s="34">
        <f t="shared" si="7"/>
        <v>885.02774249999993</v>
      </c>
    </row>
    <row r="35" spans="1:21" ht="25.5">
      <c r="A35" s="135" t="s">
        <v>150</v>
      </c>
      <c r="B35" s="12" t="s">
        <v>130</v>
      </c>
      <c r="C35" s="52" t="s">
        <v>42</v>
      </c>
      <c r="D35" s="10" t="s">
        <v>43</v>
      </c>
      <c r="E35" s="31">
        <v>67.650000000000006</v>
      </c>
      <c r="F35" s="51">
        <f>E35*155/1000</f>
        <v>10.485749999999999</v>
      </c>
      <c r="G35" s="32">
        <v>436.45</v>
      </c>
      <c r="H35" s="33">
        <f>G35*F35/1000</f>
        <v>4.5765055874999998</v>
      </c>
      <c r="I35" s="34">
        <f>F35/6*G35</f>
        <v>762.75093125000001</v>
      </c>
      <c r="J35" s="34">
        <f>F35/6*G35</f>
        <v>762.75093125000001</v>
      </c>
      <c r="K35" s="34">
        <f>F35/6*G35</f>
        <v>762.75093125000001</v>
      </c>
      <c r="L35" s="34">
        <f>F35/6*G35</f>
        <v>762.75093125000001</v>
      </c>
      <c r="M35" s="34">
        <v>0</v>
      </c>
      <c r="N35" s="34">
        <v>0</v>
      </c>
      <c r="O35" s="34">
        <v>0</v>
      </c>
      <c r="P35" s="34">
        <v>0</v>
      </c>
      <c r="Q35" s="34">
        <v>0</v>
      </c>
      <c r="R35" s="34">
        <v>0</v>
      </c>
      <c r="S35" s="34">
        <f>F35/6*G35</f>
        <v>762.75093125000001</v>
      </c>
      <c r="T35" s="34">
        <f>F35/6*G35</f>
        <v>762.75093125000001</v>
      </c>
      <c r="U35" s="34">
        <f t="shared" si="7"/>
        <v>762.75093125000001</v>
      </c>
    </row>
    <row r="36" spans="1:21">
      <c r="A36" s="133" t="s">
        <v>113</v>
      </c>
      <c r="B36" s="10" t="s">
        <v>94</v>
      </c>
      <c r="C36" s="24" t="s">
        <v>59</v>
      </c>
      <c r="D36" s="10" t="s">
        <v>35</v>
      </c>
      <c r="E36" s="31"/>
      <c r="F36" s="51">
        <v>64</v>
      </c>
      <c r="G36" s="32">
        <v>226.84</v>
      </c>
      <c r="H36" s="33">
        <f>G36*F36/1000</f>
        <v>14.517760000000001</v>
      </c>
      <c r="I36" s="34">
        <v>0</v>
      </c>
      <c r="J36" s="34">
        <v>0</v>
      </c>
      <c r="K36" s="34">
        <v>0</v>
      </c>
      <c r="L36" s="34">
        <f>G36*26</f>
        <v>5897.84</v>
      </c>
      <c r="M36" s="34">
        <v>0</v>
      </c>
      <c r="N36" s="34">
        <v>0</v>
      </c>
      <c r="O36" s="34">
        <v>0</v>
      </c>
      <c r="P36" s="34">
        <v>0</v>
      </c>
      <c r="Q36" s="34">
        <v>0</v>
      </c>
      <c r="R36" s="34">
        <v>0</v>
      </c>
      <c r="S36" s="34">
        <v>0</v>
      </c>
      <c r="T36" s="34">
        <v>0</v>
      </c>
      <c r="U36" s="34">
        <f t="shared" si="7"/>
        <v>0</v>
      </c>
    </row>
    <row r="37" spans="1:21" ht="51" customHeight="1">
      <c r="A37" s="133" t="s">
        <v>151</v>
      </c>
      <c r="B37" s="10" t="s">
        <v>131</v>
      </c>
      <c r="C37" s="24" t="s">
        <v>42</v>
      </c>
      <c r="D37" s="10" t="s">
        <v>179</v>
      </c>
      <c r="E37" s="32">
        <v>67.650000000000006</v>
      </c>
      <c r="F37" s="51">
        <f>SUM(E37*35/1000)</f>
        <v>2.36775</v>
      </c>
      <c r="G37" s="32">
        <v>7221.21</v>
      </c>
      <c r="H37" s="33">
        <f t="shared" si="6"/>
        <v>17.098019977500002</v>
      </c>
      <c r="I37" s="34">
        <f>F37/6*G37</f>
        <v>2849.6699962500002</v>
      </c>
      <c r="J37" s="34">
        <f>F37/6*G37</f>
        <v>2849.6699962500002</v>
      </c>
      <c r="K37" s="34">
        <f>F37/6*G37</f>
        <v>2849.6699962500002</v>
      </c>
      <c r="L37" s="34">
        <f>F37/6*G37</f>
        <v>2849.6699962500002</v>
      </c>
      <c r="M37" s="34">
        <v>0</v>
      </c>
      <c r="N37" s="34">
        <v>0</v>
      </c>
      <c r="O37" s="34">
        <v>0</v>
      </c>
      <c r="P37" s="34">
        <v>0</v>
      </c>
      <c r="Q37" s="34">
        <v>0</v>
      </c>
      <c r="R37" s="34">
        <v>0</v>
      </c>
      <c r="S37" s="34">
        <f>F37/6*G37</f>
        <v>2849.6699962500002</v>
      </c>
      <c r="T37" s="34">
        <f>F37/6*G37</f>
        <v>2849.6699962500002</v>
      </c>
      <c r="U37" s="34">
        <f t="shared" si="7"/>
        <v>2849.6699962500002</v>
      </c>
    </row>
    <row r="38" spans="1:21" ht="12.75" customHeight="1">
      <c r="A38" s="133" t="s">
        <v>152</v>
      </c>
      <c r="B38" s="10" t="s">
        <v>132</v>
      </c>
      <c r="C38" s="24" t="s">
        <v>26</v>
      </c>
      <c r="D38" s="10" t="s">
        <v>180</v>
      </c>
      <c r="E38" s="32">
        <v>67.650000000000006</v>
      </c>
      <c r="F38" s="51">
        <f>SUM(E38*20/1000)</f>
        <v>1.353</v>
      </c>
      <c r="G38" s="32">
        <v>533.45000000000005</v>
      </c>
      <c r="H38" s="33">
        <f t="shared" si="6"/>
        <v>0.72175785000000003</v>
      </c>
      <c r="I38" s="34">
        <f>F38/6*G38</f>
        <v>120.29297500000001</v>
      </c>
      <c r="J38" s="34">
        <f>F38/6*G38</f>
        <v>120.29297500000001</v>
      </c>
      <c r="K38" s="34">
        <f>F38/6*G38</f>
        <v>120.29297500000001</v>
      </c>
      <c r="L38" s="34">
        <f>F38/6*G38</f>
        <v>120.29297500000001</v>
      </c>
      <c r="M38" s="34">
        <v>0</v>
      </c>
      <c r="N38" s="34">
        <v>0</v>
      </c>
      <c r="O38" s="34">
        <v>0</v>
      </c>
      <c r="P38" s="34">
        <v>0</v>
      </c>
      <c r="Q38" s="34">
        <v>0</v>
      </c>
      <c r="R38" s="34">
        <v>0</v>
      </c>
      <c r="S38" s="34">
        <f>F38/6*G38</f>
        <v>120.29297500000001</v>
      </c>
      <c r="T38" s="34">
        <f>F38/6*G38</f>
        <v>120.29297500000001</v>
      </c>
      <c r="U38" s="34">
        <f t="shared" si="7"/>
        <v>120.29297500000001</v>
      </c>
    </row>
    <row r="39" spans="1:21" s="1" customFormat="1">
      <c r="A39" s="135"/>
      <c r="B39" s="12" t="s">
        <v>133</v>
      </c>
      <c r="C39" s="52" t="s">
        <v>33</v>
      </c>
      <c r="D39" s="12"/>
      <c r="E39" s="48"/>
      <c r="F39" s="51">
        <v>0.8</v>
      </c>
      <c r="G39" s="51">
        <v>992.97</v>
      </c>
      <c r="H39" s="33">
        <f t="shared" si="6"/>
        <v>0.79437600000000008</v>
      </c>
      <c r="I39" s="53">
        <f>F39/6*G39</f>
        <v>132.39600000000002</v>
      </c>
      <c r="J39" s="53">
        <f>F39/6*G39</f>
        <v>132.39600000000002</v>
      </c>
      <c r="K39" s="53">
        <f>F39/6*G39</f>
        <v>132.39600000000002</v>
      </c>
      <c r="L39" s="53">
        <f>F39/6*G39</f>
        <v>132.39600000000002</v>
      </c>
      <c r="M39" s="53">
        <v>0</v>
      </c>
      <c r="N39" s="53">
        <v>0</v>
      </c>
      <c r="O39" s="53">
        <v>0</v>
      </c>
      <c r="P39" s="53">
        <v>0</v>
      </c>
      <c r="Q39" s="53">
        <v>0</v>
      </c>
      <c r="R39" s="53">
        <v>0</v>
      </c>
      <c r="S39" s="53">
        <f>F39/6*G39</f>
        <v>132.39600000000002</v>
      </c>
      <c r="T39" s="53">
        <f>F39/6*G39</f>
        <v>132.39600000000002</v>
      </c>
      <c r="U39" s="34">
        <f t="shared" si="7"/>
        <v>132.39600000000002</v>
      </c>
    </row>
    <row r="40" spans="1:21" s="18" customFormat="1">
      <c r="A40" s="134"/>
      <c r="B40" s="19" t="s">
        <v>24</v>
      </c>
      <c r="C40" s="41"/>
      <c r="D40" s="19"/>
      <c r="E40" s="42"/>
      <c r="F40" s="43" t="s">
        <v>39</v>
      </c>
      <c r="G40" s="43"/>
      <c r="H40" s="50">
        <f>SUM(H33:H39)</f>
        <v>48.719695870000002</v>
      </c>
      <c r="I40" s="45"/>
      <c r="J40" s="45"/>
      <c r="K40" s="45"/>
      <c r="L40" s="45"/>
      <c r="M40" s="45"/>
      <c r="N40" s="45"/>
      <c r="O40" s="45"/>
      <c r="P40" s="45"/>
      <c r="Q40" s="45"/>
      <c r="R40" s="45"/>
      <c r="S40" s="45"/>
      <c r="T40" s="45"/>
      <c r="U40" s="45">
        <f>SUM(U33:U39)</f>
        <v>5700.3226450000002</v>
      </c>
    </row>
    <row r="41" spans="1:21">
      <c r="A41" s="133"/>
      <c r="B41" s="13" t="s">
        <v>44</v>
      </c>
      <c r="C41" s="24"/>
      <c r="D41" s="10"/>
      <c r="E41" s="31"/>
      <c r="F41" s="32"/>
      <c r="G41" s="32"/>
      <c r="H41" s="33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</row>
    <row r="42" spans="1:21">
      <c r="A42" s="133" t="s">
        <v>153</v>
      </c>
      <c r="B42" s="10" t="s">
        <v>100</v>
      </c>
      <c r="C42" s="24" t="s">
        <v>26</v>
      </c>
      <c r="D42" s="10" t="s">
        <v>45</v>
      </c>
      <c r="E42" s="31">
        <v>1114.75</v>
      </c>
      <c r="F42" s="32">
        <f>SUM(E42*2/1000)</f>
        <v>2.2294999999999998</v>
      </c>
      <c r="G42" s="54">
        <v>1283.46</v>
      </c>
      <c r="H42" s="33">
        <f t="shared" ref="H42:H50" si="8">SUM(F42*G42/1000)</f>
        <v>2.8614740699999999</v>
      </c>
      <c r="I42" s="34">
        <v>0</v>
      </c>
      <c r="J42" s="34">
        <v>0</v>
      </c>
      <c r="K42" s="34">
        <v>0</v>
      </c>
      <c r="L42" s="34">
        <v>0</v>
      </c>
      <c r="M42" s="34">
        <f>F42/2*G42</f>
        <v>1430.7370349999999</v>
      </c>
      <c r="N42" s="34">
        <v>0</v>
      </c>
      <c r="O42" s="34">
        <v>0</v>
      </c>
      <c r="P42" s="34">
        <v>0</v>
      </c>
      <c r="Q42" s="34">
        <f>F42/2*G42</f>
        <v>1430.7370349999999</v>
      </c>
      <c r="R42" s="34">
        <v>0</v>
      </c>
      <c r="S42" s="34">
        <v>0</v>
      </c>
      <c r="T42" s="34">
        <v>0</v>
      </c>
      <c r="U42" s="34">
        <f t="shared" ref="U42:U50" si="9">SUM(T42)</f>
        <v>0</v>
      </c>
    </row>
    <row r="43" spans="1:21" ht="12.75" customHeight="1">
      <c r="A43" s="133" t="s">
        <v>154</v>
      </c>
      <c r="B43" s="10" t="s">
        <v>46</v>
      </c>
      <c r="C43" s="24" t="s">
        <v>26</v>
      </c>
      <c r="D43" s="10" t="s">
        <v>45</v>
      </c>
      <c r="E43" s="31">
        <v>1563.3</v>
      </c>
      <c r="F43" s="32">
        <f>SUM(E43*2/1000)</f>
        <v>3.1265999999999998</v>
      </c>
      <c r="G43" s="54">
        <v>1711.28</v>
      </c>
      <c r="H43" s="33">
        <f t="shared" si="8"/>
        <v>5.350488047999999</v>
      </c>
      <c r="I43" s="34">
        <v>0</v>
      </c>
      <c r="J43" s="34">
        <v>0</v>
      </c>
      <c r="K43" s="34">
        <v>0</v>
      </c>
      <c r="L43" s="34">
        <v>0</v>
      </c>
      <c r="M43" s="34">
        <f t="shared" ref="M43:M45" si="10">F43/2*G43</f>
        <v>2675.2440239999996</v>
      </c>
      <c r="N43" s="34">
        <v>0</v>
      </c>
      <c r="O43" s="34">
        <v>0</v>
      </c>
      <c r="P43" s="34">
        <v>0</v>
      </c>
      <c r="Q43" s="34">
        <f>F43/2*G43</f>
        <v>2675.2440239999996</v>
      </c>
      <c r="R43" s="34">
        <v>0</v>
      </c>
      <c r="S43" s="34">
        <v>0</v>
      </c>
      <c r="T43" s="34">
        <v>0</v>
      </c>
      <c r="U43" s="34">
        <f t="shared" si="9"/>
        <v>0</v>
      </c>
    </row>
    <row r="44" spans="1:21">
      <c r="A44" s="133" t="s">
        <v>155</v>
      </c>
      <c r="B44" s="10" t="s">
        <v>47</v>
      </c>
      <c r="C44" s="24" t="s">
        <v>26</v>
      </c>
      <c r="D44" s="10" t="s">
        <v>45</v>
      </c>
      <c r="E44" s="31">
        <v>1619.6</v>
      </c>
      <c r="F44" s="32">
        <f>SUM(E44*2/1000)</f>
        <v>3.2391999999999999</v>
      </c>
      <c r="G44" s="54">
        <v>1179.73</v>
      </c>
      <c r="H44" s="33">
        <f t="shared" si="8"/>
        <v>3.8213814159999999</v>
      </c>
      <c r="I44" s="34">
        <v>0</v>
      </c>
      <c r="J44" s="34">
        <v>0</v>
      </c>
      <c r="K44" s="34">
        <v>0</v>
      </c>
      <c r="L44" s="34">
        <v>0</v>
      </c>
      <c r="M44" s="34">
        <f t="shared" si="10"/>
        <v>1910.6907079999999</v>
      </c>
      <c r="N44" s="34">
        <v>0</v>
      </c>
      <c r="O44" s="34">
        <v>0</v>
      </c>
      <c r="P44" s="34">
        <v>0</v>
      </c>
      <c r="Q44" s="34">
        <f>F44/2*G44</f>
        <v>1910.6907079999999</v>
      </c>
      <c r="R44" s="34">
        <v>0</v>
      </c>
      <c r="S44" s="34">
        <v>0</v>
      </c>
      <c r="T44" s="34">
        <v>0</v>
      </c>
      <c r="U44" s="34">
        <f t="shared" si="9"/>
        <v>0</v>
      </c>
    </row>
    <row r="45" spans="1:21">
      <c r="A45" s="133" t="s">
        <v>156</v>
      </c>
      <c r="B45" s="10" t="s">
        <v>99</v>
      </c>
      <c r="C45" s="24" t="s">
        <v>134</v>
      </c>
      <c r="D45" s="10" t="s">
        <v>45</v>
      </c>
      <c r="E45" s="31">
        <v>85.84</v>
      </c>
      <c r="F45" s="32">
        <f>SUM(E45*2/100)</f>
        <v>1.7168000000000001</v>
      </c>
      <c r="G45" s="54">
        <v>90.61</v>
      </c>
      <c r="H45" s="33">
        <f t="shared" ref="H45" si="11">SUM(F45*G45/1000)</f>
        <v>0.15555924799999998</v>
      </c>
      <c r="I45" s="34">
        <v>0</v>
      </c>
      <c r="J45" s="34">
        <v>0</v>
      </c>
      <c r="K45" s="34">
        <v>0</v>
      </c>
      <c r="L45" s="34">
        <v>0</v>
      </c>
      <c r="M45" s="34">
        <f t="shared" si="10"/>
        <v>77.779623999999998</v>
      </c>
      <c r="N45" s="34">
        <v>0</v>
      </c>
      <c r="O45" s="34">
        <v>0</v>
      </c>
      <c r="P45" s="34">
        <v>0</v>
      </c>
      <c r="Q45" s="34">
        <f>F45/2*G45</f>
        <v>77.779623999999998</v>
      </c>
      <c r="R45" s="34">
        <v>0</v>
      </c>
      <c r="S45" s="34">
        <v>0</v>
      </c>
      <c r="T45" s="34">
        <v>0</v>
      </c>
      <c r="U45" s="34">
        <f t="shared" si="9"/>
        <v>0</v>
      </c>
    </row>
    <row r="46" spans="1:21" ht="25.5">
      <c r="A46" s="133" t="s">
        <v>157</v>
      </c>
      <c r="B46" s="10" t="s">
        <v>48</v>
      </c>
      <c r="C46" s="24" t="s">
        <v>26</v>
      </c>
      <c r="D46" s="10" t="s">
        <v>181</v>
      </c>
      <c r="E46" s="31">
        <v>3216.2</v>
      </c>
      <c r="F46" s="32">
        <f>SUM(E46*5/1000)</f>
        <v>16.081</v>
      </c>
      <c r="G46" s="54">
        <v>1711.28</v>
      </c>
      <c r="H46" s="33">
        <f t="shared" si="8"/>
        <v>27.519093679999997</v>
      </c>
      <c r="I46" s="34">
        <f>F46/5*G46</f>
        <v>5503.8187359999993</v>
      </c>
      <c r="J46" s="34">
        <f>F46/5*G46</f>
        <v>5503.8187359999993</v>
      </c>
      <c r="K46" s="34">
        <v>0</v>
      </c>
      <c r="L46" s="34">
        <v>0</v>
      </c>
      <c r="M46" s="34">
        <f>F46/5*G46</f>
        <v>5503.8187359999993</v>
      </c>
      <c r="N46" s="34">
        <v>0</v>
      </c>
      <c r="O46" s="34">
        <v>0</v>
      </c>
      <c r="P46" s="34">
        <v>0</v>
      </c>
      <c r="Q46" s="34">
        <f>F46/5*G46</f>
        <v>5503.8187359999993</v>
      </c>
      <c r="R46" s="34">
        <v>0</v>
      </c>
      <c r="S46" s="34">
        <v>0</v>
      </c>
      <c r="T46" s="34">
        <f>F46/5*G46</f>
        <v>5503.8187359999993</v>
      </c>
      <c r="U46" s="34">
        <f t="shared" si="9"/>
        <v>5503.8187359999993</v>
      </c>
    </row>
    <row r="47" spans="1:21" ht="38.25" customHeight="1">
      <c r="A47" s="133" t="s">
        <v>158</v>
      </c>
      <c r="B47" s="10" t="s">
        <v>49</v>
      </c>
      <c r="C47" s="24" t="s">
        <v>26</v>
      </c>
      <c r="D47" s="10" t="s">
        <v>45</v>
      </c>
      <c r="E47" s="31">
        <v>3216.2</v>
      </c>
      <c r="F47" s="32">
        <f>SUM(E47*2/1000)</f>
        <v>6.4323999999999995</v>
      </c>
      <c r="G47" s="54">
        <v>1510.06</v>
      </c>
      <c r="H47" s="33">
        <f t="shared" si="8"/>
        <v>9.7133099439999988</v>
      </c>
      <c r="I47" s="34">
        <v>0</v>
      </c>
      <c r="J47" s="34">
        <v>0</v>
      </c>
      <c r="K47" s="129">
        <f>F47/2*G47</f>
        <v>4856.6549719999994</v>
      </c>
      <c r="L47" s="34">
        <v>0</v>
      </c>
      <c r="M47" s="34">
        <v>0</v>
      </c>
      <c r="N47" s="34">
        <v>0</v>
      </c>
      <c r="O47" s="34">
        <v>0</v>
      </c>
      <c r="P47" s="34">
        <v>0</v>
      </c>
      <c r="Q47" s="129">
        <f>F47/2*G47</f>
        <v>4856.6549719999994</v>
      </c>
      <c r="R47" s="34">
        <v>0</v>
      </c>
      <c r="S47" s="34">
        <v>0</v>
      </c>
      <c r="T47" s="34">
        <v>0</v>
      </c>
      <c r="U47" s="34">
        <f t="shared" si="9"/>
        <v>0</v>
      </c>
    </row>
    <row r="48" spans="1:21" ht="25.5" customHeight="1">
      <c r="A48" s="133" t="s">
        <v>159</v>
      </c>
      <c r="B48" s="10" t="s">
        <v>50</v>
      </c>
      <c r="C48" s="24" t="s">
        <v>51</v>
      </c>
      <c r="D48" s="10" t="s">
        <v>45</v>
      </c>
      <c r="E48" s="31">
        <v>16</v>
      </c>
      <c r="F48" s="32">
        <f>SUM(E48*2/100)</f>
        <v>0.32</v>
      </c>
      <c r="G48" s="54">
        <v>3850.4</v>
      </c>
      <c r="H48" s="33">
        <f t="shared" si="8"/>
        <v>1.2321280000000001</v>
      </c>
      <c r="I48" s="34">
        <v>0</v>
      </c>
      <c r="J48" s="34">
        <v>0</v>
      </c>
      <c r="K48" s="129">
        <f>F48/2*G48</f>
        <v>616.06400000000008</v>
      </c>
      <c r="L48" s="34">
        <v>0</v>
      </c>
      <c r="M48" s="34">
        <v>0</v>
      </c>
      <c r="N48" s="34">
        <v>0</v>
      </c>
      <c r="O48" s="34">
        <v>0</v>
      </c>
      <c r="P48" s="34">
        <v>0</v>
      </c>
      <c r="Q48" s="129">
        <f>F48/2*G48</f>
        <v>616.06400000000008</v>
      </c>
      <c r="R48" s="34">
        <v>0</v>
      </c>
      <c r="S48" s="34">
        <v>0</v>
      </c>
      <c r="T48" s="34">
        <v>0</v>
      </c>
      <c r="U48" s="34">
        <f t="shared" si="9"/>
        <v>0</v>
      </c>
    </row>
    <row r="49" spans="1:21">
      <c r="A49" s="133" t="s">
        <v>160</v>
      </c>
      <c r="B49" s="10" t="s">
        <v>52</v>
      </c>
      <c r="C49" s="24" t="s">
        <v>53</v>
      </c>
      <c r="D49" s="10" t="s">
        <v>45</v>
      </c>
      <c r="E49" s="31">
        <v>1</v>
      </c>
      <c r="F49" s="32">
        <v>0.02</v>
      </c>
      <c r="G49" s="54">
        <v>7033.13</v>
      </c>
      <c r="H49" s="33">
        <f t="shared" si="8"/>
        <v>0.1406626</v>
      </c>
      <c r="I49" s="34">
        <v>0</v>
      </c>
      <c r="J49" s="129">
        <f>F49/2*G49</f>
        <v>70.331299999999999</v>
      </c>
      <c r="K49" s="34">
        <v>0</v>
      </c>
      <c r="L49" s="34">
        <v>0</v>
      </c>
      <c r="M49" s="34">
        <v>0</v>
      </c>
      <c r="N49" s="34">
        <v>0</v>
      </c>
      <c r="O49" s="34">
        <v>0</v>
      </c>
      <c r="P49" s="34">
        <v>0</v>
      </c>
      <c r="Q49" s="129">
        <f>F49/2*G49</f>
        <v>70.331299999999999</v>
      </c>
      <c r="R49" s="34">
        <v>0</v>
      </c>
      <c r="S49" s="34">
        <v>0</v>
      </c>
      <c r="T49" s="34">
        <v>0</v>
      </c>
      <c r="U49" s="34">
        <f t="shared" si="9"/>
        <v>0</v>
      </c>
    </row>
    <row r="50" spans="1:21" ht="13.5" customHeight="1">
      <c r="A50" s="133" t="s">
        <v>55</v>
      </c>
      <c r="B50" s="10" t="s">
        <v>56</v>
      </c>
      <c r="C50" s="24" t="s">
        <v>54</v>
      </c>
      <c r="D50" s="10" t="s">
        <v>112</v>
      </c>
      <c r="E50" s="31">
        <v>128</v>
      </c>
      <c r="F50" s="32">
        <f>SUM(E50)*3</f>
        <v>384</v>
      </c>
      <c r="G50" s="55">
        <v>81.73</v>
      </c>
      <c r="H50" s="33">
        <f t="shared" si="8"/>
        <v>31.384319999999999</v>
      </c>
      <c r="I50" s="34">
        <f>G50*E50</f>
        <v>10461.44</v>
      </c>
      <c r="J50" s="34">
        <v>0</v>
      </c>
      <c r="K50" s="34">
        <v>0</v>
      </c>
      <c r="L50" s="34">
        <f>I50</f>
        <v>10461.44</v>
      </c>
      <c r="M50" s="34">
        <v>0</v>
      </c>
      <c r="N50" s="34">
        <v>0</v>
      </c>
      <c r="O50" s="34">
        <v>0</v>
      </c>
      <c r="P50" s="34">
        <f>E50*G50</f>
        <v>10461.44</v>
      </c>
      <c r="Q50" s="34">
        <v>0</v>
      </c>
      <c r="R50" s="34">
        <v>0</v>
      </c>
      <c r="S50" s="34">
        <v>0</v>
      </c>
      <c r="T50" s="34">
        <v>0</v>
      </c>
      <c r="U50" s="34">
        <f t="shared" si="9"/>
        <v>0</v>
      </c>
    </row>
    <row r="51" spans="1:21" s="20" customFormat="1">
      <c r="A51" s="134"/>
      <c r="B51" s="19" t="s">
        <v>24</v>
      </c>
      <c r="C51" s="56"/>
      <c r="D51" s="19"/>
      <c r="E51" s="57"/>
      <c r="F51" s="58"/>
      <c r="G51" s="58"/>
      <c r="H51" s="50">
        <f>SUM(H42:H50)</f>
        <v>82.178417006000004</v>
      </c>
      <c r="I51" s="59"/>
      <c r="J51" s="59"/>
      <c r="K51" s="59"/>
      <c r="L51" s="59"/>
      <c r="M51" s="59"/>
      <c r="N51" s="59"/>
      <c r="O51" s="59"/>
      <c r="P51" s="59"/>
      <c r="Q51" s="59"/>
      <c r="R51" s="59"/>
      <c r="S51" s="59"/>
      <c r="T51" s="59"/>
      <c r="U51" s="59">
        <f>SUM(U42:U50)</f>
        <v>5503.8187359999993</v>
      </c>
    </row>
    <row r="52" spans="1:21">
      <c r="A52" s="133"/>
      <c r="B52" s="11" t="s">
        <v>57</v>
      </c>
      <c r="C52" s="24"/>
      <c r="D52" s="10"/>
      <c r="E52" s="31"/>
      <c r="F52" s="32"/>
      <c r="G52" s="32"/>
      <c r="H52" s="33"/>
      <c r="I52" s="34"/>
      <c r="J52" s="34"/>
      <c r="K52" s="34"/>
      <c r="L52" s="34"/>
      <c r="M52" s="34"/>
      <c r="N52" s="34"/>
      <c r="O52" s="34"/>
      <c r="P52" s="34"/>
      <c r="Q52" s="34"/>
      <c r="R52" s="34"/>
      <c r="S52" s="34"/>
      <c r="T52" s="34"/>
      <c r="U52" s="34"/>
    </row>
    <row r="53" spans="1:21" ht="38.25" customHeight="1">
      <c r="A53" s="133" t="s">
        <v>161</v>
      </c>
      <c r="B53" s="10" t="s">
        <v>128</v>
      </c>
      <c r="C53" s="24" t="s">
        <v>13</v>
      </c>
      <c r="D53" s="10" t="s">
        <v>58</v>
      </c>
      <c r="E53" s="31">
        <v>123.31</v>
      </c>
      <c r="F53" s="32">
        <f>SUM(E53*6/100)</f>
        <v>7.3986000000000001</v>
      </c>
      <c r="G53" s="54">
        <v>2306.62</v>
      </c>
      <c r="H53" s="33">
        <f>SUM(F53*G53/1000)</f>
        <v>17.065758731999999</v>
      </c>
      <c r="I53" s="34">
        <f>F53/6*G53</f>
        <v>2844.293122</v>
      </c>
      <c r="J53" s="34">
        <f>F53/6*G53</f>
        <v>2844.293122</v>
      </c>
      <c r="K53" s="34">
        <f>F53/6*G53</f>
        <v>2844.293122</v>
      </c>
      <c r="L53" s="34">
        <f>F53/6*G53</f>
        <v>2844.293122</v>
      </c>
      <c r="M53" s="34">
        <v>0</v>
      </c>
      <c r="N53" s="34">
        <v>0</v>
      </c>
      <c r="O53" s="34">
        <v>0</v>
      </c>
      <c r="P53" s="34">
        <v>0</v>
      </c>
      <c r="Q53" s="34">
        <v>0</v>
      </c>
      <c r="R53" s="34">
        <v>0</v>
      </c>
      <c r="S53" s="34">
        <f>F53/6*G53</f>
        <v>2844.293122</v>
      </c>
      <c r="T53" s="34">
        <f>F53/6*G53</f>
        <v>2844.293122</v>
      </c>
      <c r="U53" s="34">
        <f t="shared" ref="U53:U79" si="12">SUM(T53)</f>
        <v>2844.293122</v>
      </c>
    </row>
    <row r="54" spans="1:21" ht="12.75" customHeight="1">
      <c r="A54" s="136" t="s">
        <v>113</v>
      </c>
      <c r="B54" s="21" t="s">
        <v>182</v>
      </c>
      <c r="C54" s="60" t="s">
        <v>183</v>
      </c>
      <c r="D54" s="21" t="s">
        <v>35</v>
      </c>
      <c r="E54" s="61"/>
      <c r="F54" s="62">
        <v>3</v>
      </c>
      <c r="G54" s="54">
        <v>1501</v>
      </c>
      <c r="H54" s="33">
        <f>SUM(F54*G54/1000)</f>
        <v>4.5030000000000001</v>
      </c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>
        <v>0</v>
      </c>
      <c r="U54" s="34">
        <f t="shared" si="12"/>
        <v>0</v>
      </c>
    </row>
    <row r="55" spans="1:21" ht="12.75" customHeight="1">
      <c r="A55" s="136"/>
      <c r="B55" s="22" t="s">
        <v>184</v>
      </c>
      <c r="C55" s="60"/>
      <c r="D55" s="21"/>
      <c r="E55" s="61"/>
      <c r="F55" s="62"/>
      <c r="G55" s="54"/>
      <c r="H55" s="63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</row>
    <row r="56" spans="1:21" ht="12.75" customHeight="1">
      <c r="A56" s="136" t="s">
        <v>162</v>
      </c>
      <c r="B56" s="21" t="s">
        <v>97</v>
      </c>
      <c r="C56" s="60" t="s">
        <v>21</v>
      </c>
      <c r="D56" s="21" t="s">
        <v>28</v>
      </c>
      <c r="E56" s="61">
        <v>451</v>
      </c>
      <c r="F56" s="62">
        <v>8.9</v>
      </c>
      <c r="G56" s="54">
        <v>987.51</v>
      </c>
      <c r="H56" s="63">
        <f>F56*G56/1000</f>
        <v>8.7888389999999994</v>
      </c>
      <c r="I56" s="34">
        <v>0</v>
      </c>
      <c r="J56" s="34">
        <v>0</v>
      </c>
      <c r="K56" s="34">
        <v>0</v>
      </c>
      <c r="L56" s="34">
        <v>0</v>
      </c>
      <c r="M56" s="34">
        <v>0</v>
      </c>
      <c r="N56" s="34">
        <v>0</v>
      </c>
      <c r="O56" s="34">
        <v>0</v>
      </c>
      <c r="P56" s="34">
        <v>0</v>
      </c>
      <c r="Q56" s="34">
        <v>0</v>
      </c>
      <c r="R56" s="34">
        <v>0</v>
      </c>
      <c r="S56" s="34">
        <v>0</v>
      </c>
      <c r="T56" s="34">
        <v>0</v>
      </c>
      <c r="U56" s="34">
        <f t="shared" si="12"/>
        <v>0</v>
      </c>
    </row>
    <row r="57" spans="1:21">
      <c r="A57" s="136"/>
      <c r="B57" s="14" t="s">
        <v>60</v>
      </c>
      <c r="C57" s="60"/>
      <c r="D57" s="21"/>
      <c r="E57" s="61"/>
      <c r="F57" s="64"/>
      <c r="G57" s="64"/>
      <c r="H57" s="62" t="s">
        <v>39</v>
      </c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</row>
    <row r="58" spans="1:21" ht="12.75" customHeight="1">
      <c r="A58" s="65" t="s">
        <v>163</v>
      </c>
      <c r="B58" s="15" t="s">
        <v>61</v>
      </c>
      <c r="C58" s="65" t="s">
        <v>54</v>
      </c>
      <c r="D58" s="8" t="s">
        <v>35</v>
      </c>
      <c r="E58" s="38">
        <v>10</v>
      </c>
      <c r="F58" s="32">
        <f>E58</f>
        <v>10</v>
      </c>
      <c r="G58" s="54">
        <v>276.74</v>
      </c>
      <c r="H58" s="125">
        <f t="shared" ref="H58:H74" si="13">SUM(F58*G58/1000)</f>
        <v>2.7674000000000003</v>
      </c>
      <c r="I58" s="34">
        <v>0</v>
      </c>
      <c r="J58" s="34">
        <f>G58</f>
        <v>276.74</v>
      </c>
      <c r="K58" s="34">
        <v>0</v>
      </c>
      <c r="L58" s="34">
        <v>0</v>
      </c>
      <c r="M58" s="34">
        <v>0</v>
      </c>
      <c r="N58" s="34">
        <v>0</v>
      </c>
      <c r="O58" s="34">
        <v>0</v>
      </c>
      <c r="P58" s="34">
        <v>0</v>
      </c>
      <c r="Q58" s="34">
        <v>0</v>
      </c>
      <c r="R58" s="34">
        <f>G58*3</f>
        <v>830.22</v>
      </c>
      <c r="S58" s="34">
        <v>0</v>
      </c>
      <c r="T58" s="34">
        <v>0</v>
      </c>
      <c r="U58" s="34">
        <f t="shared" si="12"/>
        <v>0</v>
      </c>
    </row>
    <row r="59" spans="1:21" ht="12.75" customHeight="1">
      <c r="A59" s="65" t="s">
        <v>164</v>
      </c>
      <c r="B59" s="15" t="s">
        <v>62</v>
      </c>
      <c r="C59" s="65" t="s">
        <v>54</v>
      </c>
      <c r="D59" s="8" t="s">
        <v>35</v>
      </c>
      <c r="E59" s="38">
        <v>10</v>
      </c>
      <c r="F59" s="32">
        <f>E59</f>
        <v>10</v>
      </c>
      <c r="G59" s="54">
        <v>94.89</v>
      </c>
      <c r="H59" s="125">
        <f t="shared" si="13"/>
        <v>0.94889999999999997</v>
      </c>
      <c r="I59" s="34">
        <v>0</v>
      </c>
      <c r="J59" s="34">
        <f>G59*5</f>
        <v>474.45</v>
      </c>
      <c r="K59" s="34">
        <v>0</v>
      </c>
      <c r="L59" s="34">
        <v>0</v>
      </c>
      <c r="M59" s="34">
        <v>0</v>
      </c>
      <c r="N59" s="34">
        <v>0</v>
      </c>
      <c r="O59" s="34">
        <v>0</v>
      </c>
      <c r="P59" s="34">
        <v>0</v>
      </c>
      <c r="Q59" s="34">
        <v>0</v>
      </c>
      <c r="R59" s="34">
        <v>0</v>
      </c>
      <c r="S59" s="34">
        <v>0</v>
      </c>
      <c r="T59" s="34">
        <v>0</v>
      </c>
      <c r="U59" s="34">
        <f t="shared" si="12"/>
        <v>0</v>
      </c>
    </row>
    <row r="60" spans="1:21" s="1" customFormat="1">
      <c r="A60" s="66" t="s">
        <v>165</v>
      </c>
      <c r="B60" s="15" t="s">
        <v>63</v>
      </c>
      <c r="C60" s="66" t="s">
        <v>64</v>
      </c>
      <c r="D60" s="8" t="s">
        <v>28</v>
      </c>
      <c r="E60" s="31">
        <v>13447</v>
      </c>
      <c r="F60" s="55">
        <f>SUM(E60/100)</f>
        <v>134.47</v>
      </c>
      <c r="G60" s="54">
        <v>263.99</v>
      </c>
      <c r="H60" s="125">
        <f t="shared" si="13"/>
        <v>35.4987353</v>
      </c>
      <c r="I60" s="53">
        <v>0</v>
      </c>
      <c r="J60" s="53">
        <v>0</v>
      </c>
      <c r="K60" s="53">
        <v>0</v>
      </c>
      <c r="L60" s="53">
        <v>0</v>
      </c>
      <c r="M60" s="53">
        <f>F60*G60</f>
        <v>35498.7353</v>
      </c>
      <c r="N60" s="53">
        <v>0</v>
      </c>
      <c r="O60" s="53">
        <v>0</v>
      </c>
      <c r="P60" s="53">
        <v>0</v>
      </c>
      <c r="Q60" s="53">
        <v>0</v>
      </c>
      <c r="R60" s="53">
        <v>0</v>
      </c>
      <c r="S60" s="53">
        <v>0</v>
      </c>
      <c r="T60" s="53">
        <v>0</v>
      </c>
      <c r="U60" s="34">
        <f t="shared" si="12"/>
        <v>0</v>
      </c>
    </row>
    <row r="61" spans="1:21" ht="12.75" customHeight="1">
      <c r="A61" s="65" t="s">
        <v>166</v>
      </c>
      <c r="B61" s="15" t="s">
        <v>65</v>
      </c>
      <c r="C61" s="65" t="s">
        <v>66</v>
      </c>
      <c r="D61" s="8"/>
      <c r="E61" s="31">
        <v>13447</v>
      </c>
      <c r="F61" s="54">
        <f>SUM(E61/1000)</f>
        <v>13.446999999999999</v>
      </c>
      <c r="G61" s="54">
        <v>205.57</v>
      </c>
      <c r="H61" s="125">
        <f t="shared" si="13"/>
        <v>2.7642997899999995</v>
      </c>
      <c r="I61" s="34">
        <v>0</v>
      </c>
      <c r="J61" s="34">
        <v>0</v>
      </c>
      <c r="K61" s="34">
        <v>0</v>
      </c>
      <c r="L61" s="34">
        <v>0</v>
      </c>
      <c r="M61" s="34">
        <f>F61*G61</f>
        <v>2764.2997899999996</v>
      </c>
      <c r="N61" s="34">
        <v>0</v>
      </c>
      <c r="O61" s="34">
        <v>0</v>
      </c>
      <c r="P61" s="34">
        <v>0</v>
      </c>
      <c r="Q61" s="34">
        <v>0</v>
      </c>
      <c r="R61" s="34">
        <v>0</v>
      </c>
      <c r="S61" s="34">
        <v>0</v>
      </c>
      <c r="T61" s="34">
        <v>0</v>
      </c>
      <c r="U61" s="34">
        <f t="shared" si="12"/>
        <v>0</v>
      </c>
    </row>
    <row r="62" spans="1:21">
      <c r="A62" s="65" t="s">
        <v>167</v>
      </c>
      <c r="B62" s="15" t="s">
        <v>67</v>
      </c>
      <c r="C62" s="65" t="s">
        <v>68</v>
      </c>
      <c r="D62" s="8" t="s">
        <v>28</v>
      </c>
      <c r="E62" s="31">
        <v>2200</v>
      </c>
      <c r="F62" s="54">
        <f>SUM(E62/100)</f>
        <v>22</v>
      </c>
      <c r="G62" s="54">
        <v>2581.5300000000002</v>
      </c>
      <c r="H62" s="125">
        <f t="shared" si="13"/>
        <v>56.793660000000003</v>
      </c>
      <c r="I62" s="34">
        <v>0</v>
      </c>
      <c r="J62" s="34">
        <v>0</v>
      </c>
      <c r="K62" s="34">
        <v>0</v>
      </c>
      <c r="L62" s="34">
        <v>0</v>
      </c>
      <c r="M62" s="34">
        <f>F62*G62</f>
        <v>56793.66</v>
      </c>
      <c r="N62" s="34">
        <v>0</v>
      </c>
      <c r="O62" s="34">
        <v>0</v>
      </c>
      <c r="P62" s="34">
        <v>0</v>
      </c>
      <c r="Q62" s="34">
        <v>0</v>
      </c>
      <c r="R62" s="34">
        <v>0</v>
      </c>
      <c r="S62" s="34">
        <v>0</v>
      </c>
      <c r="T62" s="34">
        <v>0</v>
      </c>
      <c r="U62" s="34">
        <f t="shared" si="12"/>
        <v>0</v>
      </c>
    </row>
    <row r="63" spans="1:21">
      <c r="A63" s="65"/>
      <c r="B63" s="16" t="s">
        <v>90</v>
      </c>
      <c r="C63" s="65" t="s">
        <v>33</v>
      </c>
      <c r="D63" s="8"/>
      <c r="E63" s="31">
        <v>12.1</v>
      </c>
      <c r="F63" s="54">
        <f>SUM(E63)</f>
        <v>12.1</v>
      </c>
      <c r="G63" s="54">
        <v>47.45</v>
      </c>
      <c r="H63" s="125">
        <f t="shared" si="13"/>
        <v>0.57414500000000002</v>
      </c>
      <c r="I63" s="34">
        <v>0</v>
      </c>
      <c r="J63" s="34">
        <v>0</v>
      </c>
      <c r="K63" s="34">
        <v>0</v>
      </c>
      <c r="L63" s="34">
        <v>0</v>
      </c>
      <c r="M63" s="34">
        <f>F63*G63</f>
        <v>574.14499999999998</v>
      </c>
      <c r="N63" s="34">
        <v>0</v>
      </c>
      <c r="O63" s="34">
        <v>0</v>
      </c>
      <c r="P63" s="34">
        <v>0</v>
      </c>
      <c r="Q63" s="34">
        <v>0</v>
      </c>
      <c r="R63" s="34">
        <v>0</v>
      </c>
      <c r="S63" s="34">
        <v>0</v>
      </c>
      <c r="T63" s="34">
        <v>0</v>
      </c>
      <c r="U63" s="34">
        <f t="shared" si="12"/>
        <v>0</v>
      </c>
    </row>
    <row r="64" spans="1:21" ht="12.75" customHeight="1">
      <c r="A64" s="137"/>
      <c r="B64" s="16" t="s">
        <v>91</v>
      </c>
      <c r="C64" s="65" t="s">
        <v>33</v>
      </c>
      <c r="D64" s="8"/>
      <c r="E64" s="31">
        <v>12.1</v>
      </c>
      <c r="F64" s="54">
        <f>SUM(E64)</f>
        <v>12.1</v>
      </c>
      <c r="G64" s="54">
        <v>44.27</v>
      </c>
      <c r="H64" s="125">
        <f t="shared" si="13"/>
        <v>0.535667</v>
      </c>
      <c r="I64" s="34">
        <v>0</v>
      </c>
      <c r="J64" s="34">
        <v>0</v>
      </c>
      <c r="K64" s="34">
        <v>0</v>
      </c>
      <c r="L64" s="34">
        <v>0</v>
      </c>
      <c r="M64" s="34">
        <f>F64*G64</f>
        <v>535.66700000000003</v>
      </c>
      <c r="N64" s="34">
        <v>0</v>
      </c>
      <c r="O64" s="34">
        <v>0</v>
      </c>
      <c r="P64" s="34">
        <v>0</v>
      </c>
      <c r="Q64" s="34">
        <v>0</v>
      </c>
      <c r="R64" s="34">
        <v>0</v>
      </c>
      <c r="S64" s="34">
        <v>0</v>
      </c>
      <c r="T64" s="34">
        <v>0</v>
      </c>
      <c r="U64" s="34">
        <f t="shared" si="12"/>
        <v>0</v>
      </c>
    </row>
    <row r="65" spans="1:27">
      <c r="A65" s="65" t="s">
        <v>168</v>
      </c>
      <c r="B65" s="8" t="s">
        <v>69</v>
      </c>
      <c r="C65" s="65" t="s">
        <v>70</v>
      </c>
      <c r="D65" s="8" t="s">
        <v>28</v>
      </c>
      <c r="E65" s="38">
        <v>4</v>
      </c>
      <c r="F65" s="32">
        <v>4</v>
      </c>
      <c r="G65" s="54">
        <v>62.07</v>
      </c>
      <c r="H65" s="125">
        <f t="shared" si="13"/>
        <v>0.24828</v>
      </c>
      <c r="I65" s="34">
        <v>0</v>
      </c>
      <c r="J65" s="34">
        <v>0</v>
      </c>
      <c r="K65" s="34">
        <v>0</v>
      </c>
      <c r="L65" s="34">
        <v>0</v>
      </c>
      <c r="M65" s="34">
        <v>0</v>
      </c>
      <c r="N65" s="34">
        <v>0</v>
      </c>
      <c r="O65" s="34">
        <v>0</v>
      </c>
      <c r="P65" s="34">
        <v>0</v>
      </c>
      <c r="Q65" s="34">
        <f>F65*G65</f>
        <v>248.28</v>
      </c>
      <c r="R65" s="34">
        <v>0</v>
      </c>
      <c r="S65" s="34">
        <v>0</v>
      </c>
      <c r="T65" s="34">
        <v>0</v>
      </c>
      <c r="U65" s="34">
        <f t="shared" si="12"/>
        <v>0</v>
      </c>
    </row>
    <row r="66" spans="1:27" ht="25.5">
      <c r="A66" s="65"/>
      <c r="B66" s="8" t="s">
        <v>185</v>
      </c>
      <c r="C66" s="128" t="s">
        <v>186</v>
      </c>
      <c r="D66" s="8"/>
      <c r="E66" s="38">
        <v>3216.2</v>
      </c>
      <c r="F66" s="68">
        <v>38594.400000000001</v>
      </c>
      <c r="G66" s="54">
        <v>2.16</v>
      </c>
      <c r="H66" s="125">
        <f t="shared" si="13"/>
        <v>83.363904000000005</v>
      </c>
      <c r="I66" s="34"/>
      <c r="J66" s="34"/>
      <c r="K66" s="34"/>
      <c r="L66" s="34"/>
      <c r="M66" s="34"/>
      <c r="N66" s="34"/>
      <c r="O66" s="34"/>
      <c r="P66" s="34"/>
      <c r="Q66" s="34"/>
      <c r="R66" s="34"/>
      <c r="S66" s="34"/>
      <c r="T66" s="34">
        <f>F66/12*G66</f>
        <v>6946.9920000000011</v>
      </c>
      <c r="U66" s="34">
        <f t="shared" si="12"/>
        <v>6946.9920000000011</v>
      </c>
    </row>
    <row r="67" spans="1:27">
      <c r="A67" s="140"/>
      <c r="B67" s="17" t="s">
        <v>71</v>
      </c>
      <c r="C67" s="65"/>
      <c r="D67" s="8"/>
      <c r="E67" s="38"/>
      <c r="F67" s="54"/>
      <c r="G67" s="54"/>
      <c r="H67" s="125" t="s">
        <v>39</v>
      </c>
      <c r="I67" s="34"/>
      <c r="J67" s="34"/>
      <c r="K67" s="34"/>
      <c r="L67" s="34"/>
      <c r="M67" s="34"/>
      <c r="N67" s="34"/>
      <c r="O67" s="34"/>
      <c r="P67" s="34"/>
      <c r="Q67" s="34"/>
      <c r="R67" s="34"/>
      <c r="S67" s="34"/>
      <c r="T67" s="34"/>
      <c r="U67" s="34"/>
    </row>
    <row r="68" spans="1:27">
      <c r="A68" s="65" t="s">
        <v>187</v>
      </c>
      <c r="B68" s="8" t="s">
        <v>188</v>
      </c>
      <c r="C68" s="65" t="s">
        <v>189</v>
      </c>
      <c r="D68" s="8" t="s">
        <v>35</v>
      </c>
      <c r="E68" s="38">
        <v>2</v>
      </c>
      <c r="F68" s="54">
        <f>E68</f>
        <v>2</v>
      </c>
      <c r="G68" s="54">
        <v>976.4</v>
      </c>
      <c r="H68" s="125">
        <f t="shared" ref="H68:H69" si="14">SUM(F68*G68/1000)</f>
        <v>1.9527999999999999</v>
      </c>
      <c r="I68" s="34"/>
      <c r="J68" s="34"/>
      <c r="K68" s="34"/>
      <c r="L68" s="34"/>
      <c r="M68" s="34"/>
      <c r="N68" s="34"/>
      <c r="O68" s="34"/>
      <c r="P68" s="34"/>
      <c r="Q68" s="34"/>
      <c r="R68" s="34"/>
      <c r="S68" s="34"/>
      <c r="T68" s="34">
        <v>0</v>
      </c>
      <c r="U68" s="34">
        <f t="shared" si="12"/>
        <v>0</v>
      </c>
    </row>
    <row r="69" spans="1:27">
      <c r="A69" s="65" t="s">
        <v>190</v>
      </c>
      <c r="B69" s="8" t="s">
        <v>191</v>
      </c>
      <c r="C69" s="65" t="s">
        <v>192</v>
      </c>
      <c r="D69" s="8" t="s">
        <v>35</v>
      </c>
      <c r="E69" s="38">
        <v>1</v>
      </c>
      <c r="F69" s="54">
        <v>1</v>
      </c>
      <c r="G69" s="54">
        <v>735</v>
      </c>
      <c r="H69" s="125">
        <f t="shared" si="14"/>
        <v>0.73499999999999999</v>
      </c>
      <c r="I69" s="34"/>
      <c r="J69" s="34"/>
      <c r="K69" s="34"/>
      <c r="L69" s="34"/>
      <c r="M69" s="34"/>
      <c r="N69" s="34"/>
      <c r="O69" s="34"/>
      <c r="P69" s="34"/>
      <c r="Q69" s="34"/>
      <c r="R69" s="34"/>
      <c r="S69" s="34"/>
      <c r="T69" s="34">
        <v>0</v>
      </c>
      <c r="U69" s="34">
        <f t="shared" si="12"/>
        <v>0</v>
      </c>
    </row>
    <row r="70" spans="1:27">
      <c r="A70" s="65" t="s">
        <v>169</v>
      </c>
      <c r="B70" s="8" t="s">
        <v>72</v>
      </c>
      <c r="C70" s="65" t="s">
        <v>73</v>
      </c>
      <c r="D70" s="8" t="s">
        <v>35</v>
      </c>
      <c r="E70" s="38">
        <v>4</v>
      </c>
      <c r="F70" s="54">
        <f>E70/10</f>
        <v>0.4</v>
      </c>
      <c r="G70" s="54">
        <v>624.16999999999996</v>
      </c>
      <c r="H70" s="125">
        <f t="shared" si="13"/>
        <v>0.249668</v>
      </c>
      <c r="I70" s="34">
        <v>0</v>
      </c>
      <c r="J70" s="34">
        <v>0</v>
      </c>
      <c r="K70" s="34">
        <v>0</v>
      </c>
      <c r="L70" s="34">
        <v>0</v>
      </c>
      <c r="M70" s="34">
        <v>0</v>
      </c>
      <c r="N70" s="34">
        <v>0</v>
      </c>
      <c r="O70" s="34">
        <v>0</v>
      </c>
      <c r="P70" s="34">
        <v>0</v>
      </c>
      <c r="Q70" s="34">
        <v>0</v>
      </c>
      <c r="R70" s="34">
        <v>0</v>
      </c>
      <c r="S70" s="34">
        <v>0</v>
      </c>
      <c r="T70" s="34">
        <v>0</v>
      </c>
      <c r="U70" s="34">
        <f t="shared" si="12"/>
        <v>0</v>
      </c>
    </row>
    <row r="71" spans="1:27">
      <c r="A71" s="65" t="s">
        <v>170</v>
      </c>
      <c r="B71" s="8" t="s">
        <v>92</v>
      </c>
      <c r="C71" s="65" t="s">
        <v>30</v>
      </c>
      <c r="D71" s="8" t="s">
        <v>35</v>
      </c>
      <c r="E71" s="38">
        <v>1</v>
      </c>
      <c r="F71" s="68">
        <v>1</v>
      </c>
      <c r="G71" s="54">
        <v>1061.4100000000001</v>
      </c>
      <c r="H71" s="125">
        <f>F71*G71/1000</f>
        <v>1.0614100000000002</v>
      </c>
      <c r="I71" s="34">
        <v>0</v>
      </c>
      <c r="J71" s="34">
        <v>0</v>
      </c>
      <c r="K71" s="34">
        <v>0</v>
      </c>
      <c r="L71" s="34">
        <v>0</v>
      </c>
      <c r="M71" s="34">
        <v>0</v>
      </c>
      <c r="N71" s="34">
        <v>0</v>
      </c>
      <c r="O71" s="34">
        <v>0</v>
      </c>
      <c r="P71" s="34">
        <v>0</v>
      </c>
      <c r="Q71" s="34">
        <v>0</v>
      </c>
      <c r="R71" s="34">
        <v>0</v>
      </c>
      <c r="S71" s="34">
        <v>0</v>
      </c>
      <c r="T71" s="34">
        <v>0</v>
      </c>
      <c r="U71" s="34">
        <f t="shared" si="12"/>
        <v>0</v>
      </c>
    </row>
    <row r="72" spans="1:27">
      <c r="A72" s="65" t="s">
        <v>187</v>
      </c>
      <c r="B72" s="8" t="s">
        <v>193</v>
      </c>
      <c r="C72" s="65" t="s">
        <v>189</v>
      </c>
      <c r="D72" s="8" t="s">
        <v>35</v>
      </c>
      <c r="E72" s="38">
        <v>1</v>
      </c>
      <c r="F72" s="54">
        <f>E72</f>
        <v>1</v>
      </c>
      <c r="G72" s="54">
        <v>976.1</v>
      </c>
      <c r="H72" s="125">
        <f t="shared" ref="H72" si="15">SUM(F72*G72/1000)</f>
        <v>0.97609999999999997</v>
      </c>
      <c r="I72" s="34"/>
      <c r="J72" s="34"/>
      <c r="K72" s="34"/>
      <c r="L72" s="34"/>
      <c r="M72" s="34"/>
      <c r="N72" s="34"/>
      <c r="O72" s="34"/>
      <c r="P72" s="34"/>
      <c r="Q72" s="34"/>
      <c r="R72" s="34"/>
      <c r="S72" s="34"/>
      <c r="T72" s="34">
        <v>0</v>
      </c>
      <c r="U72" s="34">
        <f t="shared" si="12"/>
        <v>0</v>
      </c>
    </row>
    <row r="73" spans="1:27">
      <c r="A73" s="137"/>
      <c r="B73" s="69" t="s">
        <v>74</v>
      </c>
      <c r="C73" s="65"/>
      <c r="D73" s="8"/>
      <c r="E73" s="38"/>
      <c r="F73" s="54"/>
      <c r="G73" s="54" t="s">
        <v>39</v>
      </c>
      <c r="H73" s="125" t="s">
        <v>39</v>
      </c>
      <c r="I73" s="34"/>
      <c r="J73" s="34"/>
      <c r="K73" s="34"/>
      <c r="L73" s="34"/>
      <c r="M73" s="34"/>
      <c r="N73" s="34"/>
      <c r="O73" s="34"/>
      <c r="P73" s="34"/>
      <c r="Q73" s="34"/>
      <c r="R73" s="34"/>
      <c r="S73" s="34"/>
      <c r="T73" s="34"/>
      <c r="U73" s="34"/>
    </row>
    <row r="74" spans="1:27" s="1" customFormat="1">
      <c r="A74" s="66" t="s">
        <v>75</v>
      </c>
      <c r="B74" s="70" t="s">
        <v>76</v>
      </c>
      <c r="C74" s="66" t="s">
        <v>68</v>
      </c>
      <c r="D74" s="15"/>
      <c r="E74" s="71"/>
      <c r="F74" s="55">
        <v>0.1</v>
      </c>
      <c r="G74" s="55">
        <v>3433.68</v>
      </c>
      <c r="H74" s="125">
        <f t="shared" si="13"/>
        <v>0.34336800000000001</v>
      </c>
      <c r="I74" s="53">
        <v>0</v>
      </c>
      <c r="J74" s="53">
        <v>0</v>
      </c>
      <c r="K74" s="53">
        <v>0</v>
      </c>
      <c r="L74" s="53">
        <v>0</v>
      </c>
      <c r="M74" s="53">
        <v>0</v>
      </c>
      <c r="N74" s="53">
        <v>0</v>
      </c>
      <c r="O74" s="53">
        <v>0</v>
      </c>
      <c r="P74" s="53">
        <v>0</v>
      </c>
      <c r="Q74" s="53">
        <v>0</v>
      </c>
      <c r="R74" s="53">
        <v>0</v>
      </c>
      <c r="S74" s="53">
        <v>0</v>
      </c>
      <c r="T74" s="53">
        <v>0</v>
      </c>
      <c r="U74" s="34">
        <f t="shared" si="12"/>
        <v>0</v>
      </c>
    </row>
    <row r="75" spans="1:27" s="20" customFormat="1">
      <c r="A75" s="138"/>
      <c r="B75" s="19" t="s">
        <v>24</v>
      </c>
      <c r="C75" s="72"/>
      <c r="D75" s="73"/>
      <c r="E75" s="74"/>
      <c r="F75" s="59"/>
      <c r="G75" s="59"/>
      <c r="H75" s="75">
        <f>SUM(H53:H74)</f>
        <v>219.17093482199999</v>
      </c>
      <c r="I75" s="59"/>
      <c r="J75" s="59"/>
      <c r="K75" s="59"/>
      <c r="L75" s="59"/>
      <c r="M75" s="59"/>
      <c r="N75" s="59"/>
      <c r="O75" s="59"/>
      <c r="P75" s="59"/>
      <c r="Q75" s="59"/>
      <c r="R75" s="59"/>
      <c r="S75" s="59"/>
      <c r="T75" s="59"/>
      <c r="U75" s="59">
        <f>SUM(U53:U74)</f>
        <v>9791.2851220000011</v>
      </c>
    </row>
    <row r="76" spans="1:27">
      <c r="A76" s="139" t="s">
        <v>116</v>
      </c>
      <c r="B76" s="10" t="s">
        <v>117</v>
      </c>
      <c r="C76" s="77"/>
      <c r="D76" s="78"/>
      <c r="E76" s="122"/>
      <c r="F76" s="79">
        <v>1</v>
      </c>
      <c r="G76" s="80">
        <v>12960</v>
      </c>
      <c r="H76" s="125">
        <f>G76*F76/1000</f>
        <v>12.96</v>
      </c>
      <c r="I76" s="34">
        <v>0</v>
      </c>
      <c r="J76" s="34">
        <v>0</v>
      </c>
      <c r="K76" s="34">
        <v>0</v>
      </c>
      <c r="L76" s="34">
        <v>0</v>
      </c>
      <c r="M76" s="35">
        <v>0</v>
      </c>
      <c r="N76" s="35">
        <v>0</v>
      </c>
      <c r="O76" s="34">
        <v>0</v>
      </c>
      <c r="P76" s="34">
        <v>0</v>
      </c>
      <c r="Q76" s="34">
        <v>0</v>
      </c>
      <c r="R76" s="34">
        <f>G76</f>
        <v>12960</v>
      </c>
      <c r="S76" s="34">
        <v>0</v>
      </c>
      <c r="T76" s="34">
        <v>0</v>
      </c>
      <c r="U76" s="34">
        <f t="shared" si="12"/>
        <v>0</v>
      </c>
    </row>
    <row r="77" spans="1:27" ht="12.75" customHeight="1">
      <c r="A77" s="65"/>
      <c r="B77" s="76" t="s">
        <v>77</v>
      </c>
      <c r="C77" s="65" t="s">
        <v>78</v>
      </c>
      <c r="D77" s="81"/>
      <c r="E77" s="54">
        <v>3216.2</v>
      </c>
      <c r="F77" s="54">
        <f>SUM(E77*12)</f>
        <v>38594.399999999994</v>
      </c>
      <c r="G77" s="82">
        <v>2.95</v>
      </c>
      <c r="H77" s="125">
        <f>SUM(F77*G77/1000)</f>
        <v>113.85347999999999</v>
      </c>
      <c r="I77" s="34">
        <f>F77/12*G77</f>
        <v>9487.7899999999991</v>
      </c>
      <c r="J77" s="34">
        <f>F77/12*G77</f>
        <v>9487.7899999999991</v>
      </c>
      <c r="K77" s="34">
        <f>F77/12*G77</f>
        <v>9487.7899999999991</v>
      </c>
      <c r="L77" s="34">
        <f>F77/12*G77</f>
        <v>9487.7899999999991</v>
      </c>
      <c r="M77" s="34">
        <f>F77/12*G77</f>
        <v>9487.7899999999991</v>
      </c>
      <c r="N77" s="34">
        <f>F77/12*G77</f>
        <v>9487.7899999999991</v>
      </c>
      <c r="O77" s="34">
        <f>F77/12*G77</f>
        <v>9487.7899999999991</v>
      </c>
      <c r="P77" s="34">
        <f>F77/12*G77</f>
        <v>9487.7899999999991</v>
      </c>
      <c r="Q77" s="34">
        <f>F77/12*G77</f>
        <v>9487.7899999999991</v>
      </c>
      <c r="R77" s="34">
        <f>F77/12*G77</f>
        <v>9487.7899999999991</v>
      </c>
      <c r="S77" s="34">
        <f>F77/12*G77</f>
        <v>9487.7899999999991</v>
      </c>
      <c r="T77" s="34">
        <f>F77/12*G77</f>
        <v>9487.7899999999991</v>
      </c>
      <c r="U77" s="34">
        <f t="shared" si="12"/>
        <v>9487.7899999999991</v>
      </c>
    </row>
    <row r="78" spans="1:27" s="18" customFormat="1">
      <c r="A78" s="83"/>
      <c r="B78" s="19" t="s">
        <v>24</v>
      </c>
      <c r="C78" s="84"/>
      <c r="D78" s="85"/>
      <c r="E78" s="86"/>
      <c r="F78" s="45"/>
      <c r="G78" s="87"/>
      <c r="H78" s="46">
        <f>SUM(H76:H77)</f>
        <v>126.81348</v>
      </c>
      <c r="I78" s="45"/>
      <c r="J78" s="45"/>
      <c r="K78" s="45"/>
      <c r="L78" s="45"/>
      <c r="M78" s="45"/>
      <c r="N78" s="45"/>
      <c r="O78" s="45"/>
      <c r="P78" s="45"/>
      <c r="Q78" s="45"/>
      <c r="R78" s="45"/>
      <c r="S78" s="45"/>
      <c r="T78" s="45"/>
      <c r="U78" s="45">
        <f>SUM(U76:U77)</f>
        <v>9487.7899999999991</v>
      </c>
    </row>
    <row r="79" spans="1:27" ht="25.5" customHeight="1">
      <c r="A79" s="137"/>
      <c r="B79" s="8" t="s">
        <v>79</v>
      </c>
      <c r="C79" s="65"/>
      <c r="D79" s="88"/>
      <c r="E79" s="31">
        <f>E77</f>
        <v>3216.2</v>
      </c>
      <c r="F79" s="54">
        <f>E79*12</f>
        <v>38594.399999999994</v>
      </c>
      <c r="G79" s="54">
        <v>3.05</v>
      </c>
      <c r="H79" s="125">
        <f>F79*G79/1000</f>
        <v>117.71291999999997</v>
      </c>
      <c r="I79" s="34">
        <f>F79/12*G79</f>
        <v>9809.409999999998</v>
      </c>
      <c r="J79" s="34">
        <f>F79/12*G79</f>
        <v>9809.409999999998</v>
      </c>
      <c r="K79" s="34">
        <f>F79/12*G79</f>
        <v>9809.409999999998</v>
      </c>
      <c r="L79" s="34">
        <f>F79/12*G79</f>
        <v>9809.409999999998</v>
      </c>
      <c r="M79" s="34">
        <f>F79/12*G79</f>
        <v>9809.409999999998</v>
      </c>
      <c r="N79" s="34">
        <f>F79/12*G79</f>
        <v>9809.409999999998</v>
      </c>
      <c r="O79" s="34">
        <f>F79/12*G79</f>
        <v>9809.409999999998</v>
      </c>
      <c r="P79" s="34">
        <f>F79/12*G79</f>
        <v>9809.409999999998</v>
      </c>
      <c r="Q79" s="34">
        <f>F79/12*G79</f>
        <v>9809.409999999998</v>
      </c>
      <c r="R79" s="34">
        <f>F79/12*G79</f>
        <v>9809.409999999998</v>
      </c>
      <c r="S79" s="34">
        <f>F79/12*G79</f>
        <v>9809.409999999998</v>
      </c>
      <c r="T79" s="34">
        <f>F79/12*G79</f>
        <v>9809.409999999998</v>
      </c>
      <c r="U79" s="34">
        <f t="shared" si="12"/>
        <v>9809.409999999998</v>
      </c>
    </row>
    <row r="80" spans="1:27" s="18" customFormat="1">
      <c r="A80" s="83"/>
      <c r="B80" s="89" t="s">
        <v>80</v>
      </c>
      <c r="C80" s="90"/>
      <c r="D80" s="89"/>
      <c r="E80" s="45"/>
      <c r="F80" s="45"/>
      <c r="G80" s="45"/>
      <c r="H80" s="75">
        <f>H79</f>
        <v>117.71291999999997</v>
      </c>
      <c r="I80" s="45"/>
      <c r="J80" s="45"/>
      <c r="K80" s="45"/>
      <c r="L80" s="45"/>
      <c r="M80" s="45"/>
      <c r="N80" s="45"/>
      <c r="O80" s="45"/>
      <c r="P80" s="45"/>
      <c r="Q80" s="45"/>
      <c r="R80" s="45"/>
      <c r="S80" s="45"/>
      <c r="T80" s="45"/>
      <c r="U80" s="118">
        <f>U79</f>
        <v>9809.409999999998</v>
      </c>
      <c r="X80" s="156"/>
      <c r="Y80" s="156"/>
      <c r="Z80" s="156"/>
      <c r="AA80" s="156"/>
    </row>
    <row r="81" spans="1:21" s="18" customFormat="1">
      <c r="A81" s="83"/>
      <c r="B81" s="89" t="s">
        <v>81</v>
      </c>
      <c r="C81" s="91"/>
      <c r="D81" s="92"/>
      <c r="E81" s="93"/>
      <c r="F81" s="93"/>
      <c r="G81" s="93"/>
      <c r="H81" s="75">
        <f>SUM(H80+H78+H75+H51+H40+H31+H21)</f>
        <v>877.90533995666647</v>
      </c>
      <c r="I81" s="93"/>
      <c r="J81" s="93"/>
      <c r="K81" s="93"/>
      <c r="L81" s="93"/>
      <c r="M81" s="93"/>
      <c r="N81" s="93"/>
      <c r="O81" s="93"/>
      <c r="P81" s="93"/>
      <c r="Q81" s="93"/>
      <c r="R81" s="93"/>
      <c r="S81" s="93"/>
      <c r="T81" s="93"/>
      <c r="U81" s="118">
        <f>SUM(U80+U78+U75+U51+U40+U31+U21)</f>
        <v>62752.775236333335</v>
      </c>
    </row>
    <row r="82" spans="1:21">
      <c r="A82" s="140"/>
      <c r="B82" s="88" t="s">
        <v>82</v>
      </c>
      <c r="C82" s="65"/>
      <c r="D82" s="88"/>
      <c r="E82" s="54"/>
      <c r="F82" s="54"/>
      <c r="G82" s="54" t="s">
        <v>83</v>
      </c>
      <c r="H82" s="94">
        <f>E79</f>
        <v>3216.2</v>
      </c>
      <c r="I82" s="34"/>
      <c r="J82" s="34"/>
      <c r="K82" s="34"/>
      <c r="L82" s="34"/>
      <c r="M82" s="34"/>
      <c r="N82" s="34"/>
      <c r="O82" s="34"/>
      <c r="P82" s="34"/>
      <c r="Q82" s="34"/>
      <c r="R82" s="34"/>
      <c r="S82" s="34"/>
      <c r="T82" s="34"/>
      <c r="U82" s="34"/>
    </row>
    <row r="83" spans="1:21" s="18" customFormat="1">
      <c r="A83" s="83"/>
      <c r="B83" s="92" t="s">
        <v>84</v>
      </c>
      <c r="C83" s="91"/>
      <c r="D83" s="92"/>
      <c r="E83" s="93"/>
      <c r="F83" s="93"/>
      <c r="G83" s="93"/>
      <c r="H83" s="95">
        <f>SUM(H81/H82/12*1000)</f>
        <v>22.746961734258509</v>
      </c>
      <c r="I83" s="93"/>
      <c r="J83" s="93"/>
      <c r="K83" s="93"/>
      <c r="L83" s="93"/>
      <c r="M83" s="93"/>
      <c r="N83" s="93"/>
      <c r="O83" s="93"/>
      <c r="P83" s="93"/>
      <c r="Q83" s="93"/>
      <c r="R83" s="93"/>
      <c r="S83" s="93"/>
      <c r="T83" s="93"/>
      <c r="U83" s="119"/>
    </row>
    <row r="84" spans="1:21">
      <c r="A84" s="96"/>
      <c r="B84" s="88"/>
      <c r="C84" s="65"/>
      <c r="D84" s="88"/>
      <c r="E84" s="54"/>
      <c r="F84" s="54"/>
      <c r="G84" s="54"/>
      <c r="H84" s="97"/>
      <c r="I84" s="34"/>
      <c r="J84" s="34"/>
      <c r="K84" s="34"/>
      <c r="L84" s="34"/>
      <c r="M84" s="34"/>
      <c r="N84" s="34"/>
      <c r="O84" s="34"/>
      <c r="P84" s="34"/>
      <c r="Q84" s="34"/>
      <c r="R84" s="34"/>
      <c r="S84" s="34"/>
      <c r="T84" s="34"/>
      <c r="U84" s="120"/>
    </row>
    <row r="85" spans="1:21">
      <c r="A85" s="137"/>
      <c r="B85" s="69" t="s">
        <v>85</v>
      </c>
      <c r="C85" s="65"/>
      <c r="D85" s="88"/>
      <c r="E85" s="54"/>
      <c r="F85" s="54"/>
      <c r="G85" s="54"/>
      <c r="H85" s="54"/>
      <c r="I85" s="34"/>
      <c r="J85" s="34"/>
      <c r="K85" s="34"/>
      <c r="L85" s="34"/>
      <c r="M85" s="34"/>
      <c r="N85" s="34"/>
      <c r="O85" s="34"/>
      <c r="P85" s="34"/>
      <c r="Q85" s="34"/>
      <c r="R85" s="34"/>
      <c r="S85" s="34"/>
      <c r="T85" s="34"/>
      <c r="U85" s="34"/>
    </row>
    <row r="86" spans="1:21">
      <c r="A86" s="126" t="s">
        <v>171</v>
      </c>
      <c r="B86" s="127" t="s">
        <v>172</v>
      </c>
      <c r="C86" s="124" t="s">
        <v>173</v>
      </c>
      <c r="D86" s="88"/>
      <c r="E86" s="54"/>
      <c r="F86" s="54">
        <f>6/3</f>
        <v>2</v>
      </c>
      <c r="G86" s="54">
        <v>1063.47</v>
      </c>
      <c r="H86" s="125">
        <f>G86*F86/1000</f>
        <v>2.1269400000000003</v>
      </c>
      <c r="I86" s="34">
        <v>0</v>
      </c>
      <c r="J86" s="34">
        <v>0</v>
      </c>
      <c r="K86" s="34">
        <v>0</v>
      </c>
      <c r="L86" s="34">
        <v>0</v>
      </c>
      <c r="M86" s="34">
        <v>0</v>
      </c>
      <c r="N86" s="34">
        <v>0</v>
      </c>
      <c r="O86" s="34">
        <v>0</v>
      </c>
      <c r="P86" s="34">
        <f>G86</f>
        <v>1063.47</v>
      </c>
      <c r="Q86" s="34">
        <f>G86</f>
        <v>1063.47</v>
      </c>
      <c r="R86" s="34">
        <f>G86*((3+3)/3)</f>
        <v>2126.94</v>
      </c>
      <c r="S86" s="34">
        <v>0</v>
      </c>
      <c r="T86" s="34">
        <f>G86*((3+3)/3)</f>
        <v>2126.94</v>
      </c>
      <c r="U86" s="34">
        <f t="shared" ref="U86:U87" si="16">SUM(T86)</f>
        <v>2126.94</v>
      </c>
    </row>
    <row r="87" spans="1:21" ht="38.25">
      <c r="A87" s="126" t="s">
        <v>198</v>
      </c>
      <c r="B87" s="127" t="s">
        <v>196</v>
      </c>
      <c r="C87" s="126" t="s">
        <v>197</v>
      </c>
      <c r="D87" s="88"/>
      <c r="E87" s="54"/>
      <c r="F87" s="54">
        <v>1</v>
      </c>
      <c r="G87" s="54">
        <v>51.39</v>
      </c>
      <c r="H87" s="125">
        <f>G87*F87/1000</f>
        <v>5.1389999999999998E-2</v>
      </c>
      <c r="I87" s="34"/>
      <c r="J87" s="34"/>
      <c r="K87" s="34"/>
      <c r="L87" s="34"/>
      <c r="M87" s="34"/>
      <c r="N87" s="34"/>
      <c r="O87" s="34"/>
      <c r="P87" s="34"/>
      <c r="Q87" s="34"/>
      <c r="R87" s="34"/>
      <c r="S87" s="34"/>
      <c r="T87" s="34">
        <f>G87</f>
        <v>51.39</v>
      </c>
      <c r="U87" s="34">
        <f t="shared" si="16"/>
        <v>51.39</v>
      </c>
    </row>
    <row r="88" spans="1:21">
      <c r="A88" s="98"/>
      <c r="B88" s="99" t="s">
        <v>86</v>
      </c>
      <c r="C88" s="98"/>
      <c r="D88" s="98"/>
      <c r="E88" s="93"/>
      <c r="F88" s="93"/>
      <c r="G88" s="93"/>
      <c r="H88" s="46">
        <f>SUM(H86:H87)</f>
        <v>2.1783300000000003</v>
      </c>
      <c r="I88" s="93"/>
      <c r="J88" s="93"/>
      <c r="K88" s="93"/>
      <c r="L88" s="93"/>
      <c r="M88" s="93"/>
      <c r="N88" s="93"/>
      <c r="O88" s="93"/>
      <c r="P88" s="93"/>
      <c r="Q88" s="93"/>
      <c r="R88" s="93"/>
      <c r="S88" s="93"/>
      <c r="T88" s="93"/>
      <c r="U88" s="45">
        <f>SUM(U86:U87)</f>
        <v>2178.33</v>
      </c>
    </row>
    <row r="89" spans="1:21" ht="12" customHeight="1">
      <c r="A89" s="96"/>
      <c r="B89" s="100"/>
      <c r="C89" s="101"/>
      <c r="D89" s="101"/>
      <c r="E89" s="54"/>
      <c r="F89" s="54"/>
      <c r="G89" s="54"/>
      <c r="H89" s="102"/>
      <c r="I89" s="34"/>
      <c r="J89" s="34"/>
      <c r="K89" s="34"/>
      <c r="L89" s="34"/>
      <c r="M89" s="34"/>
      <c r="N89" s="34"/>
      <c r="O89" s="34"/>
      <c r="P89" s="34"/>
      <c r="Q89" s="34"/>
      <c r="R89" s="34"/>
      <c r="S89" s="34"/>
      <c r="T89" s="34"/>
      <c r="U89" s="121"/>
    </row>
    <row r="90" spans="1:21" s="18" customFormat="1" ht="25.5">
      <c r="A90" s="137"/>
      <c r="B90" s="17" t="s">
        <v>87</v>
      </c>
      <c r="C90" s="65"/>
      <c r="D90" s="88"/>
      <c r="E90" s="54"/>
      <c r="F90" s="54"/>
      <c r="G90" s="54"/>
      <c r="H90" s="103">
        <f>H88/E91/12*1000</f>
        <v>5.6441608108948459E-2</v>
      </c>
      <c r="I90" s="34"/>
      <c r="J90" s="34"/>
      <c r="K90" s="34"/>
      <c r="L90" s="34"/>
      <c r="M90" s="34"/>
      <c r="N90" s="34"/>
      <c r="O90" s="34"/>
      <c r="P90" s="34"/>
      <c r="Q90" s="34"/>
      <c r="R90" s="34"/>
      <c r="S90" s="34"/>
      <c r="T90" s="34"/>
      <c r="U90" s="121"/>
    </row>
    <row r="91" spans="1:21">
      <c r="A91" s="83"/>
      <c r="B91" s="104" t="s">
        <v>88</v>
      </c>
      <c r="C91" s="105"/>
      <c r="D91" s="104"/>
      <c r="E91" s="141">
        <v>3216.2</v>
      </c>
      <c r="F91" s="106">
        <f>SUM(E91*12)</f>
        <v>38594.399999999994</v>
      </c>
      <c r="G91" s="107">
        <f>H83+H90</f>
        <v>22.803403342367456</v>
      </c>
      <c r="H91" s="108">
        <f>SUM(F91*G91/1000)</f>
        <v>880.08366995666643</v>
      </c>
      <c r="I91" s="93">
        <f t="shared" ref="I91:T91" si="17">SUM(I11:I90)</f>
        <v>66267.223236333331</v>
      </c>
      <c r="J91" s="93">
        <f t="shared" si="17"/>
        <v>56627.304536333322</v>
      </c>
      <c r="K91" s="93">
        <f t="shared" si="17"/>
        <v>55774.683472333323</v>
      </c>
      <c r="L91" s="93">
        <f t="shared" si="17"/>
        <v>66661.244500333327</v>
      </c>
      <c r="M91" s="93">
        <f t="shared" si="17"/>
        <v>153281.47300344444</v>
      </c>
      <c r="N91" s="93">
        <f t="shared" si="17"/>
        <v>42969.978814444439</v>
      </c>
      <c r="O91" s="93">
        <f t="shared" si="17"/>
        <v>42969.978814444439</v>
      </c>
      <c r="P91" s="93">
        <f t="shared" si="17"/>
        <v>54494.888814444443</v>
      </c>
      <c r="Q91" s="93">
        <f t="shared" si="17"/>
        <v>61423.049213444428</v>
      </c>
      <c r="R91" s="93">
        <f t="shared" si="17"/>
        <v>58887.138814444443</v>
      </c>
      <c r="S91" s="93">
        <f t="shared" si="17"/>
        <v>50301.964500333321</v>
      </c>
      <c r="T91" s="93">
        <f t="shared" si="17"/>
        <v>64931.105236333329</v>
      </c>
      <c r="U91" s="45">
        <f>U81+U88</f>
        <v>64931.105236333337</v>
      </c>
    </row>
    <row r="92" spans="1:21">
      <c r="A92" s="67"/>
      <c r="B92" s="67"/>
      <c r="C92" s="67"/>
      <c r="D92" s="67"/>
      <c r="E92" s="109"/>
      <c r="F92" s="109"/>
      <c r="G92" s="109"/>
      <c r="H92" s="109"/>
      <c r="I92" s="109"/>
      <c r="J92" s="109"/>
      <c r="K92" s="109"/>
      <c r="L92" s="109"/>
      <c r="M92" s="67"/>
      <c r="N92" s="109"/>
      <c r="O92" s="67"/>
      <c r="P92" s="67"/>
      <c r="Q92" s="67"/>
      <c r="R92" s="67"/>
      <c r="S92" s="67"/>
      <c r="T92" s="67"/>
      <c r="U92" s="67"/>
    </row>
    <row r="93" spans="1:21">
      <c r="A93" s="67"/>
      <c r="B93" s="67"/>
      <c r="C93" s="67"/>
      <c r="D93" s="67"/>
      <c r="E93" s="109"/>
      <c r="F93" s="109"/>
      <c r="G93" s="109"/>
      <c r="H93" s="109"/>
      <c r="I93" s="109"/>
      <c r="J93" s="110"/>
      <c r="K93" s="111"/>
      <c r="L93" s="110"/>
      <c r="M93" s="109"/>
      <c r="N93" s="67"/>
      <c r="O93" s="67"/>
      <c r="P93" s="67"/>
      <c r="Q93" s="67"/>
      <c r="R93" s="67"/>
      <c r="S93" s="67"/>
      <c r="T93" s="67"/>
      <c r="U93" s="67"/>
    </row>
    <row r="94" spans="1:21" ht="51.75" customHeight="1">
      <c r="A94" s="67"/>
      <c r="B94" s="116" t="s">
        <v>119</v>
      </c>
      <c r="C94" s="144">
        <v>199162.42</v>
      </c>
      <c r="D94" s="145"/>
      <c r="E94" s="145"/>
      <c r="F94" s="146"/>
      <c r="G94" s="109"/>
      <c r="H94" s="109"/>
      <c r="I94" s="109"/>
      <c r="J94" s="110"/>
      <c r="K94" s="111"/>
      <c r="L94" s="110"/>
      <c r="M94" s="109"/>
      <c r="N94" s="67"/>
      <c r="O94" s="67"/>
      <c r="P94" s="67"/>
      <c r="Q94" s="67"/>
      <c r="R94" s="67"/>
      <c r="S94" s="67"/>
      <c r="T94" s="67"/>
      <c r="U94" s="67"/>
    </row>
    <row r="95" spans="1:21" ht="33.75" customHeight="1">
      <c r="A95" s="67"/>
      <c r="B95" s="116" t="s">
        <v>120</v>
      </c>
      <c r="C95" s="144">
        <f>(61361.45*11)+71163.62</f>
        <v>746139.57</v>
      </c>
      <c r="D95" s="145"/>
      <c r="E95" s="145"/>
      <c r="F95" s="146"/>
      <c r="G95" s="109"/>
      <c r="H95" s="109"/>
      <c r="I95" s="109"/>
      <c r="J95" s="110"/>
      <c r="K95" s="111"/>
      <c r="L95" s="110"/>
      <c r="M95" s="109"/>
      <c r="N95" s="67"/>
      <c r="O95" s="67"/>
      <c r="P95" s="67"/>
      <c r="Q95" s="67"/>
      <c r="R95" s="67"/>
      <c r="S95" s="67"/>
      <c r="T95" s="67"/>
      <c r="U95" s="67"/>
    </row>
    <row r="96" spans="1:21" ht="33.75" customHeight="1">
      <c r="A96" s="67"/>
      <c r="B96" s="116" t="s">
        <v>124</v>
      </c>
      <c r="C96" s="144">
        <f>SUM(U91-U88)+624442.33</f>
        <v>687195.10523633333</v>
      </c>
      <c r="D96" s="145"/>
      <c r="E96" s="145"/>
      <c r="F96" s="146"/>
      <c r="G96" s="109"/>
      <c r="H96" s="109"/>
      <c r="I96" s="109"/>
      <c r="J96" s="110"/>
      <c r="K96" s="111"/>
      <c r="L96" s="110"/>
      <c r="M96" s="109"/>
      <c r="N96" s="67"/>
      <c r="O96" s="67"/>
      <c r="P96" s="67"/>
      <c r="Q96" s="67"/>
      <c r="R96" s="67"/>
      <c r="S96" s="67"/>
      <c r="T96" s="67"/>
      <c r="U96" s="67"/>
    </row>
    <row r="97" spans="1:21" ht="33.75" customHeight="1">
      <c r="A97" s="67"/>
      <c r="B97" s="116" t="s">
        <v>121</v>
      </c>
      <c r="C97" s="144">
        <f>SUM(U88)+44424.09</f>
        <v>46602.42</v>
      </c>
      <c r="D97" s="145"/>
      <c r="E97" s="145"/>
      <c r="F97" s="146"/>
      <c r="G97" s="109"/>
      <c r="H97" s="109"/>
      <c r="I97" s="109"/>
      <c r="J97" s="110"/>
      <c r="K97" s="111"/>
      <c r="L97" s="110"/>
      <c r="M97" s="109"/>
      <c r="N97" s="67"/>
      <c r="O97" s="67"/>
      <c r="P97" s="67"/>
      <c r="Q97" s="67"/>
      <c r="R97" s="67"/>
      <c r="S97" s="67"/>
      <c r="T97" s="67"/>
      <c r="U97" s="67"/>
    </row>
    <row r="98" spans="1:21" ht="18">
      <c r="A98" s="67"/>
      <c r="B98" s="117" t="s">
        <v>122</v>
      </c>
      <c r="C98" s="144">
        <f>(46074.74+50144.5+68778.08+47911.67+61464.61+46575.85+53527.17+60795.4+51222.5+48723.83+67987.75)+57660.59</f>
        <v>660866.68999999994</v>
      </c>
      <c r="D98" s="145"/>
      <c r="E98" s="145"/>
      <c r="F98" s="146"/>
      <c r="G98" s="67"/>
      <c r="I98" s="112" t="s">
        <v>93</v>
      </c>
      <c r="J98" s="113"/>
      <c r="K98" s="114"/>
      <c r="L98" s="115"/>
      <c r="M98" s="112"/>
      <c r="N98" s="112"/>
      <c r="O98" s="67"/>
      <c r="P98" s="67"/>
      <c r="Q98" s="67"/>
      <c r="R98" s="67"/>
      <c r="S98" s="67"/>
      <c r="T98" s="67"/>
      <c r="U98" s="67"/>
    </row>
    <row r="99" spans="1:21" ht="78.75">
      <c r="A99" s="67"/>
      <c r="B99" s="143" t="s">
        <v>194</v>
      </c>
      <c r="C99" s="150">
        <v>374378.99</v>
      </c>
      <c r="D99" s="151"/>
      <c r="E99" s="151"/>
      <c r="F99" s="152"/>
      <c r="G99" s="67"/>
      <c r="H99" s="67"/>
      <c r="I99" s="67"/>
      <c r="J99" s="67"/>
      <c r="K99" s="67"/>
      <c r="L99" s="67"/>
      <c r="M99" s="67"/>
      <c r="N99" s="67"/>
      <c r="O99" s="67"/>
      <c r="P99" s="67"/>
      <c r="Q99" s="67"/>
      <c r="R99" s="67"/>
      <c r="S99" s="67"/>
      <c r="T99" s="67"/>
      <c r="U99" s="67"/>
    </row>
    <row r="100" spans="1:21" ht="51.75" customHeight="1">
      <c r="A100" s="67"/>
      <c r="B100" s="116" t="s">
        <v>195</v>
      </c>
      <c r="C100" s="147">
        <f>(C96+C97-C95)+C94</f>
        <v>186820.37523633344</v>
      </c>
      <c r="D100" s="148"/>
      <c r="E100" s="148"/>
      <c r="F100" s="149"/>
      <c r="G100" s="67"/>
      <c r="H100" s="67"/>
      <c r="I100" s="67"/>
      <c r="J100" s="67"/>
      <c r="K100" s="67"/>
      <c r="L100" s="67"/>
      <c r="M100" s="67"/>
      <c r="N100" s="67"/>
      <c r="O100" s="67"/>
      <c r="P100" s="67"/>
      <c r="Q100" s="67"/>
      <c r="R100" s="67"/>
      <c r="S100" s="67"/>
      <c r="T100" s="67"/>
      <c r="U100" s="67"/>
    </row>
    <row r="102" spans="1:21">
      <c r="J102" s="3"/>
      <c r="K102" s="4"/>
      <c r="L102" s="4"/>
      <c r="M102" s="2"/>
    </row>
    <row r="103" spans="1:21">
      <c r="G103" s="5"/>
      <c r="H103" s="5"/>
    </row>
    <row r="104" spans="1:21">
      <c r="G104" s="6"/>
    </row>
  </sheetData>
  <mergeCells count="12">
    <mergeCell ref="B3:L3"/>
    <mergeCell ref="B4:L4"/>
    <mergeCell ref="B5:L5"/>
    <mergeCell ref="B6:L6"/>
    <mergeCell ref="X80:AA80"/>
    <mergeCell ref="C94:F94"/>
    <mergeCell ref="C100:F100"/>
    <mergeCell ref="C95:F95"/>
    <mergeCell ref="C96:F96"/>
    <mergeCell ref="C97:F97"/>
    <mergeCell ref="C98:F98"/>
    <mergeCell ref="C99:F99"/>
  </mergeCells>
  <pageMargins left="0.31496062992125984" right="0.31496062992125984" top="0.15748031496062992" bottom="0.19685039370078741" header="0.15748031496062992" footer="0.15748031496062992"/>
  <pageSetup paperSize="9" scale="37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Косм.,5</vt:lpstr>
      <vt:lpstr>'Косм.,5'!Область_печати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Партнёр</dc:creator>
  <cp:lastModifiedBy>user</cp:lastModifiedBy>
  <cp:lastPrinted>2015-08-06T12:22:17Z</cp:lastPrinted>
  <dcterms:created xsi:type="dcterms:W3CDTF">2014-02-05T12:20:20Z</dcterms:created>
  <dcterms:modified xsi:type="dcterms:W3CDTF">2017-03-07T05:40:24Z</dcterms:modified>
</cp:coreProperties>
</file>