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1"/>
  </bookViews>
  <sheets>
    <sheet name="01.20" sheetId="18" r:id="rId1"/>
    <sheet name="02.20" sheetId="19" r:id="rId2"/>
    <sheet name="03.20" sheetId="20" r:id="rId3"/>
    <sheet name="04.20" sheetId="21" r:id="rId4"/>
    <sheet name="05.20" sheetId="22" r:id="rId5"/>
    <sheet name="06.20" sheetId="23" r:id="rId6"/>
    <sheet name="07.20" sheetId="24" r:id="rId7"/>
    <sheet name="08.20" sheetId="25" r:id="rId8"/>
    <sheet name="09.20" sheetId="26" r:id="rId9"/>
    <sheet name="10.20" sheetId="27" r:id="rId10"/>
    <sheet name="11.20" sheetId="28" r:id="rId11"/>
    <sheet name="12.20" sheetId="29" r:id="rId12"/>
  </sheets>
  <definedNames>
    <definedName name="_xlnm._FilterDatabase" localSheetId="0" hidden="1">'01.20'!$I$12:$I$70</definedName>
    <definedName name="_xlnm._FilterDatabase" localSheetId="1" hidden="1">'02.20'!$I$12:$I$70</definedName>
    <definedName name="_xlnm._FilterDatabase" localSheetId="2" hidden="1">'03.20'!$I$12:$I$70</definedName>
    <definedName name="_xlnm._FilterDatabase" localSheetId="3" hidden="1">'04.20'!$I$12:$I$66</definedName>
    <definedName name="_xlnm._FilterDatabase" localSheetId="4" hidden="1">'05.20'!$I$12:$I$69</definedName>
    <definedName name="_xlnm._FilterDatabase" localSheetId="5" hidden="1">'06.20'!$I$12:$I$70</definedName>
    <definedName name="_xlnm._FilterDatabase" localSheetId="6" hidden="1">'07.20'!$I$12:$I$70</definedName>
    <definedName name="_xlnm._FilterDatabase" localSheetId="7" hidden="1">'08.20'!$I$12:$I$70</definedName>
    <definedName name="_xlnm._FilterDatabase" localSheetId="8" hidden="1">'09.20'!$I$12:$I$70</definedName>
    <definedName name="_xlnm._FilterDatabase" localSheetId="9" hidden="1">'10.20'!$I$12:$I$70</definedName>
    <definedName name="_xlnm._FilterDatabase" localSheetId="10" hidden="1">'11.20'!$I$12:$I$72</definedName>
    <definedName name="_xlnm._FilterDatabase" localSheetId="11" hidden="1">'12.20'!$I$12:$I$71</definedName>
    <definedName name="_xlnm.Print_Area" localSheetId="0">'01.20'!$A$1:$I$116</definedName>
    <definedName name="_xlnm.Print_Area" localSheetId="1">'02.20'!$A$1:$I$114</definedName>
    <definedName name="_xlnm.Print_Area" localSheetId="3">'04.20'!$A$1:$I$112</definedName>
    <definedName name="_xlnm.Print_Area" localSheetId="4">'05.20'!$A$1:$I$114</definedName>
    <definedName name="_xlnm.Print_Area" localSheetId="5">'06.20'!$A$1:$I$115</definedName>
    <definedName name="_xlnm.Print_Area" localSheetId="6">'07.20'!$A$1:$I$124</definedName>
    <definedName name="_xlnm.Print_Area" localSheetId="7">'08.20'!$A$1:$I$120</definedName>
    <definedName name="_xlnm.Print_Area" localSheetId="8">'09.20'!$A$1:$I$124</definedName>
    <definedName name="_xlnm.Print_Area" localSheetId="9">'10.20'!$A$1:$I$117</definedName>
    <definedName name="_xlnm.Print_Area" localSheetId="10">'11.20'!$A$1:$I$128</definedName>
    <definedName name="_xlnm.Print_Area" localSheetId="11">'12.20'!$A$1:$I$123</definedName>
  </definedNames>
  <calcPr calcId="124519"/>
</workbook>
</file>

<file path=xl/calcChain.xml><?xml version="1.0" encoding="utf-8"?>
<calcChain xmlns="http://schemas.openxmlformats.org/spreadsheetml/2006/main">
  <c r="I90" i="23"/>
  <c r="F55" i="29" l="1"/>
  <c r="I100"/>
  <c r="I98"/>
  <c r="I97"/>
  <c r="I96"/>
  <c r="I95"/>
  <c r="I94"/>
  <c r="F95"/>
  <c r="I93"/>
  <c r="I91"/>
  <c r="I90"/>
  <c r="I89"/>
  <c r="I65"/>
  <c r="I39"/>
  <c r="I18"/>
  <c r="I88" i="28" l="1"/>
  <c r="I105"/>
  <c r="I103"/>
  <c r="I102"/>
  <c r="I101"/>
  <c r="I100"/>
  <c r="I99"/>
  <c r="I97"/>
  <c r="I96"/>
  <c r="I95"/>
  <c r="I94"/>
  <c r="I93"/>
  <c r="I92"/>
  <c r="I91"/>
  <c r="I90"/>
  <c r="I45"/>
  <c r="I44"/>
  <c r="I18"/>
  <c r="I93" i="27" l="1"/>
  <c r="I86"/>
  <c r="I91"/>
  <c r="I89"/>
  <c r="I88"/>
  <c r="I64"/>
  <c r="I33"/>
  <c r="I86" i="25" l="1"/>
  <c r="I64"/>
  <c r="I64" i="24"/>
  <c r="I100"/>
  <c r="I101" s="1"/>
  <c r="I88" i="26"/>
  <c r="I101"/>
  <c r="I100"/>
  <c r="I99"/>
  <c r="I98"/>
  <c r="I97"/>
  <c r="I96"/>
  <c r="I95"/>
  <c r="I92"/>
  <c r="I91"/>
  <c r="I90"/>
  <c r="I64"/>
  <c r="I59"/>
  <c r="I97" i="25"/>
  <c r="I96"/>
  <c r="I95"/>
  <c r="I16" l="1"/>
  <c r="I17"/>
  <c r="I92" l="1"/>
  <c r="I91"/>
  <c r="I89"/>
  <c r="I88"/>
  <c r="I86" i="24"/>
  <c r="I86" i="19"/>
  <c r="I99" i="24"/>
  <c r="I98"/>
  <c r="I97"/>
  <c r="I96"/>
  <c r="I95"/>
  <c r="I94"/>
  <c r="I93" l="1"/>
  <c r="I91"/>
  <c r="F26" i="23"/>
  <c r="F25"/>
  <c r="F24"/>
  <c r="F23"/>
  <c r="F22"/>
  <c r="F21"/>
  <c r="F20"/>
  <c r="F19"/>
  <c r="I19"/>
  <c r="I92"/>
  <c r="I91"/>
  <c r="I88"/>
  <c r="I64"/>
  <c r="I85" i="22" l="1"/>
  <c r="I91"/>
  <c r="I90"/>
  <c r="I88"/>
  <c r="I85" i="20" l="1"/>
  <c r="I64"/>
  <c r="I89" i="21" l="1"/>
  <c r="I88"/>
  <c r="I82" l="1"/>
  <c r="I87"/>
  <c r="I85"/>
  <c r="I84"/>
  <c r="I53"/>
  <c r="I94" i="20"/>
  <c r="I93"/>
  <c r="I92"/>
  <c r="I91"/>
  <c r="I90"/>
  <c r="I77" l="1"/>
  <c r="I57"/>
  <c r="I38"/>
  <c r="I57" i="19" l="1"/>
  <c r="I91"/>
  <c r="I90"/>
  <c r="I88"/>
  <c r="I43"/>
  <c r="I38"/>
  <c r="I87" i="18"/>
  <c r="I91" l="1"/>
  <c r="I89"/>
  <c r="I64"/>
  <c r="I18"/>
  <c r="I44" i="29" l="1"/>
  <c r="F27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17" l="1"/>
  <c r="H20"/>
  <c r="H22"/>
  <c r="H26"/>
  <c r="H18"/>
  <c r="I16"/>
  <c r="I19"/>
  <c r="I21"/>
  <c r="I23"/>
  <c r="I25"/>
  <c r="I27"/>
  <c r="I39" i="28" l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24" l="1"/>
  <c r="H22"/>
  <c r="H26"/>
  <c r="H17"/>
  <c r="H20"/>
  <c r="H18"/>
  <c r="I16"/>
  <c r="I19"/>
  <c r="I21"/>
  <c r="I23"/>
  <c r="I25"/>
  <c r="I27"/>
  <c r="I44" i="27" l="1"/>
  <c r="F32" l="1"/>
  <c r="I32" s="1"/>
  <c r="F31"/>
  <c r="I31" s="1"/>
  <c r="F30"/>
  <c r="I30" s="1"/>
  <c r="F27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I17" s="1"/>
  <c r="F16"/>
  <c r="I16" s="1"/>
  <c r="H27" l="1"/>
  <c r="I27"/>
  <c r="H25"/>
  <c r="H16"/>
  <c r="H19"/>
  <c r="H23"/>
  <c r="H31"/>
  <c r="H21"/>
  <c r="H30"/>
  <c r="H32"/>
  <c r="H18"/>
  <c r="H17"/>
  <c r="H20"/>
  <c r="H22"/>
  <c r="H24"/>
  <c r="H26"/>
  <c r="I82" i="26" l="1"/>
  <c r="F64"/>
  <c r="F53"/>
  <c r="F51"/>
  <c r="F50"/>
  <c r="F49"/>
  <c r="F48"/>
  <c r="F47"/>
  <c r="F46"/>
  <c r="F45"/>
  <c r="I33"/>
  <c r="F32"/>
  <c r="I32" s="1"/>
  <c r="F31"/>
  <c r="H31" s="1"/>
  <c r="F30"/>
  <c r="I30" s="1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E85" i="25"/>
  <c r="F85" s="1"/>
  <c r="F84"/>
  <c r="H84" s="1"/>
  <c r="F80"/>
  <c r="I80" s="1"/>
  <c r="F73"/>
  <c r="F64"/>
  <c r="I59"/>
  <c r="I33"/>
  <c r="F32"/>
  <c r="I32" s="1"/>
  <c r="F31"/>
  <c r="H31" s="1"/>
  <c r="F30"/>
  <c r="I30" s="1"/>
  <c r="F27"/>
  <c r="H27" s="1"/>
  <c r="F26"/>
  <c r="I26" s="1"/>
  <c r="F25"/>
  <c r="I25" s="1"/>
  <c r="F24"/>
  <c r="I24" s="1"/>
  <c r="F23"/>
  <c r="I23" s="1"/>
  <c r="F22"/>
  <c r="I22" s="1"/>
  <c r="F21"/>
  <c r="I21" s="1"/>
  <c r="F20"/>
  <c r="I20" s="1"/>
  <c r="F19"/>
  <c r="I19" s="1"/>
  <c r="E18"/>
  <c r="F18" s="1"/>
  <c r="I18" s="1"/>
  <c r="F17"/>
  <c r="F16"/>
  <c r="H24" i="26" l="1"/>
  <c r="H30"/>
  <c r="I31"/>
  <c r="H32"/>
  <c r="H17"/>
  <c r="H20"/>
  <c r="H22"/>
  <c r="H26"/>
  <c r="H18"/>
  <c r="I16"/>
  <c r="I19"/>
  <c r="I21"/>
  <c r="I23"/>
  <c r="I25"/>
  <c r="I27"/>
  <c r="H85" i="25"/>
  <c r="I85"/>
  <c r="I84"/>
  <c r="H30"/>
  <c r="I31"/>
  <c r="H32"/>
  <c r="H16"/>
  <c r="H21"/>
  <c r="H25"/>
  <c r="H19"/>
  <c r="H23"/>
  <c r="H17"/>
  <c r="H18"/>
  <c r="H20"/>
  <c r="H22"/>
  <c r="H24"/>
  <c r="H26"/>
  <c r="I27"/>
  <c r="I59" i="24" l="1"/>
  <c r="I59" i="23"/>
  <c r="I34" i="24"/>
  <c r="I82"/>
  <c r="F80"/>
  <c r="I80" s="1"/>
  <c r="E85"/>
  <c r="F85" s="1"/>
  <c r="F84"/>
  <c r="H84" s="1"/>
  <c r="I33"/>
  <c r="F32"/>
  <c r="I32" s="1"/>
  <c r="F31"/>
  <c r="I31" s="1"/>
  <c r="F30"/>
  <c r="I30" s="1"/>
  <c r="F70"/>
  <c r="F69"/>
  <c r="F68"/>
  <c r="F67"/>
  <c r="F66"/>
  <c r="I77"/>
  <c r="F77"/>
  <c r="F27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23"/>
  <c r="H27" s="1"/>
  <c r="I26"/>
  <c r="H25"/>
  <c r="I24"/>
  <c r="H23"/>
  <c r="I22"/>
  <c r="H21"/>
  <c r="I20"/>
  <c r="H19"/>
  <c r="E18"/>
  <c r="F18" s="1"/>
  <c r="I18" s="1"/>
  <c r="F17"/>
  <c r="I17" s="1"/>
  <c r="F16"/>
  <c r="H16" s="1"/>
  <c r="F27" i="22"/>
  <c r="H27" s="1"/>
  <c r="E18"/>
  <c r="F18" s="1"/>
  <c r="F17"/>
  <c r="H17" s="1"/>
  <c r="F16"/>
  <c r="I16" s="1"/>
  <c r="F27" i="21"/>
  <c r="H27" s="1"/>
  <c r="F26"/>
  <c r="I26" s="1"/>
  <c r="F25"/>
  <c r="H25" s="1"/>
  <c r="H24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20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19"/>
  <c r="H27" s="1"/>
  <c r="F26"/>
  <c r="I26" s="1"/>
  <c r="F25"/>
  <c r="H25" s="1"/>
  <c r="F24"/>
  <c r="I24" s="1"/>
  <c r="F23"/>
  <c r="H23" s="1"/>
  <c r="F22"/>
  <c r="I22" s="1"/>
  <c r="F21"/>
  <c r="H21" s="1"/>
  <c r="F20"/>
  <c r="I20" s="1"/>
  <c r="F19"/>
  <c r="H19" s="1"/>
  <c r="E18"/>
  <c r="F18" s="1"/>
  <c r="I18" s="1"/>
  <c r="F17"/>
  <c r="I17" s="1"/>
  <c r="F16"/>
  <c r="H16" s="1"/>
  <c r="F27" i="18"/>
  <c r="E85" i="23"/>
  <c r="F85" s="1"/>
  <c r="F84"/>
  <c r="H84" s="1"/>
  <c r="F80"/>
  <c r="I80" s="1"/>
  <c r="F53"/>
  <c r="I33"/>
  <c r="F32"/>
  <c r="I32" s="1"/>
  <c r="F31"/>
  <c r="H31" s="1"/>
  <c r="F30"/>
  <c r="I30" s="1"/>
  <c r="H31" i="24" l="1"/>
  <c r="H18" i="22"/>
  <c r="I18"/>
  <c r="H16"/>
  <c r="H17" i="21"/>
  <c r="H20"/>
  <c r="H22"/>
  <c r="H26"/>
  <c r="H24" i="20"/>
  <c r="H17"/>
  <c r="H20"/>
  <c r="H22"/>
  <c r="H26"/>
  <c r="H17" i="19"/>
  <c r="H24" i="23"/>
  <c r="H20"/>
  <c r="H85" i="24"/>
  <c r="I85"/>
  <c r="I84"/>
  <c r="H30"/>
  <c r="H32"/>
  <c r="H24"/>
  <c r="H17"/>
  <c r="H20"/>
  <c r="H22"/>
  <c r="H26"/>
  <c r="H18"/>
  <c r="I16"/>
  <c r="I19"/>
  <c r="I21"/>
  <c r="I23"/>
  <c r="I25"/>
  <c r="I27"/>
  <c r="H17" i="23"/>
  <c r="H22"/>
  <c r="H26"/>
  <c r="H18"/>
  <c r="I16"/>
  <c r="I21"/>
  <c r="I23"/>
  <c r="I25"/>
  <c r="I86" s="1"/>
  <c r="I27"/>
  <c r="I27" i="22"/>
  <c r="I17"/>
  <c r="H18" i="21"/>
  <c r="I16"/>
  <c r="I19"/>
  <c r="I21"/>
  <c r="I23"/>
  <c r="I25"/>
  <c r="I27"/>
  <c r="H18" i="20"/>
  <c r="I16"/>
  <c r="I19"/>
  <c r="I21"/>
  <c r="I23"/>
  <c r="I25"/>
  <c r="I27"/>
  <c r="H18" i="19"/>
  <c r="I16"/>
  <c r="I19"/>
  <c r="H20"/>
  <c r="I21"/>
  <c r="H22"/>
  <c r="I23"/>
  <c r="H24"/>
  <c r="I25"/>
  <c r="H26"/>
  <c r="I27"/>
  <c r="H30" i="23"/>
  <c r="H32"/>
  <c r="H85"/>
  <c r="I85"/>
  <c r="I84"/>
  <c r="I31"/>
  <c r="F63" i="22" l="1"/>
  <c r="E84" l="1"/>
  <c r="F84" s="1"/>
  <c r="F83"/>
  <c r="H83" s="1"/>
  <c r="F79"/>
  <c r="I79" s="1"/>
  <c r="F72"/>
  <c r="I72" s="1"/>
  <c r="F69"/>
  <c r="F68"/>
  <c r="F67"/>
  <c r="F66"/>
  <c r="F65"/>
  <c r="F51"/>
  <c r="F50"/>
  <c r="F49"/>
  <c r="F48"/>
  <c r="F47"/>
  <c r="F46"/>
  <c r="F45"/>
  <c r="F32"/>
  <c r="F31"/>
  <c r="F30"/>
  <c r="F26"/>
  <c r="F25"/>
  <c r="F24"/>
  <c r="F23"/>
  <c r="F22"/>
  <c r="F21"/>
  <c r="F20"/>
  <c r="F19"/>
  <c r="H84" l="1"/>
  <c r="I84"/>
  <c r="I83"/>
  <c r="I38" i="21" l="1"/>
  <c r="E81"/>
  <c r="F81" s="1"/>
  <c r="F80"/>
  <c r="H80" s="1"/>
  <c r="F76"/>
  <c r="I76" s="1"/>
  <c r="F69"/>
  <c r="I69" s="1"/>
  <c r="I60"/>
  <c r="F60"/>
  <c r="F57"/>
  <c r="F54"/>
  <c r="F53"/>
  <c r="I41"/>
  <c r="I45"/>
  <c r="I44"/>
  <c r="H44"/>
  <c r="F43"/>
  <c r="I43" s="1"/>
  <c r="F42"/>
  <c r="H42" s="1"/>
  <c r="F40"/>
  <c r="I40" s="1"/>
  <c r="F39"/>
  <c r="H39" s="1"/>
  <c r="H38"/>
  <c r="F54" i="19"/>
  <c r="H43" i="21" l="1"/>
  <c r="H40"/>
  <c r="H81"/>
  <c r="I81"/>
  <c r="I80"/>
  <c r="I39"/>
  <c r="I42"/>
  <c r="F78" i="20" l="1"/>
  <c r="I78" s="1"/>
  <c r="I43"/>
  <c r="E84"/>
  <c r="F84" s="1"/>
  <c r="F83"/>
  <c r="F64"/>
  <c r="F58"/>
  <c r="F57"/>
  <c r="I44"/>
  <c r="H43"/>
  <c r="F42"/>
  <c r="I42" s="1"/>
  <c r="F41"/>
  <c r="H41" s="1"/>
  <c r="F40"/>
  <c r="I40" s="1"/>
  <c r="F39"/>
  <c r="H39" s="1"/>
  <c r="H42" l="1"/>
  <c r="I39"/>
  <c r="H40"/>
  <c r="I41"/>
  <c r="E85" i="19" l="1"/>
  <c r="F85" s="1"/>
  <c r="F84"/>
  <c r="F80"/>
  <c r="I80" s="1"/>
  <c r="F73"/>
  <c r="F58"/>
  <c r="F57"/>
  <c r="F50"/>
  <c r="I44"/>
  <c r="F42"/>
  <c r="I42" s="1"/>
  <c r="F41"/>
  <c r="F40"/>
  <c r="F39"/>
  <c r="I38" i="18"/>
  <c r="I43" l="1"/>
  <c r="I83"/>
  <c r="H83"/>
  <c r="I75"/>
  <c r="F57"/>
  <c r="H89"/>
  <c r="E86"/>
  <c r="F86" s="1"/>
  <c r="F85"/>
  <c r="I85" s="1"/>
  <c r="H81"/>
  <c r="I79"/>
  <c r="F79"/>
  <c r="I78"/>
  <c r="H78"/>
  <c r="I77"/>
  <c r="H77"/>
  <c r="I76"/>
  <c r="H76"/>
  <c r="F73"/>
  <c r="I73" s="1"/>
  <c r="F71"/>
  <c r="I71" s="1"/>
  <c r="F70"/>
  <c r="H70" s="1"/>
  <c r="F69"/>
  <c r="I69" s="1"/>
  <c r="F68"/>
  <c r="H68" s="1"/>
  <c r="F67"/>
  <c r="I67" s="1"/>
  <c r="F66"/>
  <c r="H66" s="1"/>
  <c r="H65"/>
  <c r="F64"/>
  <c r="H64" s="1"/>
  <c r="F62"/>
  <c r="H62" s="1"/>
  <c r="F61"/>
  <c r="I61" s="1"/>
  <c r="H59"/>
  <c r="F58"/>
  <c r="I58" s="1"/>
  <c r="H57"/>
  <c r="I54"/>
  <c r="F54"/>
  <c r="H54" s="1"/>
  <c r="I53"/>
  <c r="H53"/>
  <c r="F52"/>
  <c r="I52" s="1"/>
  <c r="F51"/>
  <c r="I51" s="1"/>
  <c r="F50"/>
  <c r="I50" s="1"/>
  <c r="F49"/>
  <c r="I49" s="1"/>
  <c r="F48"/>
  <c r="I48" s="1"/>
  <c r="F47"/>
  <c r="I47" s="1"/>
  <c r="F46"/>
  <c r="I46" s="1"/>
  <c r="I44"/>
  <c r="H43"/>
  <c r="F42"/>
  <c r="I42" s="1"/>
  <c r="F41"/>
  <c r="I41" s="1"/>
  <c r="F40"/>
  <c r="I40" s="1"/>
  <c r="F39"/>
  <c r="I39" s="1"/>
  <c r="H38"/>
  <c r="H36"/>
  <c r="H35"/>
  <c r="I34"/>
  <c r="H34"/>
  <c r="I33"/>
  <c r="F32"/>
  <c r="I32" s="1"/>
  <c r="F31"/>
  <c r="I31" s="1"/>
  <c r="F30"/>
  <c r="I30" s="1"/>
  <c r="I27"/>
  <c r="F26"/>
  <c r="I26" s="1"/>
  <c r="F25"/>
  <c r="I25" s="1"/>
  <c r="H24"/>
  <c r="F24"/>
  <c r="I24" s="1"/>
  <c r="F23"/>
  <c r="I23" s="1"/>
  <c r="F22"/>
  <c r="I22" s="1"/>
  <c r="F21"/>
  <c r="I21" s="1"/>
  <c r="F20"/>
  <c r="I20" s="1"/>
  <c r="F19"/>
  <c r="I19" s="1"/>
  <c r="E18"/>
  <c r="F18" s="1"/>
  <c r="F17"/>
  <c r="I17" s="1"/>
  <c r="F16"/>
  <c r="I16" s="1"/>
  <c r="I84" i="26"/>
  <c r="I73" i="25"/>
  <c r="F73" i="24"/>
  <c r="I73" s="1"/>
  <c r="F73" i="23"/>
  <c r="I73" s="1"/>
  <c r="F73" i="20"/>
  <c r="I73" s="1"/>
  <c r="I73" i="19"/>
  <c r="H22" i="18" l="1"/>
  <c r="H26"/>
  <c r="H31"/>
  <c r="H42"/>
  <c r="H48"/>
  <c r="H52"/>
  <c r="H17"/>
  <c r="H20"/>
  <c r="H40"/>
  <c r="H46"/>
  <c r="H50"/>
  <c r="H18"/>
  <c r="I86"/>
  <c r="H86"/>
  <c r="H16"/>
  <c r="H19"/>
  <c r="H21"/>
  <c r="H23"/>
  <c r="H25"/>
  <c r="H27"/>
  <c r="H30"/>
  <c r="H32"/>
  <c r="H39"/>
  <c r="H41"/>
  <c r="H47"/>
  <c r="H49"/>
  <c r="H51"/>
  <c r="I57"/>
  <c r="H58"/>
  <c r="H61"/>
  <c r="I66"/>
  <c r="H67"/>
  <c r="I68"/>
  <c r="H69"/>
  <c r="I70"/>
  <c r="H71"/>
  <c r="H85"/>
  <c r="I93" l="1"/>
  <c r="E86" i="29"/>
  <c r="F86" s="1"/>
  <c r="H86" s="1"/>
  <c r="F85"/>
  <c r="H85" s="1"/>
  <c r="I81"/>
  <c r="F81"/>
  <c r="F74"/>
  <c r="I74" s="1"/>
  <c r="F65"/>
  <c r="F62"/>
  <c r="F59"/>
  <c r="F51"/>
  <c r="I45"/>
  <c r="F43"/>
  <c r="I43" s="1"/>
  <c r="F42"/>
  <c r="F41"/>
  <c r="F40"/>
  <c r="F66" i="28"/>
  <c r="I66"/>
  <c r="E87" l="1"/>
  <c r="F87" s="1"/>
  <c r="F86"/>
  <c r="I82"/>
  <c r="F82"/>
  <c r="F75"/>
  <c r="I75" s="1"/>
  <c r="F60"/>
  <c r="F44"/>
  <c r="I56"/>
  <c r="F43"/>
  <c r="F41"/>
  <c r="F40"/>
  <c r="F54" i="27"/>
  <c r="F52"/>
  <c r="F51"/>
  <c r="H52"/>
  <c r="I51"/>
  <c r="H88"/>
  <c r="F85"/>
  <c r="H85" s="1"/>
  <c r="F84"/>
  <c r="I84" s="1"/>
  <c r="H82"/>
  <c r="I80"/>
  <c r="I79"/>
  <c r="H79"/>
  <c r="I78"/>
  <c r="H78"/>
  <c r="I77"/>
  <c r="H77"/>
  <c r="I75"/>
  <c r="I73"/>
  <c r="H73"/>
  <c r="F71"/>
  <c r="I71" s="1"/>
  <c r="F70"/>
  <c r="H70" s="1"/>
  <c r="F69"/>
  <c r="I69" s="1"/>
  <c r="F68"/>
  <c r="H68" s="1"/>
  <c r="F67"/>
  <c r="I67" s="1"/>
  <c r="F66"/>
  <c r="H66" s="1"/>
  <c r="H65"/>
  <c r="H64"/>
  <c r="F62"/>
  <c r="H62" s="1"/>
  <c r="I61"/>
  <c r="H61"/>
  <c r="H59"/>
  <c r="F58"/>
  <c r="I58" s="1"/>
  <c r="F57"/>
  <c r="H57" s="1"/>
  <c r="I53"/>
  <c r="H53"/>
  <c r="F50"/>
  <c r="H50" s="1"/>
  <c r="F49"/>
  <c r="I49" s="1"/>
  <c r="F48"/>
  <c r="H48" s="1"/>
  <c r="F47"/>
  <c r="I47" s="1"/>
  <c r="F46"/>
  <c r="H46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I80" i="26"/>
  <c r="F87"/>
  <c r="F86"/>
  <c r="I75"/>
  <c r="F71"/>
  <c r="H69" i="27" l="1"/>
  <c r="H84"/>
  <c r="H67"/>
  <c r="H71"/>
  <c r="H54"/>
  <c r="I54"/>
  <c r="H38"/>
  <c r="I39"/>
  <c r="H40"/>
  <c r="I41"/>
  <c r="H42"/>
  <c r="I46"/>
  <c r="H47"/>
  <c r="I48"/>
  <c r="H49"/>
  <c r="I50"/>
  <c r="H51"/>
  <c r="I52"/>
  <c r="I57"/>
  <c r="H58"/>
  <c r="I66"/>
  <c r="I68"/>
  <c r="I70"/>
  <c r="I85"/>
  <c r="I95" l="1"/>
  <c r="I60" i="22" l="1"/>
  <c r="I49" i="21" l="1"/>
  <c r="I50"/>
  <c r="I48"/>
  <c r="F49"/>
  <c r="F48"/>
  <c r="I57"/>
  <c r="F61" i="20" l="1"/>
  <c r="I59"/>
  <c r="I64" i="19"/>
  <c r="H90" l="1"/>
  <c r="H89"/>
  <c r="H88"/>
  <c r="F61"/>
  <c r="I78" i="29"/>
  <c r="I86"/>
  <c r="I85"/>
  <c r="H83"/>
  <c r="I80"/>
  <c r="H80"/>
  <c r="I79"/>
  <c r="H79"/>
  <c r="H78"/>
  <c r="I76"/>
  <c r="H76"/>
  <c r="F72"/>
  <c r="I72" s="1"/>
  <c r="F71"/>
  <c r="H71" s="1"/>
  <c r="F70"/>
  <c r="I70" s="1"/>
  <c r="F69"/>
  <c r="H69" s="1"/>
  <c r="F68"/>
  <c r="I68" s="1"/>
  <c r="F67"/>
  <c r="H67" s="1"/>
  <c r="H66"/>
  <c r="H65"/>
  <c r="F63"/>
  <c r="H63" s="1"/>
  <c r="H62"/>
  <c r="H60"/>
  <c r="H59"/>
  <c r="F58"/>
  <c r="I58" s="1"/>
  <c r="I55"/>
  <c r="I87" s="1"/>
  <c r="H55"/>
  <c r="I54"/>
  <c r="H54"/>
  <c r="F53"/>
  <c r="I53" s="1"/>
  <c r="F52"/>
  <c r="H52" s="1"/>
  <c r="I51"/>
  <c r="F50"/>
  <c r="H50" s="1"/>
  <c r="F49"/>
  <c r="I49" s="1"/>
  <c r="F48"/>
  <c r="H48" s="1"/>
  <c r="F47"/>
  <c r="I47" s="1"/>
  <c r="H44"/>
  <c r="H43"/>
  <c r="I42"/>
  <c r="I41"/>
  <c r="H40"/>
  <c r="H39"/>
  <c r="H37"/>
  <c r="H36"/>
  <c r="I35"/>
  <c r="H35"/>
  <c r="I34"/>
  <c r="F33"/>
  <c r="I33" s="1"/>
  <c r="F32"/>
  <c r="I32" s="1"/>
  <c r="F31"/>
  <c r="I31" s="1"/>
  <c r="F28"/>
  <c r="I28" s="1"/>
  <c r="H87" i="28"/>
  <c r="H86"/>
  <c r="I86"/>
  <c r="H84"/>
  <c r="I81"/>
  <c r="H81"/>
  <c r="I80"/>
  <c r="H80"/>
  <c r="I79"/>
  <c r="H79"/>
  <c r="I77"/>
  <c r="H77"/>
  <c r="F73"/>
  <c r="I73" s="1"/>
  <c r="F72"/>
  <c r="H72" s="1"/>
  <c r="F71"/>
  <c r="I71" s="1"/>
  <c r="F70"/>
  <c r="H70" s="1"/>
  <c r="F69"/>
  <c r="I69" s="1"/>
  <c r="F68"/>
  <c r="H68" s="1"/>
  <c r="H67"/>
  <c r="H66"/>
  <c r="F64"/>
  <c r="H64" s="1"/>
  <c r="H63"/>
  <c r="H61"/>
  <c r="H60"/>
  <c r="F59"/>
  <c r="I59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45"/>
  <c r="H44"/>
  <c r="I43"/>
  <c r="H42"/>
  <c r="I41"/>
  <c r="H40"/>
  <c r="H39"/>
  <c r="H37"/>
  <c r="H36"/>
  <c r="I35"/>
  <c r="H35"/>
  <c r="I34"/>
  <c r="F33"/>
  <c r="I33" s="1"/>
  <c r="F32"/>
  <c r="I32" s="1"/>
  <c r="F31"/>
  <c r="I31" s="1"/>
  <c r="F28"/>
  <c r="I28" s="1"/>
  <c r="H69" l="1"/>
  <c r="H71"/>
  <c r="H73"/>
  <c r="H31" i="29"/>
  <c r="H33"/>
  <c r="H28"/>
  <c r="H32"/>
  <c r="I40"/>
  <c r="H41"/>
  <c r="H42"/>
  <c r="H47"/>
  <c r="I48"/>
  <c r="H49"/>
  <c r="I50"/>
  <c r="H51"/>
  <c r="I52"/>
  <c r="H53"/>
  <c r="H58"/>
  <c r="I59"/>
  <c r="I62"/>
  <c r="I67"/>
  <c r="H68"/>
  <c r="I69"/>
  <c r="H70"/>
  <c r="I71"/>
  <c r="H72"/>
  <c r="H33" i="28"/>
  <c r="H31"/>
  <c r="H28"/>
  <c r="H32"/>
  <c r="I40"/>
  <c r="H41"/>
  <c r="H43"/>
  <c r="H47"/>
  <c r="I48"/>
  <c r="H49"/>
  <c r="I50"/>
  <c r="H51"/>
  <c r="I52"/>
  <c r="H53"/>
  <c r="H59"/>
  <c r="I60"/>
  <c r="I63"/>
  <c r="I68"/>
  <c r="I70"/>
  <c r="I72"/>
  <c r="I87"/>
  <c r="I107" l="1"/>
  <c r="I102" i="29"/>
  <c r="H90" i="26" l="1"/>
  <c r="I79"/>
  <c r="I87"/>
  <c r="I86"/>
  <c r="H82"/>
  <c r="H79"/>
  <c r="I78"/>
  <c r="H78"/>
  <c r="I77"/>
  <c r="H77"/>
  <c r="I73"/>
  <c r="H73"/>
  <c r="H71"/>
  <c r="F70"/>
  <c r="H70" s="1"/>
  <c r="F69"/>
  <c r="I69" s="1"/>
  <c r="F68"/>
  <c r="H68" s="1"/>
  <c r="F67"/>
  <c r="I67" s="1"/>
  <c r="F66"/>
  <c r="H66" s="1"/>
  <c r="H65"/>
  <c r="H64"/>
  <c r="F62"/>
  <c r="H62" s="1"/>
  <c r="H61"/>
  <c r="H58"/>
  <c r="F57"/>
  <c r="H57" s="1"/>
  <c r="F56"/>
  <c r="I56" s="1"/>
  <c r="I53"/>
  <c r="H53"/>
  <c r="I52"/>
  <c r="H52"/>
  <c r="I51"/>
  <c r="H50"/>
  <c r="I49"/>
  <c r="H48"/>
  <c r="I47"/>
  <c r="H46"/>
  <c r="I45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I77" i="25"/>
  <c r="H88"/>
  <c r="H82"/>
  <c r="H79"/>
  <c r="I78"/>
  <c r="H78"/>
  <c r="H77"/>
  <c r="I75"/>
  <c r="H75"/>
  <c r="F71"/>
  <c r="H71" s="1"/>
  <c r="F70"/>
  <c r="I70" s="1"/>
  <c r="F69"/>
  <c r="H69" s="1"/>
  <c r="F68"/>
  <c r="I68" s="1"/>
  <c r="F67"/>
  <c r="H67" s="1"/>
  <c r="F66"/>
  <c r="I66" s="1"/>
  <c r="H65"/>
  <c r="H64"/>
  <c r="F62"/>
  <c r="H62" s="1"/>
  <c r="I61"/>
  <c r="H58"/>
  <c r="F57"/>
  <c r="I57" s="1"/>
  <c r="F56"/>
  <c r="H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H88" i="24"/>
  <c r="H82"/>
  <c r="H79"/>
  <c r="I78"/>
  <c r="H78"/>
  <c r="H77"/>
  <c r="I75"/>
  <c r="H75"/>
  <c r="F71"/>
  <c r="H71" s="1"/>
  <c r="H70"/>
  <c r="I69"/>
  <c r="H68"/>
  <c r="I67"/>
  <c r="H66"/>
  <c r="H65"/>
  <c r="H64"/>
  <c r="F62"/>
  <c r="H62" s="1"/>
  <c r="H61"/>
  <c r="H58"/>
  <c r="F57"/>
  <c r="H57" s="1"/>
  <c r="F56"/>
  <c r="I56" s="1"/>
  <c r="I53"/>
  <c r="F53"/>
  <c r="H53" s="1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H88" i="23"/>
  <c r="H82"/>
  <c r="H79"/>
  <c r="I78"/>
  <c r="H78"/>
  <c r="I77"/>
  <c r="H77"/>
  <c r="I75"/>
  <c r="H75"/>
  <c r="F71"/>
  <c r="H71" s="1"/>
  <c r="F70"/>
  <c r="H70" s="1"/>
  <c r="F69"/>
  <c r="I69" s="1"/>
  <c r="F68"/>
  <c r="H68" s="1"/>
  <c r="F67"/>
  <c r="I67" s="1"/>
  <c r="F66"/>
  <c r="H66" s="1"/>
  <c r="H65"/>
  <c r="H64"/>
  <c r="F62"/>
  <c r="H62" s="1"/>
  <c r="H61"/>
  <c r="H58"/>
  <c r="F57"/>
  <c r="H57" s="1"/>
  <c r="F56"/>
  <c r="I56" s="1"/>
  <c r="I53"/>
  <c r="H53"/>
  <c r="I52"/>
  <c r="H52"/>
  <c r="F51"/>
  <c r="I51" s="1"/>
  <c r="F50"/>
  <c r="H50" s="1"/>
  <c r="F49"/>
  <c r="I49" s="1"/>
  <c r="F48"/>
  <c r="H48" s="1"/>
  <c r="F47"/>
  <c r="I47" s="1"/>
  <c r="F46"/>
  <c r="H46" s="1"/>
  <c r="F45"/>
  <c r="I45" s="1"/>
  <c r="I43"/>
  <c r="H43"/>
  <c r="F42"/>
  <c r="H42" s="1"/>
  <c r="F41"/>
  <c r="I41" s="1"/>
  <c r="F40"/>
  <c r="H40" s="1"/>
  <c r="F39"/>
  <c r="I39" s="1"/>
  <c r="F38"/>
  <c r="H38" s="1"/>
  <c r="I37"/>
  <c r="H37"/>
  <c r="H35"/>
  <c r="H34"/>
  <c r="I33" i="22"/>
  <c r="H87"/>
  <c r="H81"/>
  <c r="H78"/>
  <c r="I77"/>
  <c r="H77"/>
  <c r="I76"/>
  <c r="H76"/>
  <c r="I74"/>
  <c r="H74"/>
  <c r="F70"/>
  <c r="H70" s="1"/>
  <c r="H69"/>
  <c r="H68"/>
  <c r="H67"/>
  <c r="H66"/>
  <c r="H65"/>
  <c r="H64"/>
  <c r="I63"/>
  <c r="H63"/>
  <c r="F61"/>
  <c r="H61" s="1"/>
  <c r="F60"/>
  <c r="H58"/>
  <c r="F57"/>
  <c r="I57" s="1"/>
  <c r="F56"/>
  <c r="H56" s="1"/>
  <c r="I53"/>
  <c r="F53"/>
  <c r="H53" s="1"/>
  <c r="I52"/>
  <c r="H52"/>
  <c r="H51"/>
  <c r="I50"/>
  <c r="H49"/>
  <c r="H48"/>
  <c r="H47"/>
  <c r="H46"/>
  <c r="H45"/>
  <c r="I43"/>
  <c r="H43"/>
  <c r="F42"/>
  <c r="I42" s="1"/>
  <c r="F41"/>
  <c r="H41" s="1"/>
  <c r="F40"/>
  <c r="I40" s="1"/>
  <c r="F39"/>
  <c r="H39" s="1"/>
  <c r="F38"/>
  <c r="I38" s="1"/>
  <c r="I37"/>
  <c r="H37"/>
  <c r="H35"/>
  <c r="H34"/>
  <c r="H32"/>
  <c r="H31"/>
  <c r="H30"/>
  <c r="H26"/>
  <c r="H25"/>
  <c r="H24"/>
  <c r="H23"/>
  <c r="H22"/>
  <c r="H21"/>
  <c r="H20"/>
  <c r="H84" i="21"/>
  <c r="H78"/>
  <c r="H75"/>
  <c r="I74"/>
  <c r="H74"/>
  <c r="I73"/>
  <c r="H73"/>
  <c r="I71"/>
  <c r="H71"/>
  <c r="F67"/>
  <c r="H67" s="1"/>
  <c r="F66"/>
  <c r="H66" s="1"/>
  <c r="F65"/>
  <c r="H65" s="1"/>
  <c r="F64"/>
  <c r="H64" s="1"/>
  <c r="F63"/>
  <c r="H63" s="1"/>
  <c r="F62"/>
  <c r="H62" s="1"/>
  <c r="H61"/>
  <c r="F58"/>
  <c r="H58" s="1"/>
  <c r="H55"/>
  <c r="I54"/>
  <c r="H53"/>
  <c r="I46"/>
  <c r="F46"/>
  <c r="H46" s="1"/>
  <c r="H36"/>
  <c r="H35"/>
  <c r="H34"/>
  <c r="F32"/>
  <c r="H32" s="1"/>
  <c r="F31"/>
  <c r="H31" s="1"/>
  <c r="F30"/>
  <c r="H30" s="1"/>
  <c r="H84" i="20"/>
  <c r="I83"/>
  <c r="H81"/>
  <c r="I75"/>
  <c r="H75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I61"/>
  <c r="H59"/>
  <c r="I58"/>
  <c r="H57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8"/>
  <c r="H36"/>
  <c r="H35"/>
  <c r="H34"/>
  <c r="F32"/>
  <c r="H32" s="1"/>
  <c r="F31"/>
  <c r="H31" s="1"/>
  <c r="F30"/>
  <c r="H30" s="1"/>
  <c r="I75" i="19"/>
  <c r="I78"/>
  <c r="I85"/>
  <c r="H84"/>
  <c r="H82"/>
  <c r="H79"/>
  <c r="H78"/>
  <c r="I77"/>
  <c r="H77"/>
  <c r="H75"/>
  <c r="F71"/>
  <c r="H71" s="1"/>
  <c r="F70"/>
  <c r="H70" s="1"/>
  <c r="F69"/>
  <c r="H69" s="1"/>
  <c r="F68"/>
  <c r="H68" s="1"/>
  <c r="F67"/>
  <c r="H67" s="1"/>
  <c r="F66"/>
  <c r="H66" s="1"/>
  <c r="H65"/>
  <c r="H64"/>
  <c r="F62"/>
  <c r="H62" s="1"/>
  <c r="H61"/>
  <c r="H59"/>
  <c r="H58"/>
  <c r="I54"/>
  <c r="H54"/>
  <c r="H53"/>
  <c r="F52"/>
  <c r="H52" s="1"/>
  <c r="F51"/>
  <c r="H51" s="1"/>
  <c r="H50"/>
  <c r="F49"/>
  <c r="H49" s="1"/>
  <c r="F48"/>
  <c r="H48" s="1"/>
  <c r="F47"/>
  <c r="H47" s="1"/>
  <c r="F46"/>
  <c r="H46" s="1"/>
  <c r="H43"/>
  <c r="H41"/>
  <c r="I40"/>
  <c r="I39"/>
  <c r="H38"/>
  <c r="H36"/>
  <c r="H35"/>
  <c r="H34"/>
  <c r="F32"/>
  <c r="H32" s="1"/>
  <c r="F31"/>
  <c r="H31" s="1"/>
  <c r="F30"/>
  <c r="H30" s="1"/>
  <c r="H19" i="22" l="1"/>
  <c r="I19"/>
  <c r="I20"/>
  <c r="I25"/>
  <c r="I23"/>
  <c r="I21"/>
  <c r="I31"/>
  <c r="I48"/>
  <c r="I46"/>
  <c r="I65"/>
  <c r="I68"/>
  <c r="I66"/>
  <c r="I26"/>
  <c r="I24"/>
  <c r="I22"/>
  <c r="I30"/>
  <c r="I32"/>
  <c r="I47"/>
  <c r="I45"/>
  <c r="I69"/>
  <c r="I67"/>
  <c r="H87" i="26"/>
  <c r="I71"/>
  <c r="I38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86"/>
  <c r="H66" i="25"/>
  <c r="H38"/>
  <c r="I39"/>
  <c r="H40"/>
  <c r="I41"/>
  <c r="H42"/>
  <c r="I45"/>
  <c r="H46"/>
  <c r="I47"/>
  <c r="H48"/>
  <c r="I49"/>
  <c r="H50"/>
  <c r="I51"/>
  <c r="I56"/>
  <c r="H57"/>
  <c r="H61"/>
  <c r="I67"/>
  <c r="H68"/>
  <c r="I69"/>
  <c r="H70"/>
  <c r="H41" i="24"/>
  <c r="H49"/>
  <c r="H56"/>
  <c r="H67"/>
  <c r="H39"/>
  <c r="H45"/>
  <c r="H69"/>
  <c r="H47"/>
  <c r="H51"/>
  <c r="I38"/>
  <c r="I40"/>
  <c r="I42"/>
  <c r="I46"/>
  <c r="I48"/>
  <c r="I50"/>
  <c r="I57"/>
  <c r="I61"/>
  <c r="I66"/>
  <c r="I68"/>
  <c r="I70"/>
  <c r="I38" i="23"/>
  <c r="H39"/>
  <c r="I40"/>
  <c r="H41"/>
  <c r="I42"/>
  <c r="H45"/>
  <c r="I46"/>
  <c r="H47"/>
  <c r="I48"/>
  <c r="H49"/>
  <c r="I50"/>
  <c r="H51"/>
  <c r="H56"/>
  <c r="I57"/>
  <c r="I61"/>
  <c r="I66"/>
  <c r="H67"/>
  <c r="I68"/>
  <c r="H69"/>
  <c r="I70"/>
  <c r="H38" i="22"/>
  <c r="I39"/>
  <c r="H40"/>
  <c r="I41"/>
  <c r="H42"/>
  <c r="I49"/>
  <c r="H50"/>
  <c r="I51"/>
  <c r="I56"/>
  <c r="H57"/>
  <c r="H60"/>
  <c r="H54" i="21"/>
  <c r="H57"/>
  <c r="H50" i="20"/>
  <c r="H58"/>
  <c r="H61"/>
  <c r="H83"/>
  <c r="I84"/>
  <c r="H39" i="19"/>
  <c r="H40"/>
  <c r="I41"/>
  <c r="H42"/>
  <c r="I50"/>
  <c r="H57"/>
  <c r="I58"/>
  <c r="I61"/>
  <c r="I84"/>
  <c r="H85"/>
  <c r="I103" i="24" l="1"/>
  <c r="I93" i="22"/>
  <c r="I93" i="19"/>
  <c r="I103" i="26"/>
  <c r="I94" i="23"/>
  <c r="I99" i="25"/>
  <c r="I91" i="21"/>
  <c r="I96" i="20"/>
</calcChain>
</file>

<file path=xl/sharedStrings.xml><?xml version="1.0" encoding="utf-8"?>
<sst xmlns="http://schemas.openxmlformats.org/spreadsheetml/2006/main" count="2758" uniqueCount="354">
  <si>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</si>
  <si>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</si>
  <si>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</si>
  <si>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</si>
  <si>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</si>
  <si>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</si>
  <si>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</si>
  <si>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</si>
  <si>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</si>
  <si>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</si>
  <si>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</si>
  <si>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</si>
  <si>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</si>
  <si>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</si>
  <si>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</si>
  <si>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</si>
  <si>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</si>
  <si>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</si>
  <si>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</si>
  <si>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</si>
  <si>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</si>
  <si>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</si>
  <si>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</si>
  <si>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</si>
  <si>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</si>
  <si>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</si>
  <si>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</si>
  <si>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</si>
  <si>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</si>
  <si>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</si>
  <si>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</si>
  <si>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10 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</si>
  <si>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</si>
  <si>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</si>
  <si>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</si>
  <si>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</si>
  <si>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</si>
  <si>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</si>
  <si>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</si>
  <si>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</si>
  <si>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</si>
  <si>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</si>
  <si>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</si>
  <si>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</si>
  <si>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</si>
  <si>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</si>
  <si>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</si>
  <si>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</si>
  <si>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</si>
  <si>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</si>
  <si>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</si>
  <si>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</si>
  <si>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</si>
  <si>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</si>
  <si>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</si>
  <si>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</si>
  <si>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</si>
  <si>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</si>
  <si>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</si>
  <si>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</si>
  <si>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</si>
  <si>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</si>
  <si>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</si>
  <si>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</si>
  <si>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</si>
  <si>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</si>
  <si>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</si>
  <si>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</si>
  <si>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</si>
  <si>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</si>
  <si>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</si>
  <si>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</si>
  <si>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</si>
  <si>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</si>
  <si>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</si>
  <si>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</si>
  <si>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</si>
  <si>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</si>
  <si>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</si>
  <si>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</si>
  <si>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</si>
  <si>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</si>
  <si>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</si>
  <si>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</si>
  <si>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генеральный директор Куканов Ю.Л.</t>
  </si>
  <si>
    <t>1 шт</t>
  </si>
  <si>
    <t>Влажное подметание лестничных клеток 2-5 этажа</t>
  </si>
  <si>
    <t>Мытье лестничных  площадок и маршей 1-5 этаж.</t>
  </si>
  <si>
    <t>Очистка водостоков от наледи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</si>
  <si>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</si>
  <si>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</si>
  <si>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</si>
  <si>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</si>
  <si>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</si>
  <si>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подоконников</t>
  </si>
  <si>
    <t>Влажная протирка отопительных приборов</t>
  </si>
  <si>
    <t>Внеплановая проверка вентканалов</t>
  </si>
  <si>
    <t>Сдвигание снега в дни снегопада (проезды)</t>
  </si>
  <si>
    <t>100м2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</si>
  <si>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</si>
  <si>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</si>
  <si>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</si>
  <si>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</si>
  <si>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</si>
  <si>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</si>
  <si>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</si>
  <si>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</si>
  <si>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</si>
  <si>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</si>
  <si>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</si>
  <si>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</si>
  <si>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</si>
  <si>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</si>
  <si>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</si>
  <si>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</si>
  <si>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</si>
  <si>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</si>
  <si>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</si>
  <si>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</si>
  <si>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</si>
  <si>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</si>
  <si>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</si>
  <si>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</si>
  <si>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</si>
  <si>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</si>
  <si>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</si>
  <si>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</si>
  <si>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</si>
  <si>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</si>
  <si>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</si>
  <si>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</si>
  <si>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АКТ №1</t>
  </si>
  <si>
    <t>Очистка урн от мусора</t>
  </si>
  <si>
    <t>155 раз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</si>
  <si>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</si>
  <si>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</si>
  <si>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12 раз в год</t>
  </si>
  <si>
    <t>Спуск воды после промывки СО в канализацию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</si>
  <si>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</si>
  <si>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</si>
  <si>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</si>
  <si>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Итого месячные затраты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</si>
  <si>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</si>
  <si>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</si>
  <si>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</si>
  <si>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</si>
  <si>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</si>
  <si>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</si>
  <si>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</si>
  <si>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</si>
  <si>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</si>
  <si>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</si>
  <si>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</si>
  <si>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t>АКТ №11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</si>
  <si>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</si>
  <si>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</si>
  <si>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Очистка канализационной сети внутренней</t>
  </si>
  <si>
    <t>Итого затраты за месяц</t>
  </si>
  <si>
    <t>Установка хомута диаметром до 50 мм</t>
  </si>
  <si>
    <t>ООО «Движение»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</si>
  <si>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</si>
  <si>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</si>
  <si>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</t>
  </si>
  <si>
    <t>10 м2</t>
  </si>
  <si>
    <t>Снятие показаний с общедомовых приборов учета холодной воды</t>
  </si>
  <si>
    <t xml:space="preserve">Сдвигание снега в дни снегопада </t>
  </si>
  <si>
    <t>Вывоз снега с придомовой территории</t>
  </si>
  <si>
    <t>1м3</t>
  </si>
  <si>
    <t>Очистка вручную от снега и наледи люков канализационных и водопроводных колодцев</t>
  </si>
  <si>
    <t>по мере необходимости</t>
  </si>
  <si>
    <t>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</si>
  <si>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</si>
  <si>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</si>
  <si>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Обход и осмотр фасадного газопровода</t>
  </si>
  <si>
    <t>Смена светодиодного светильника внутреннего освещения ( со стоимостью светильника)</t>
  </si>
  <si>
    <t>0,6ч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</si>
  <si>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02.08.2018г.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</si>
  <si>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</si>
  <si>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</si>
  <si>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</si>
  <si>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39м3</t>
  </si>
  <si>
    <t>IIi. Содержание общего имущества МКД</t>
  </si>
  <si>
    <t>за период с 01.05.2019 г. по 31.05.2019 г.</t>
  </si>
  <si>
    <t>Осмотр пластиковых и иных  заполнений проемов</t>
  </si>
  <si>
    <t xml:space="preserve">Осмотр водопроводов, канализации, отопления </t>
  </si>
  <si>
    <t>100 шт</t>
  </si>
  <si>
    <t>Осмотр электросетей, армазуры и электрооборудования на лестничных клетках</t>
  </si>
  <si>
    <t>Работа автовышки</t>
  </si>
  <si>
    <t>маш-час</t>
  </si>
  <si>
    <t>Изол</t>
  </si>
  <si>
    <t>Пропан</t>
  </si>
  <si>
    <t>Организация и содержание мест накопления ТКО</t>
  </si>
  <si>
    <t>13 раз</t>
  </si>
  <si>
    <t>8 раз</t>
  </si>
  <si>
    <t>1 раз</t>
  </si>
  <si>
    <t>21 раз</t>
  </si>
  <si>
    <t>5 раз</t>
  </si>
  <si>
    <t>25 раз</t>
  </si>
  <si>
    <t>4 раза</t>
  </si>
  <si>
    <t>7 раз</t>
  </si>
  <si>
    <t>2 раза</t>
  </si>
  <si>
    <t xml:space="preserve">1 раз </t>
  </si>
  <si>
    <t xml:space="preserve">2 раза </t>
  </si>
  <si>
    <t xml:space="preserve">1 раз   </t>
  </si>
  <si>
    <t xml:space="preserve">1 раз    </t>
  </si>
  <si>
    <t>3 маш-час</t>
  </si>
  <si>
    <t>10 маш-час</t>
  </si>
  <si>
    <t>6 маш/час</t>
  </si>
  <si>
    <t>7 раза</t>
  </si>
  <si>
    <t>Смена внутренних трубопроводов на полипропиленовые трубы PN 20 Dу 20</t>
  </si>
  <si>
    <t>за период с 01.01.2020 г. по 31.01.2020 г.</t>
  </si>
  <si>
    <t>0,5 м ГВС подвал под под.№6</t>
  </si>
  <si>
    <t>за период с 01.02.2020 г. по 28.02.2020 г.</t>
  </si>
  <si>
    <t>10,18,21 февраля</t>
  </si>
  <si>
    <t>19 февраля</t>
  </si>
  <si>
    <t>Смена прокладок</t>
  </si>
  <si>
    <t>кв.71</t>
  </si>
  <si>
    <t>за период с 01.03.2020 г. по 31.03.2020 г.</t>
  </si>
  <si>
    <t>3,16 марта</t>
  </si>
  <si>
    <t>Осмотр рулонных кровель</t>
  </si>
  <si>
    <t>под.№7 этаж 4</t>
  </si>
  <si>
    <t xml:space="preserve">Смена полиэтиленовых канализационных труб диаметром до 50 мм </t>
  </si>
  <si>
    <t>1 м</t>
  </si>
  <si>
    <t>Муфта 50</t>
  </si>
  <si>
    <t>Отвод 50-90</t>
  </si>
  <si>
    <t>Манжета 73*50</t>
  </si>
  <si>
    <t>кух.стояк кв 34</t>
  </si>
  <si>
    <t>за период с 01.04.2020 г. по 30.04.2020 г.</t>
  </si>
  <si>
    <t>кв.81 ГВС</t>
  </si>
  <si>
    <t>ХВС с кв.78 до кв.81 - 4 м</t>
  </si>
  <si>
    <t>ГВС с кв.78 до кв.81 - 4 м</t>
  </si>
  <si>
    <t>Перекрыли вентиль</t>
  </si>
  <si>
    <t>1раз</t>
  </si>
  <si>
    <t>п/с кв.67</t>
  </si>
  <si>
    <t>кв.92</t>
  </si>
  <si>
    <t>за период с 01.06.2020 г. по 30.06.2020 г.</t>
  </si>
  <si>
    <t>Смена внутренних трубопроводов на полипропиленовые трубы PN 20 Dу 25</t>
  </si>
  <si>
    <t>Установка металлической решетки на продухи</t>
  </si>
  <si>
    <t>ХВС кв.113 2 м</t>
  </si>
  <si>
    <t>ХВС кв 113-1 шт.; ГВС кв.3 1 шт; п/с кв.1 -1 шт.</t>
  </si>
  <si>
    <t>за период с 01.07.2020 г. по 31.07.2020 г.</t>
  </si>
  <si>
    <t>Внеплановая проверка дымоходов</t>
  </si>
  <si>
    <t>кв.25</t>
  </si>
  <si>
    <t>Смена полипропиленовых канализационных труб 100*2000</t>
  </si>
  <si>
    <t>кв.48</t>
  </si>
  <si>
    <t>Переход чугун-пластик 110</t>
  </si>
  <si>
    <t>Ревизия 110</t>
  </si>
  <si>
    <t>патрубок компенсационный 110</t>
  </si>
  <si>
    <t>Манжета 110</t>
  </si>
  <si>
    <t>Смена арматуры - вентилей и клапанов обратных муфтовых диаметром до 32 мм</t>
  </si>
  <si>
    <t>3 шт, ГВС подвал</t>
  </si>
  <si>
    <t>за период с 01.08.2020 г. по 31.08.2020 г.</t>
  </si>
  <si>
    <t>Дезинсекция  от муравьев ( под.№3)</t>
  </si>
  <si>
    <t>руб.</t>
  </si>
  <si>
    <t>Смена ламп ДРЛ</t>
  </si>
  <si>
    <t>16 м ГВС в 46 и 49 кв.;4 м- ГВС кв.3</t>
  </si>
  <si>
    <t>6 м с/о кв 46.; 1 м ГВС кв.3</t>
  </si>
  <si>
    <t>ХВС кв.96 1 шт.</t>
  </si>
  <si>
    <t>под.№1</t>
  </si>
  <si>
    <t>11 раз</t>
  </si>
  <si>
    <t>Вскрыли шахту для работ ВДИС</t>
  </si>
  <si>
    <t>Восстановление шахты для работ ВДИС</t>
  </si>
  <si>
    <t>за период с 01.09.2020 г. по 30.09.2020 г.</t>
  </si>
  <si>
    <t>7 маш/час</t>
  </si>
  <si>
    <t>Смена внутренних трубопроводов из стальных труб диаметром до 100 мм</t>
  </si>
  <si>
    <t>Сварочные работы</t>
  </si>
  <si>
    <t>час</t>
  </si>
  <si>
    <t>Ремонт рулонной кровли</t>
  </si>
  <si>
    <t>Битум</t>
  </si>
  <si>
    <t>Установка заглушек диаметром трубопроводов до 100 мм</t>
  </si>
  <si>
    <t>заглушка</t>
  </si>
  <si>
    <t>Закрыли форточку</t>
  </si>
  <si>
    <t>210 м2</t>
  </si>
  <si>
    <t>под.№5 эт.1</t>
  </si>
  <si>
    <t>кв.70</t>
  </si>
  <si>
    <t>кв.67 - 4 м</t>
  </si>
  <si>
    <t>с/о 10 м в подвале</t>
  </si>
  <si>
    <t>21 шт</t>
  </si>
  <si>
    <t>9 шт.</t>
  </si>
  <si>
    <t>8 шт.</t>
  </si>
  <si>
    <t>1 шт.ГВС подвал</t>
  </si>
  <si>
    <t>за период с 01.10.2020 г. по 31.10.2020 г.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</si>
  <si>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Кочановой  Ирины Леонидовны действующего на основании Устава, с другой стороны, совместно именуемые "Стороны", составили настоящий Акт о нижеследующем:</t>
    </r>
  </si>
  <si>
    <t>10 раз</t>
  </si>
  <si>
    <t>18 раз</t>
  </si>
  <si>
    <t>22 раза</t>
  </si>
  <si>
    <t>6 раз</t>
  </si>
  <si>
    <t>Смена арматуры - вентилей и клапанов обратных муфтовых диаметром до 20 мм</t>
  </si>
  <si>
    <t>Смена дверных приборов /замки навесные)</t>
  </si>
  <si>
    <t>4 м ХВС с кв.3 до подвала</t>
  </si>
  <si>
    <t>ХВС 1 шт. подвал</t>
  </si>
  <si>
    <t>подсобка под.№5</t>
  </si>
  <si>
    <t>генеральный директор Кочанова И.Л.</t>
  </si>
  <si>
    <t>ХВС подвал 1 шт.</t>
  </si>
  <si>
    <t>за период с 01.11.2020 г. по 30.11.2020 г.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</si>
  <si>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03.08.2018г. стороны, и ООО «Движение», именуемое в дальнейшем "Исполнитель", в лице генерального директора Кочановой Ирины Леонидовны, действующего на основании Устава, с другой стороны, совместно именуемые "Стороны", составили настоящий Акт о нижеследующем:</t>
    </r>
  </si>
  <si>
    <t>Смена полипропиленовых канализационных труб 100*1000</t>
  </si>
  <si>
    <t>Отвод 100-45</t>
  </si>
  <si>
    <t>Отвод 100-90</t>
  </si>
  <si>
    <t>Тройник 100-45</t>
  </si>
  <si>
    <t>Дезинсекция  от муравьев ( под.№4, 5 и подвал)</t>
  </si>
  <si>
    <t>Устройство деревянного настила на крыльце</t>
  </si>
  <si>
    <t>Работа автопогрузчика</t>
  </si>
  <si>
    <t>под.под.№1 8м</t>
  </si>
  <si>
    <t>1 м подвал лежак</t>
  </si>
  <si>
    <t>под.№6 с/о</t>
  </si>
  <si>
    <t>под.№5 эт.2</t>
  </si>
  <si>
    <t>под.№7</t>
  </si>
  <si>
    <t>0,5 маш/час</t>
  </si>
  <si>
    <t>за период с 01.12.2020 г. по 31.12.2020 г.</t>
  </si>
  <si>
    <t>0,8 ч ( 18 и 21 дек)</t>
  </si>
  <si>
    <t>Смена арматуры - вентилей и клапанов обратных муфтовых диаметром до 20 мм ( без материалов)</t>
  </si>
  <si>
    <t>Установка циркуляционного насоса UNIPUMP UPS 25-40-180</t>
  </si>
  <si>
    <t>Прочистка аэратора</t>
  </si>
  <si>
    <t>3м</t>
  </si>
  <si>
    <t>Закрыли продухи</t>
  </si>
  <si>
    <t>Восстановление короба</t>
  </si>
  <si>
    <t>Укрепление оконных и дверных приборов - навесы</t>
  </si>
  <si>
    <t>по.№7</t>
  </si>
  <si>
    <t>под.№6</t>
  </si>
  <si>
    <t>2 м ГВС и 2 м ХВС с 3 до 6 кв.</t>
  </si>
  <si>
    <t>1 шт. ХВС кв.15</t>
  </si>
  <si>
    <t>подвал под 1 под.</t>
  </si>
  <si>
    <t>2. Всего за период с 01.01.2020 по 31.01.2020 выполнено работ (оказано услуг) на общую сумму: 96250,76 руб.</t>
  </si>
  <si>
    <t>(девяносто шесть тысяч двести пятьдесят рублей 76 копеек)</t>
  </si>
  <si>
    <t>2. Всего за период с 01.02.2020 по 29.02.2020 выполнено работ (оказано услуг) на общую сумму: 113254,56 руб.</t>
  </si>
  <si>
    <t>(сто тринадцать тысяч двести пятьдесят четыре рубля 56 копеек)</t>
  </si>
  <si>
    <t>2. Всего за период с 01.03.2020 по 31.03.2020 выполнено работ (оказано услуг) на общую сумму: 99838,43 руб.</t>
  </si>
  <si>
    <t>(девяносто девять тысяч восемьсот тридцать восемь рублей 43 копейки)</t>
  </si>
  <si>
    <t>12 м</t>
  </si>
  <si>
    <t>2. Всего за период с 01.04.2020 по 30.04.2020 выполнено работ (оказано услуг) на общую сумму: 104545,01 руб.</t>
  </si>
  <si>
    <t>(сто четыре тысячи пятьсот сорок пять рублей 01 копейка)</t>
  </si>
  <si>
    <t>6 м</t>
  </si>
  <si>
    <t>2. Всего за период с 01.05.2020 по 31.05.2020 выполнено работ (оказано услуг) на общую сумму: 109068,46 руб.</t>
  </si>
  <si>
    <t>(сто девять тысяч шестьдесят восемь рублей 46 копеек)</t>
  </si>
  <si>
    <t>2. Всего за период с 01.06.2019 по 30.06.2019 выполнено работ (оказано услуг) на общую сумму: 119671,99 руб.</t>
  </si>
  <si>
    <t>(сто девятнадцать тысяч шестьсот семьдесят один рубль 99 копеек)</t>
  </si>
  <si>
    <t>8 м</t>
  </si>
  <si>
    <t>2. Всего за период с 01.07.2020 по 31.07.2020 выполнено работ (оказано услуг) на общую сумму: 264732,88 руб.</t>
  </si>
  <si>
    <t>(двести шестьдесят четыре тысячи семьсот тридцать два рубля 88 копеек)</t>
  </si>
  <si>
    <t>2. Всего за период с 01.08.2020 по 31.08.2020 выполнено работ (оказано услуг) на общую сумму: 133732,48 руб.</t>
  </si>
  <si>
    <t>(сто тридцать тридцать три тысячи семьсот тридцать два рубля 48 копеек)</t>
  </si>
  <si>
    <t>11 м</t>
  </si>
  <si>
    <t>2. Всего за период с 01.09.2020 по 30.09.2020 выполнено работ (оказано услуг) на общую сумму: 284260,42 руб.</t>
  </si>
  <si>
    <t>(двсти восемьдесят четыре тысячи двести шестьдесят рублей 42 копейки)</t>
  </si>
  <si>
    <t>21 м</t>
  </si>
  <si>
    <t>2. Всего за период с 01.10.2020 по 31.10.2020 выполнено работ (оказано услуг) на общую сумму: 92656,71 руб.</t>
  </si>
  <si>
    <t>(девяносто две тысячи шестьсот пятьдесят шесть рублей 71 копейка)</t>
  </si>
  <si>
    <t>15 м</t>
  </si>
  <si>
    <t>2. Всего за период с 01.11.2020 по 30.11.2020 выполнено работ (оказано услуг) на общую сумму: 109422,94 руб.</t>
  </si>
  <si>
    <t>(сто девять тысяч четыреста двадцать два рубля 94 копейки)</t>
  </si>
  <si>
    <t>3 раза</t>
  </si>
  <si>
    <t>2. Всего за период с 01.12.2020 по 31.12.2020 выполнено работ (оказано услуг) на общую сумму: 131118,56 руб.</t>
  </si>
  <si>
    <t>(сто тридцать одна тысяча сто восемнадцать рублей 56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</si>
</sst>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4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/>
    <xf numFmtId="0" fontId="1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8" fillId="2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4" fontId="11" fillId="2" borderId="7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8" fillId="2" borderId="7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 wrapText="1"/>
    </xf>
    <xf numFmtId="4" fontId="11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4" fontId="11" fillId="2" borderId="14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14" fontId="11" fillId="2" borderId="7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left" vertical="center" wrapText="1"/>
    </xf>
    <xf numFmtId="0" fontId="11" fillId="2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4"/>
  <sheetViews>
    <sheetView topLeftCell="A64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131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210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157"/>
      <c r="C6" s="157"/>
      <c r="D6" s="157"/>
      <c r="E6" s="157"/>
      <c r="F6" s="157"/>
      <c r="G6" s="157"/>
      <c r="H6" s="157"/>
      <c r="I6" s="27">
        <v>43861</v>
      </c>
      <c r="J6" s="2"/>
      <c r="K6" s="2"/>
      <c r="L6" s="2"/>
      <c r="M6" s="2"/>
    </row>
    <row r="7" spans="1:13" ht="15.75" customHeight="1">
      <c r="B7" s="155"/>
      <c r="C7" s="155"/>
      <c r="D7" s="15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176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G18*F18/18*1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6</v>
      </c>
      <c r="B30" s="84" t="s">
        <v>104</v>
      </c>
      <c r="C30" s="85" t="s">
        <v>105</v>
      </c>
      <c r="D30" s="84" t="s">
        <v>106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f>F30/6*G30</f>
        <v>1216.0771046666666</v>
      </c>
      <c r="J30" s="61"/>
      <c r="K30" s="60"/>
      <c r="L30" s="60"/>
      <c r="M30" s="60"/>
    </row>
    <row r="31" spans="1:13" s="35" customFormat="1" ht="31.5" hidden="1" customHeight="1">
      <c r="A31" s="40">
        <v>7</v>
      </c>
      <c r="B31" s="84" t="s">
        <v>134</v>
      </c>
      <c r="C31" s="85" t="s">
        <v>105</v>
      </c>
      <c r="D31" s="84" t="s">
        <v>107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f>F31/6*G31</f>
        <v>973.01778599999989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84" t="s">
        <v>27</v>
      </c>
      <c r="C32" s="85" t="s">
        <v>105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f>F32*G32</f>
        <v>2718.599033</v>
      </c>
      <c r="J32" s="61"/>
      <c r="K32" s="60"/>
      <c r="L32" s="60"/>
      <c r="M32" s="60"/>
    </row>
    <row r="33" spans="1:14" s="35" customFormat="1" ht="15.75" hidden="1" customHeight="1">
      <c r="A33" s="40">
        <v>8</v>
      </c>
      <c r="B33" s="84" t="s">
        <v>132</v>
      </c>
      <c r="C33" s="85" t="s">
        <v>39</v>
      </c>
      <c r="D33" s="84" t="s">
        <v>133</v>
      </c>
      <c r="E33" s="87">
        <v>8</v>
      </c>
      <c r="F33" s="87">
        <v>12.4</v>
      </c>
      <c r="G33" s="87">
        <v>1302.02</v>
      </c>
      <c r="H33" s="88">
        <v>16.145</v>
      </c>
      <c r="I33" s="12">
        <f>F33/6*G33</f>
        <v>2690.8413333333338</v>
      </c>
      <c r="J33" s="61"/>
      <c r="K33" s="60"/>
      <c r="L33" s="60"/>
      <c r="M33" s="60"/>
    </row>
    <row r="34" spans="1:14" s="35" customFormat="1" ht="15.75" hidden="1" customHeight="1">
      <c r="A34" s="40">
        <v>9</v>
      </c>
      <c r="B34" s="84" t="s">
        <v>108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f>F34/6*G34</f>
        <v>488.16388888888883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5.75" hidden="1" customHeight="1">
      <c r="A38" s="31">
        <v>5</v>
      </c>
      <c r="B38" s="137" t="s">
        <v>26</v>
      </c>
      <c r="C38" s="39" t="s">
        <v>32</v>
      </c>
      <c r="D38" s="30" t="s">
        <v>175</v>
      </c>
      <c r="E38" s="138"/>
      <c r="F38" s="110">
        <v>6</v>
      </c>
      <c r="G38" s="110">
        <v>2083.12</v>
      </c>
      <c r="H38" s="88">
        <f t="shared" ref="H38:H43" si="2">SUM(F38*G38/1000)</f>
        <v>12.498719999999999</v>
      </c>
      <c r="I38" s="12">
        <f>G38*0.6</f>
        <v>1249.8719999999998</v>
      </c>
      <c r="J38" s="62"/>
    </row>
    <row r="39" spans="1:14" s="35" customFormat="1" ht="15.75" customHeight="1">
      <c r="A39" s="31">
        <v>5</v>
      </c>
      <c r="B39" s="137" t="s">
        <v>165</v>
      </c>
      <c r="C39" s="139" t="s">
        <v>29</v>
      </c>
      <c r="D39" s="137" t="s">
        <v>196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6</v>
      </c>
      <c r="B40" s="30" t="s">
        <v>66</v>
      </c>
      <c r="C40" s="39" t="s">
        <v>29</v>
      </c>
      <c r="D40" s="30" t="s">
        <v>197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15.75" customHeight="1">
      <c r="A41" s="31">
        <v>7</v>
      </c>
      <c r="B41" s="30" t="s">
        <v>79</v>
      </c>
      <c r="C41" s="39" t="s">
        <v>105</v>
      </c>
      <c r="D41" s="30" t="s">
        <v>198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F41/6*G41</f>
        <v>3419.5392000000002</v>
      </c>
      <c r="J41" s="62"/>
    </row>
    <row r="42" spans="1:14" s="35" customFormat="1" ht="16.5" hidden="1" customHeight="1">
      <c r="A42" s="31">
        <v>8</v>
      </c>
      <c r="B42" s="30" t="s">
        <v>110</v>
      </c>
      <c r="C42" s="39" t="s">
        <v>105</v>
      </c>
      <c r="D42" s="30" t="s">
        <v>199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F42/7.5*G42</f>
        <v>378.91152</v>
      </c>
      <c r="J42" s="62"/>
    </row>
    <row r="43" spans="1:14" s="35" customFormat="1" ht="15.75" hidden="1" customHeight="1">
      <c r="A43" s="143">
        <v>9</v>
      </c>
      <c r="B43" s="148" t="s">
        <v>68</v>
      </c>
      <c r="C43" s="149" t="s">
        <v>33</v>
      </c>
      <c r="D43" s="148"/>
      <c r="E43" s="150"/>
      <c r="F43" s="151">
        <v>0.9</v>
      </c>
      <c r="G43" s="151">
        <v>800</v>
      </c>
      <c r="H43" s="99">
        <f t="shared" si="2"/>
        <v>0.72</v>
      </c>
      <c r="I43" s="108">
        <f>F43/7.5*G43</f>
        <v>96.000000000000014</v>
      </c>
      <c r="J43" s="62"/>
      <c r="L43" s="19"/>
      <c r="M43" s="20"/>
      <c r="N43" s="28"/>
    </row>
    <row r="44" spans="1:14" s="35" customFormat="1" ht="33" customHeight="1">
      <c r="A44" s="31">
        <v>8</v>
      </c>
      <c r="B44" s="137" t="s">
        <v>168</v>
      </c>
      <c r="C44" s="139" t="s">
        <v>29</v>
      </c>
      <c r="D44" s="137" t="s">
        <v>200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5.75" customHeight="1">
      <c r="A45" s="222" t="s">
        <v>138</v>
      </c>
      <c r="B45" s="223"/>
      <c r="C45" s="223"/>
      <c r="D45" s="223"/>
      <c r="E45" s="223"/>
      <c r="F45" s="223"/>
      <c r="G45" s="223"/>
      <c r="H45" s="223"/>
      <c r="I45" s="224"/>
      <c r="J45" s="62"/>
      <c r="L45" s="19"/>
      <c r="M45" s="20"/>
      <c r="N45" s="28"/>
    </row>
    <row r="46" spans="1:14" s="35" customFormat="1" ht="15.75" hidden="1" customHeight="1">
      <c r="A46" s="40">
        <v>10</v>
      </c>
      <c r="B46" s="84" t="s">
        <v>111</v>
      </c>
      <c r="C46" s="85" t="s">
        <v>105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f>F46/2*G46</f>
        <v>1412.2771250000001</v>
      </c>
      <c r="J46" s="62"/>
      <c r="L46" s="19"/>
      <c r="M46" s="20"/>
      <c r="N46" s="28"/>
    </row>
    <row r="47" spans="1:14" s="35" customFormat="1" ht="15.75" hidden="1" customHeight="1">
      <c r="A47" s="40">
        <v>11</v>
      </c>
      <c r="B47" s="84" t="s">
        <v>34</v>
      </c>
      <c r="C47" s="85" t="s">
        <v>105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f>F47/2*G47</f>
        <v>53.775743999999996</v>
      </c>
      <c r="J47" s="62"/>
      <c r="L47" s="19"/>
      <c r="M47" s="20"/>
      <c r="N47" s="28"/>
    </row>
    <row r="48" spans="1:14" s="35" customFormat="1" ht="15.75" hidden="1" customHeight="1">
      <c r="A48" s="40">
        <v>12</v>
      </c>
      <c r="B48" s="84" t="s">
        <v>35</v>
      </c>
      <c r="C48" s="85" t="s">
        <v>105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f>F48/2*G48</f>
        <v>2752.9356360000002</v>
      </c>
      <c r="J48" s="62"/>
      <c r="L48" s="19"/>
      <c r="M48" s="20"/>
      <c r="N48" s="28"/>
    </row>
    <row r="49" spans="1:14" s="35" customFormat="1" ht="15.75" hidden="1" customHeight="1">
      <c r="A49" s="40">
        <v>13</v>
      </c>
      <c r="B49" s="84" t="s">
        <v>36</v>
      </c>
      <c r="C49" s="85" t="s">
        <v>105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f>F49/2*G49</f>
        <v>1723.8275022999997</v>
      </c>
      <c r="J49" s="62"/>
      <c r="L49" s="19"/>
      <c r="M49" s="20"/>
      <c r="N49" s="28"/>
    </row>
    <row r="50" spans="1:14" s="35" customFormat="1" ht="15.75" customHeight="1">
      <c r="A50" s="40">
        <v>9</v>
      </c>
      <c r="B50" s="30" t="s">
        <v>55</v>
      </c>
      <c r="C50" s="39" t="s">
        <v>105</v>
      </c>
      <c r="D50" s="30" t="s">
        <v>194</v>
      </c>
      <c r="E50" s="138">
        <v>1652.5</v>
      </c>
      <c r="F50" s="110">
        <f>SUM(E50*5/1000)</f>
        <v>8.2624999999999993</v>
      </c>
      <c r="G50" s="34">
        <v>1655.27</v>
      </c>
      <c r="H50" s="88">
        <f t="shared" si="3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10</v>
      </c>
      <c r="B51" s="84" t="s">
        <v>112</v>
      </c>
      <c r="C51" s="85" t="s">
        <v>105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f>F51/2*G51</f>
        <v>2005.3913749999999</v>
      </c>
      <c r="J51" s="62"/>
      <c r="L51" s="19"/>
      <c r="M51" s="20"/>
      <c r="N51" s="28"/>
    </row>
    <row r="52" spans="1:14" s="35" customFormat="1" ht="31.5" hidden="1" customHeight="1">
      <c r="A52" s="40">
        <v>11</v>
      </c>
      <c r="B52" s="84" t="s">
        <v>113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f>F52/2*G52</f>
        <v>1092.1959999999999</v>
      </c>
      <c r="J52" s="62"/>
      <c r="L52" s="19"/>
      <c r="M52" s="20"/>
      <c r="N52" s="28"/>
    </row>
    <row r="53" spans="1:14" s="35" customFormat="1" ht="15.75" hidden="1" customHeight="1">
      <c r="A53" s="40">
        <v>12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f>F53/2*G53</f>
        <v>56.521300000000004</v>
      </c>
      <c r="J53" s="62"/>
      <c r="L53" s="19"/>
      <c r="M53" s="20"/>
      <c r="N53" s="28"/>
    </row>
    <row r="54" spans="1:14" s="35" customFormat="1" ht="15.75" hidden="1" customHeight="1">
      <c r="A54" s="40">
        <v>13</v>
      </c>
      <c r="B54" s="84" t="s">
        <v>40</v>
      </c>
      <c r="C54" s="85" t="s">
        <v>114</v>
      </c>
      <c r="D54" s="84" t="s">
        <v>69</v>
      </c>
      <c r="E54" s="86">
        <v>236</v>
      </c>
      <c r="F54" s="87">
        <f>SUM(E54)*3</f>
        <v>708</v>
      </c>
      <c r="G54" s="12">
        <v>65.67</v>
      </c>
      <c r="H54" s="88">
        <f t="shared" si="3"/>
        <v>46.49436</v>
      </c>
      <c r="I54" s="12">
        <f>E54*G54</f>
        <v>15498.12</v>
      </c>
      <c r="J54" s="62"/>
      <c r="L54" s="19"/>
      <c r="M54" s="20"/>
      <c r="N54" s="28"/>
    </row>
    <row r="55" spans="1:14" s="35" customFormat="1" ht="15.75" customHeight="1">
      <c r="A55" s="222" t="s">
        <v>139</v>
      </c>
      <c r="B55" s="223"/>
      <c r="C55" s="223"/>
      <c r="D55" s="223"/>
      <c r="E55" s="223"/>
      <c r="F55" s="223"/>
      <c r="G55" s="223"/>
      <c r="H55" s="223"/>
      <c r="I55" s="224"/>
      <c r="J55" s="62"/>
      <c r="L55" s="19"/>
      <c r="M55" s="20"/>
      <c r="N55" s="28"/>
    </row>
    <row r="56" spans="1:14" s="35" customFormat="1" ht="15.75" hidden="1" customHeight="1">
      <c r="A56" s="156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3.75" hidden="1" customHeight="1">
      <c r="A57" s="40">
        <v>13</v>
      </c>
      <c r="B57" s="30" t="s">
        <v>128</v>
      </c>
      <c r="C57" s="39" t="s">
        <v>98</v>
      </c>
      <c r="D57" s="30"/>
      <c r="E57" s="138">
        <v>128.1</v>
      </c>
      <c r="F57" s="110">
        <f>E57*6/100</f>
        <v>7.6859999999999991</v>
      </c>
      <c r="G57" s="136">
        <v>2110.4699999999998</v>
      </c>
      <c r="H57" s="88">
        <f>F57*G57/1000</f>
        <v>16.221072419999995</v>
      </c>
      <c r="I57" s="12">
        <f>F57/6*G57</f>
        <v>2703.5120699999998</v>
      </c>
      <c r="J57" s="62"/>
      <c r="L57" s="19"/>
      <c r="M57" s="20"/>
      <c r="N57" s="28"/>
    </row>
    <row r="58" spans="1:14" s="35" customFormat="1" ht="15.75" hidden="1" customHeight="1">
      <c r="A58" s="40">
        <v>14</v>
      </c>
      <c r="B58" s="113" t="s">
        <v>88</v>
      </c>
      <c r="C58" s="114" t="s">
        <v>98</v>
      </c>
      <c r="D58" s="113" t="s">
        <v>194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92</v>
      </c>
      <c r="C59" s="96" t="s">
        <v>93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/>
      <c r="B60" s="158" t="s">
        <v>43</v>
      </c>
      <c r="C60" s="158"/>
      <c r="D60" s="158"/>
      <c r="E60" s="158"/>
      <c r="F60" s="158"/>
      <c r="G60" s="158"/>
      <c r="H60" s="158"/>
      <c r="I60" s="33"/>
      <c r="J60" s="62"/>
      <c r="L60" s="19"/>
      <c r="M60" s="20"/>
      <c r="N60" s="28"/>
    </row>
    <row r="61" spans="1:14" s="35" customFormat="1" ht="15.75" customHeight="1">
      <c r="A61" s="40">
        <v>10</v>
      </c>
      <c r="B61" s="113" t="s">
        <v>89</v>
      </c>
      <c r="C61" s="114" t="s">
        <v>25</v>
      </c>
      <c r="D61" s="113" t="s">
        <v>194</v>
      </c>
      <c r="E61" s="134">
        <v>200</v>
      </c>
      <c r="F61" s="135">
        <f>E61*12</f>
        <v>2400</v>
      </c>
      <c r="G61" s="147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58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11</v>
      </c>
      <c r="B64" s="142" t="s">
        <v>46</v>
      </c>
      <c r="C64" s="37" t="s">
        <v>114</v>
      </c>
      <c r="D64" s="36" t="s">
        <v>169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4">SUM(F64*G64/1000)</f>
        <v>3.6402000000000001</v>
      </c>
      <c r="I64" s="12">
        <f>G64*1</f>
        <v>303.35000000000002</v>
      </c>
      <c r="J64" s="62"/>
      <c r="L64" s="19"/>
      <c r="M64" s="20"/>
      <c r="N64" s="28"/>
    </row>
    <row r="65" spans="1:21" s="35" customFormat="1" ht="15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1" s="35" customFormat="1" ht="15.75" hidden="1" customHeight="1">
      <c r="A66" s="26">
        <v>25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f t="shared" ref="I66:I71" si="5">F66*G66</f>
        <v>49360.940499999997</v>
      </c>
      <c r="J66" s="62"/>
      <c r="L66" s="19"/>
      <c r="M66" s="20"/>
      <c r="N66" s="28"/>
    </row>
    <row r="67" spans="1:21" s="35" customFormat="1" ht="15.75" hidden="1" customHeight="1">
      <c r="A67" s="26">
        <v>26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f t="shared" si="5"/>
        <v>3843.9410700000003</v>
      </c>
      <c r="J67" s="62"/>
      <c r="L67" s="19"/>
      <c r="M67" s="20"/>
      <c r="N67" s="28"/>
    </row>
    <row r="68" spans="1:21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f t="shared" si="5"/>
        <v>65247.113499999999</v>
      </c>
      <c r="J68" s="62"/>
      <c r="L68" s="19"/>
    </row>
    <row r="69" spans="1:21" s="35" customFormat="1" ht="15.75" hidden="1" customHeight="1">
      <c r="A69" s="26">
        <v>28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f t="shared" si="5"/>
        <v>881.56220000000008</v>
      </c>
    </row>
    <row r="70" spans="1:21" s="35" customFormat="1" ht="19.5" hidden="1" customHeight="1">
      <c r="A70" s="26">
        <v>29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f t="shared" si="5"/>
        <v>822.47460000000001</v>
      </c>
    </row>
    <row r="71" spans="1:21" s="35" customFormat="1" ht="15.75" hidden="1" customHeight="1">
      <c r="A71" s="26">
        <v>17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f t="shared" si="5"/>
        <v>249.4</v>
      </c>
    </row>
    <row r="72" spans="1:21" s="35" customFormat="1" ht="18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1" s="35" customFormat="1" ht="28.5" customHeight="1">
      <c r="A73" s="26">
        <v>12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1" s="35" customFormat="1" ht="22.5" customHeight="1">
      <c r="A74" s="26"/>
      <c r="B74" s="48" t="s">
        <v>70</v>
      </c>
      <c r="C74" s="48"/>
      <c r="D74" s="48"/>
      <c r="E74" s="18"/>
      <c r="F74" s="18"/>
      <c r="G74" s="26"/>
      <c r="H74" s="26"/>
      <c r="I74" s="18"/>
      <c r="J74" s="55"/>
      <c r="K74" s="55"/>
      <c r="L74" s="55"/>
      <c r="M74" s="55"/>
      <c r="N74" s="55"/>
      <c r="O74" s="55"/>
      <c r="P74" s="55"/>
      <c r="Q74" s="55"/>
      <c r="S74" s="55"/>
      <c r="T74" s="55"/>
      <c r="U74" s="55"/>
    </row>
    <row r="75" spans="1:21" s="35" customFormat="1" ht="30" hidden="1" customHeight="1">
      <c r="A75" s="26">
        <v>17</v>
      </c>
      <c r="B75" s="36" t="s">
        <v>174</v>
      </c>
      <c r="C75" s="37" t="s">
        <v>85</v>
      </c>
      <c r="D75" s="36"/>
      <c r="E75" s="17">
        <v>2</v>
      </c>
      <c r="F75" s="34">
        <v>2</v>
      </c>
      <c r="G75" s="34">
        <v>2112.2800000000002</v>
      </c>
      <c r="H75" s="164"/>
      <c r="I75" s="18">
        <f>G75*3</f>
        <v>6336.84</v>
      </c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1" s="35" customFormat="1" ht="23.25" hidden="1" customHeight="1">
      <c r="A76" s="26">
        <v>18</v>
      </c>
      <c r="B76" s="14" t="s">
        <v>71</v>
      </c>
      <c r="C76" s="16" t="s">
        <v>31</v>
      </c>
      <c r="D76" s="14"/>
      <c r="E76" s="18">
        <v>10</v>
      </c>
      <c r="F76" s="72">
        <v>1</v>
      </c>
      <c r="G76" s="12">
        <v>501.62</v>
      </c>
      <c r="H76" s="77">
        <f>F76*G76/1000</f>
        <v>0.50161999999999995</v>
      </c>
      <c r="I76" s="12">
        <f>G76*0.3</f>
        <v>150.48599999999999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1" s="35" customFormat="1" ht="24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7">
        <v>1</v>
      </c>
      <c r="G77" s="12">
        <v>358.51</v>
      </c>
      <c r="H77" s="77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3"/>
      <c r="S77" s="233"/>
      <c r="T77" s="233"/>
      <c r="U77" s="233"/>
    </row>
    <row r="78" spans="1:21" s="35" customFormat="1" ht="21" hidden="1" customHeight="1">
      <c r="A78" s="26">
        <v>18</v>
      </c>
      <c r="B78" s="14" t="s">
        <v>72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77">
        <f>F78*G78/1000</f>
        <v>0.85299000000000003</v>
      </c>
      <c r="I78" s="12">
        <f>G78</f>
        <v>852.99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1" s="35" customFormat="1" ht="27.75" customHeight="1">
      <c r="A79" s="26">
        <v>13</v>
      </c>
      <c r="B79" s="36" t="s">
        <v>164</v>
      </c>
      <c r="C79" s="37" t="s">
        <v>114</v>
      </c>
      <c r="D79" s="36" t="s">
        <v>201</v>
      </c>
      <c r="E79" s="17">
        <v>1</v>
      </c>
      <c r="F79" s="34">
        <f>E79*12</f>
        <v>12</v>
      </c>
      <c r="G79" s="34">
        <v>55.55</v>
      </c>
      <c r="H79" s="77"/>
      <c r="I79" s="12">
        <f>G79*1</f>
        <v>55.55</v>
      </c>
    </row>
    <row r="80" spans="1:21" s="35" customFormat="1" ht="17.25" hidden="1" customHeight="1">
      <c r="A80" s="26"/>
      <c r="B80" s="49" t="s">
        <v>73</v>
      </c>
      <c r="C80" s="37"/>
      <c r="D80" s="26"/>
      <c r="E80" s="18"/>
      <c r="F80" s="18"/>
      <c r="G80" s="34" t="s">
        <v>130</v>
      </c>
      <c r="H80" s="34"/>
      <c r="I80" s="18"/>
    </row>
    <row r="81" spans="1:9" s="35" customFormat="1" ht="15.75" hidden="1" customHeight="1">
      <c r="A81" s="26">
        <v>39</v>
      </c>
      <c r="B81" s="51" t="s">
        <v>120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hidden="1" customHeight="1">
      <c r="A82" s="156"/>
      <c r="B82" s="158" t="s">
        <v>118</v>
      </c>
      <c r="C82" s="158"/>
      <c r="D82" s="158"/>
      <c r="E82" s="158"/>
      <c r="F82" s="158"/>
      <c r="G82" s="158"/>
      <c r="H82" s="158"/>
      <c r="I82" s="18"/>
    </row>
    <row r="83" spans="1:9" s="35" customFormat="1" ht="15.75" hidden="1" customHeight="1">
      <c r="A83" s="26">
        <v>19</v>
      </c>
      <c r="B83" s="84" t="s">
        <v>119</v>
      </c>
      <c r="C83" s="16"/>
      <c r="D83" s="14"/>
      <c r="E83" s="73"/>
      <c r="F83" s="12">
        <v>1</v>
      </c>
      <c r="G83" s="168">
        <v>9889</v>
      </c>
      <c r="H83" s="77">
        <f>G83*F83/1000</f>
        <v>9.8889999999999993</v>
      </c>
      <c r="I83" s="12">
        <f>G83</f>
        <v>9889</v>
      </c>
    </row>
    <row r="84" spans="1:9" s="35" customFormat="1" ht="15.75" customHeight="1">
      <c r="A84" s="225" t="s">
        <v>140</v>
      </c>
      <c r="B84" s="226"/>
      <c r="C84" s="226"/>
      <c r="D84" s="226"/>
      <c r="E84" s="226"/>
      <c r="F84" s="226"/>
      <c r="G84" s="226"/>
      <c r="H84" s="226"/>
      <c r="I84" s="227"/>
    </row>
    <row r="85" spans="1:9" s="35" customFormat="1" ht="16.5" customHeight="1">
      <c r="A85" s="26">
        <v>14</v>
      </c>
      <c r="B85" s="166" t="s">
        <v>121</v>
      </c>
      <c r="C85" s="37" t="s">
        <v>54</v>
      </c>
      <c r="D85" s="167"/>
      <c r="E85" s="34">
        <v>5916.3</v>
      </c>
      <c r="F85" s="34">
        <f>SUM(E85*12)</f>
        <v>70995.600000000006</v>
      </c>
      <c r="G85" s="34">
        <v>3.22</v>
      </c>
      <c r="H85" s="107">
        <f>SUM(F85*G85/1000)</f>
        <v>228.60583200000002</v>
      </c>
      <c r="I85" s="12">
        <f>F85/12*G85</f>
        <v>19050.486000000001</v>
      </c>
    </row>
    <row r="86" spans="1:9" s="35" customFormat="1" ht="33" customHeight="1">
      <c r="A86" s="26">
        <v>15</v>
      </c>
      <c r="B86" s="36" t="s">
        <v>75</v>
      </c>
      <c r="C86" s="37"/>
      <c r="D86" s="57"/>
      <c r="E86" s="138">
        <f>E85</f>
        <v>5916.3</v>
      </c>
      <c r="F86" s="34">
        <f>E86*12</f>
        <v>70995.600000000006</v>
      </c>
      <c r="G86" s="34">
        <v>3.64</v>
      </c>
      <c r="H86" s="107">
        <f>F86*G86/1000</f>
        <v>258.42398400000002</v>
      </c>
      <c r="I86" s="12">
        <f>F86/12*G86</f>
        <v>21535.332000000002</v>
      </c>
    </row>
    <row r="87" spans="1:9" s="35" customFormat="1" ht="15.75" customHeight="1">
      <c r="A87" s="156"/>
      <c r="B87" s="38" t="s">
        <v>77</v>
      </c>
      <c r="C87" s="40"/>
      <c r="D87" s="15"/>
      <c r="E87" s="15"/>
      <c r="F87" s="15"/>
      <c r="G87" s="18"/>
      <c r="H87" s="18"/>
      <c r="I87" s="29">
        <f>I86+I85+I79+I73+I64+I61+I50+I44+I41+I40+I39+I27+I18+I17+I16</f>
        <v>95488.956214999998</v>
      </c>
    </row>
    <row r="88" spans="1:9" s="35" customFormat="1" ht="1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9" s="35" customFormat="1" ht="32.25" customHeight="1">
      <c r="A89" s="26">
        <v>16</v>
      </c>
      <c r="B89" s="36" t="s">
        <v>178</v>
      </c>
      <c r="C89" s="37" t="s">
        <v>170</v>
      </c>
      <c r="D89" s="203" t="s">
        <v>211</v>
      </c>
      <c r="E89" s="34"/>
      <c r="F89" s="34">
        <v>0.5</v>
      </c>
      <c r="G89" s="34">
        <v>1523.6</v>
      </c>
      <c r="H89" s="107">
        <f>G89*F89/1000</f>
        <v>0.76179999999999992</v>
      </c>
      <c r="I89" s="12">
        <f>G89*0.5</f>
        <v>761.8</v>
      </c>
    </row>
    <row r="90" spans="1:9" s="35" customFormat="1" ht="28.5" customHeight="1">
      <c r="A90" s="26">
        <v>17</v>
      </c>
      <c r="B90" s="58" t="s">
        <v>186</v>
      </c>
      <c r="C90" s="59" t="s">
        <v>37</v>
      </c>
      <c r="D90" s="62" t="s">
        <v>194</v>
      </c>
      <c r="E90" s="34"/>
      <c r="F90" s="34">
        <v>0.01</v>
      </c>
      <c r="G90" s="34">
        <v>4070.89</v>
      </c>
      <c r="H90" s="107"/>
      <c r="I90" s="12">
        <v>0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SUM(I89:I90)</f>
        <v>761.8</v>
      </c>
    </row>
    <row r="92" spans="1:9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ht="15.75" customHeight="1">
      <c r="A93" s="54"/>
      <c r="B93" s="46" t="s">
        <v>141</v>
      </c>
      <c r="C93" s="32"/>
      <c r="D93" s="32"/>
      <c r="E93" s="32"/>
      <c r="F93" s="32"/>
      <c r="G93" s="32"/>
      <c r="H93" s="32"/>
      <c r="I93" s="44">
        <f>I87+I91</f>
        <v>96250.756215000001</v>
      </c>
    </row>
    <row r="94" spans="1:9" ht="15.75" customHeight="1">
      <c r="A94" s="231" t="s">
        <v>323</v>
      </c>
      <c r="B94" s="231"/>
      <c r="C94" s="231"/>
      <c r="D94" s="231"/>
      <c r="E94" s="231"/>
      <c r="F94" s="231"/>
      <c r="G94" s="231"/>
      <c r="H94" s="231"/>
      <c r="I94" s="231"/>
    </row>
    <row r="95" spans="1:9" ht="15.75" customHeight="1">
      <c r="A95" s="71"/>
      <c r="B95" s="232" t="s">
        <v>324</v>
      </c>
      <c r="C95" s="232"/>
      <c r="D95" s="232"/>
      <c r="E95" s="232"/>
      <c r="F95" s="232"/>
      <c r="G95" s="232"/>
      <c r="H95" s="76"/>
      <c r="I95" s="3"/>
    </row>
    <row r="96" spans="1:9" ht="15.75" customHeight="1">
      <c r="A96" s="154"/>
      <c r="B96" s="218" t="s">
        <v>6</v>
      </c>
      <c r="C96" s="218"/>
      <c r="D96" s="218"/>
      <c r="E96" s="218"/>
      <c r="F96" s="218"/>
      <c r="G96" s="218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9" t="s">
        <v>7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9" t="s">
        <v>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20" t="s">
        <v>60</v>
      </c>
      <c r="B100" s="220"/>
      <c r="C100" s="220"/>
      <c r="D100" s="220"/>
      <c r="E100" s="220"/>
      <c r="F100" s="220"/>
      <c r="G100" s="220"/>
      <c r="H100" s="220"/>
      <c r="I100" s="220"/>
    </row>
    <row r="101" spans="1:9" ht="15.75" customHeight="1">
      <c r="A101" s="10"/>
    </row>
    <row r="102" spans="1:9" ht="15.75" customHeight="1">
      <c r="A102" s="213" t="s">
        <v>9</v>
      </c>
      <c r="B102" s="213"/>
      <c r="C102" s="213"/>
      <c r="D102" s="213"/>
      <c r="E102" s="213"/>
      <c r="F102" s="213"/>
      <c r="G102" s="213"/>
      <c r="H102" s="213"/>
      <c r="I102" s="213"/>
    </row>
    <row r="103" spans="1:9" ht="15.75" customHeight="1">
      <c r="A103" s="4"/>
    </row>
    <row r="104" spans="1:9" ht="15.75" customHeight="1">
      <c r="B104" s="155" t="s">
        <v>10</v>
      </c>
      <c r="C104" s="214" t="s">
        <v>84</v>
      </c>
      <c r="D104" s="214"/>
      <c r="E104" s="214"/>
      <c r="F104" s="74"/>
      <c r="I104" s="153"/>
    </row>
    <row r="105" spans="1:9" ht="15.75" customHeight="1">
      <c r="A105" s="154"/>
      <c r="C105" s="218" t="s">
        <v>11</v>
      </c>
      <c r="D105" s="218"/>
      <c r="E105" s="218"/>
      <c r="F105" s="21"/>
      <c r="I105" s="152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155" t="s">
        <v>13</v>
      </c>
      <c r="C107" s="215"/>
      <c r="D107" s="215"/>
      <c r="E107" s="215"/>
      <c r="F107" s="75"/>
      <c r="I107" s="153"/>
    </row>
    <row r="108" spans="1:9">
      <c r="A108" s="154"/>
      <c r="C108" s="216" t="s">
        <v>11</v>
      </c>
      <c r="D108" s="216"/>
      <c r="E108" s="216"/>
      <c r="F108" s="154"/>
      <c r="I108" s="152" t="s">
        <v>12</v>
      </c>
    </row>
    <row r="109" spans="1:9" ht="45" customHeight="1">
      <c r="A109" s="4" t="s">
        <v>14</v>
      </c>
    </row>
    <row r="110" spans="1:9" ht="30" customHeight="1">
      <c r="A110" s="217" t="s">
        <v>15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30" customHeight="1">
      <c r="A111" s="212" t="s">
        <v>16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4.25" customHeight="1">
      <c r="A112" s="212" t="s">
        <v>17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4.5" customHeight="1">
      <c r="A113" s="212" t="s">
        <v>21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5.75">
      <c r="A114" s="212" t="s">
        <v>20</v>
      </c>
      <c r="B114" s="212"/>
      <c r="C114" s="212"/>
      <c r="D114" s="212"/>
      <c r="E114" s="212"/>
      <c r="F114" s="212"/>
      <c r="G114" s="212"/>
      <c r="H114" s="212"/>
      <c r="I114" s="212"/>
    </row>
  </sheetData>
  <autoFilter ref="I12:I70"/>
  <mergeCells count="29">
    <mergeCell ref="R77:U77"/>
    <mergeCell ref="A3:I3"/>
    <mergeCell ref="A4:I4"/>
    <mergeCell ref="A5:I5"/>
    <mergeCell ref="A8:I8"/>
    <mergeCell ref="A10:I10"/>
    <mergeCell ref="A14:I14"/>
    <mergeCell ref="A98:I98"/>
    <mergeCell ref="A100:I100"/>
    <mergeCell ref="A15:I15"/>
    <mergeCell ref="A28:I28"/>
    <mergeCell ref="A45:I45"/>
    <mergeCell ref="A55:I55"/>
    <mergeCell ref="A84:I84"/>
    <mergeCell ref="A88:I88"/>
    <mergeCell ref="A94:I94"/>
    <mergeCell ref="B95:G95"/>
    <mergeCell ref="B96:G96"/>
    <mergeCell ref="A99:I99"/>
    <mergeCell ref="A114:I114"/>
    <mergeCell ref="A102:I102"/>
    <mergeCell ref="C104:E104"/>
    <mergeCell ref="C107:E107"/>
    <mergeCell ref="C108:E108"/>
    <mergeCell ref="A113:I113"/>
    <mergeCell ref="A110:I110"/>
    <mergeCell ref="A111:I111"/>
    <mergeCell ref="A112:I112"/>
    <mergeCell ref="C105:E105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9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6"/>
  <sheetViews>
    <sheetView topLeftCell="A80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4.140625" hidden="1" customWidth="1"/>
    <col min="6" max="6" width="10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152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281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120"/>
      <c r="C6" s="120"/>
      <c r="D6" s="120"/>
      <c r="E6" s="120"/>
      <c r="F6" s="120"/>
      <c r="G6" s="120"/>
      <c r="H6" s="120"/>
      <c r="I6" s="27">
        <v>44135</v>
      </c>
      <c r="J6" s="2"/>
      <c r="K6" s="2"/>
      <c r="L6" s="2"/>
      <c r="M6" s="2"/>
    </row>
    <row r="7" spans="1:13" ht="15.75" customHeight="1">
      <c r="B7" s="118"/>
      <c r="C7" s="118"/>
      <c r="D7" s="118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282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283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G16*F16/156*10</f>
        <v>4047.2639999999997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G17*F17/104*5</f>
        <v>8092.1360000000013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200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284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G27*F27/258*18</f>
        <v>1047.3119999999999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196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G30*F30/52*5</f>
        <v>449.69130000000001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196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G31*F31/52*5</f>
        <v>510.45819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105</v>
      </c>
      <c r="D32" s="30" t="s">
        <v>201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132</v>
      </c>
      <c r="C33" s="39" t="s">
        <v>39</v>
      </c>
      <c r="D33" s="30" t="s">
        <v>285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G33*F33/155*22</f>
        <v>3125.6544000000004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33" hidden="1" customHeight="1">
      <c r="A44" s="201">
        <v>8</v>
      </c>
      <c r="B44" s="137" t="s">
        <v>168</v>
      </c>
      <c r="C44" s="139" t="s">
        <v>29</v>
      </c>
      <c r="D44" s="137" t="s">
        <v>194</v>
      </c>
      <c r="E44" s="141">
        <v>3.6</v>
      </c>
      <c r="F44" s="140">
        <v>0.04</v>
      </c>
      <c r="G44" s="140">
        <v>270.61</v>
      </c>
      <c r="H44" s="72"/>
      <c r="I44" s="202">
        <f>G44*3.6/1000</f>
        <v>0.97419600000000006</v>
      </c>
      <c r="J44" s="62"/>
      <c r="L44" s="19"/>
      <c r="M44" s="20"/>
      <c r="N44" s="28"/>
    </row>
    <row r="45" spans="1:14" s="35" customFormat="1" ht="15.75" hidden="1" customHeight="1">
      <c r="A45" s="222" t="s">
        <v>138</v>
      </c>
      <c r="B45" s="223"/>
      <c r="C45" s="223"/>
      <c r="D45" s="223"/>
      <c r="E45" s="223"/>
      <c r="F45" s="223"/>
      <c r="G45" s="223"/>
      <c r="H45" s="223"/>
      <c r="I45" s="224"/>
      <c r="J45" s="62"/>
      <c r="L45" s="19"/>
      <c r="M45" s="20"/>
      <c r="N45" s="28"/>
    </row>
    <row r="46" spans="1:14" s="35" customFormat="1" ht="15.75" hidden="1" customHeight="1">
      <c r="A46" s="40">
        <v>10</v>
      </c>
      <c r="B46" s="84" t="s">
        <v>111</v>
      </c>
      <c r="C46" s="85" t="s">
        <v>105</v>
      </c>
      <c r="D46" s="84" t="s">
        <v>41</v>
      </c>
      <c r="E46" s="86">
        <v>1662.5</v>
      </c>
      <c r="F46" s="122">
        <f>SUM(E46*2/1000)</f>
        <v>3.3250000000000002</v>
      </c>
      <c r="G46" s="111">
        <v>1158.7</v>
      </c>
      <c r="H46" s="88">
        <f t="shared" ref="H46:H54" si="4">SUM(F46*G46/1000)</f>
        <v>3.8526775000000004</v>
      </c>
      <c r="I46" s="12">
        <f>F46/2*G46</f>
        <v>1926.3387500000001</v>
      </c>
      <c r="J46" s="62"/>
      <c r="L46" s="19"/>
      <c r="M46" s="20"/>
      <c r="N46" s="28"/>
    </row>
    <row r="47" spans="1:14" s="35" customFormat="1" ht="15.75" hidden="1" customHeight="1">
      <c r="A47" s="40">
        <v>11</v>
      </c>
      <c r="B47" s="84" t="s">
        <v>34</v>
      </c>
      <c r="C47" s="85" t="s">
        <v>105</v>
      </c>
      <c r="D47" s="84" t="s">
        <v>41</v>
      </c>
      <c r="E47" s="86">
        <v>92.8</v>
      </c>
      <c r="F47" s="122">
        <f>SUM(E47*2/1000)</f>
        <v>0.18559999999999999</v>
      </c>
      <c r="G47" s="111">
        <v>790.38</v>
      </c>
      <c r="H47" s="88">
        <f t="shared" si="4"/>
        <v>0.14669452799999999</v>
      </c>
      <c r="I47" s="12">
        <f>F47/2*G47</f>
        <v>73.347263999999996</v>
      </c>
      <c r="J47" s="62"/>
      <c r="L47" s="19"/>
      <c r="M47" s="20"/>
      <c r="N47" s="28"/>
    </row>
    <row r="48" spans="1:14" s="35" customFormat="1" ht="15.75" hidden="1" customHeight="1">
      <c r="A48" s="40">
        <v>12</v>
      </c>
      <c r="B48" s="84" t="s">
        <v>35</v>
      </c>
      <c r="C48" s="85" t="s">
        <v>105</v>
      </c>
      <c r="D48" s="84" t="s">
        <v>41</v>
      </c>
      <c r="E48" s="86">
        <v>4750.7</v>
      </c>
      <c r="F48" s="122">
        <f>SUM(E48*2/1000)</f>
        <v>9.5014000000000003</v>
      </c>
      <c r="G48" s="111">
        <v>790.38</v>
      </c>
      <c r="H48" s="88">
        <f t="shared" si="4"/>
        <v>7.5097165320000006</v>
      </c>
      <c r="I48" s="12">
        <f>F48/2*G48</f>
        <v>3754.8582660000002</v>
      </c>
      <c r="J48" s="62"/>
      <c r="L48" s="19"/>
      <c r="M48" s="20"/>
      <c r="N48" s="28"/>
    </row>
    <row r="49" spans="1:14" s="35" customFormat="1" ht="15.75" hidden="1" customHeight="1">
      <c r="A49" s="40">
        <v>13</v>
      </c>
      <c r="B49" s="84" t="s">
        <v>36</v>
      </c>
      <c r="C49" s="85" t="s">
        <v>105</v>
      </c>
      <c r="D49" s="84" t="s">
        <v>41</v>
      </c>
      <c r="E49" s="86">
        <v>2840.99</v>
      </c>
      <c r="F49" s="122">
        <f>SUM(E49*2/1000)</f>
        <v>5.6819799999999994</v>
      </c>
      <c r="G49" s="111">
        <v>827.65</v>
      </c>
      <c r="H49" s="88">
        <f t="shared" si="4"/>
        <v>4.7026907469999992</v>
      </c>
      <c r="I49" s="12">
        <f>F49/2*G49</f>
        <v>2351.3453734999998</v>
      </c>
      <c r="J49" s="62"/>
      <c r="L49" s="19"/>
      <c r="M49" s="20"/>
      <c r="N49" s="28"/>
    </row>
    <row r="50" spans="1:14" s="35" customFormat="1" ht="15.75" hidden="1" customHeight="1">
      <c r="A50" s="40">
        <v>14</v>
      </c>
      <c r="B50" s="84" t="s">
        <v>55</v>
      </c>
      <c r="C50" s="85" t="s">
        <v>105</v>
      </c>
      <c r="D50" s="84" t="s">
        <v>135</v>
      </c>
      <c r="E50" s="86">
        <v>1652.5</v>
      </c>
      <c r="F50" s="122">
        <f>SUM(E50*5/1000)</f>
        <v>8.2624999999999993</v>
      </c>
      <c r="G50" s="111">
        <v>1655.27</v>
      </c>
      <c r="H50" s="88">
        <f t="shared" si="4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10</v>
      </c>
      <c r="B51" s="84" t="s">
        <v>112</v>
      </c>
      <c r="C51" s="85" t="s">
        <v>105</v>
      </c>
      <c r="D51" s="84" t="s">
        <v>41</v>
      </c>
      <c r="E51" s="127">
        <v>1652.5</v>
      </c>
      <c r="F51" s="122">
        <f>SUM(E51*2/1000)</f>
        <v>3.3050000000000002</v>
      </c>
      <c r="G51" s="111">
        <v>1655.27</v>
      </c>
      <c r="H51" s="88">
        <f t="shared" si="4"/>
        <v>5.4706673500000003</v>
      </c>
      <c r="I51" s="12">
        <f>F51/2*G51</f>
        <v>2735.3336750000003</v>
      </c>
      <c r="J51" s="62"/>
      <c r="L51" s="19"/>
      <c r="M51" s="20"/>
      <c r="N51" s="28"/>
    </row>
    <row r="52" spans="1:14" s="35" customFormat="1" ht="31.5" hidden="1" customHeight="1">
      <c r="A52" s="40">
        <v>11</v>
      </c>
      <c r="B52" s="84" t="s">
        <v>113</v>
      </c>
      <c r="C52" s="85" t="s">
        <v>37</v>
      </c>
      <c r="D52" s="84" t="s">
        <v>41</v>
      </c>
      <c r="E52" s="127">
        <v>25</v>
      </c>
      <c r="F52" s="122">
        <f>SUM(E52*2/100)</f>
        <v>0.5</v>
      </c>
      <c r="G52" s="111">
        <v>3724.37</v>
      </c>
      <c r="H52" s="88">
        <f t="shared" si="4"/>
        <v>1.862185</v>
      </c>
      <c r="I52" s="12">
        <f>F52/2*G52</f>
        <v>931.09249999999997</v>
      </c>
      <c r="J52" s="62"/>
      <c r="L52" s="19"/>
      <c r="M52" s="20"/>
      <c r="N52" s="28"/>
    </row>
    <row r="53" spans="1:14" s="35" customFormat="1" ht="15.75" hidden="1" customHeight="1">
      <c r="A53" s="40">
        <v>12</v>
      </c>
      <c r="B53" s="84" t="s">
        <v>38</v>
      </c>
      <c r="C53" s="85" t="s">
        <v>39</v>
      </c>
      <c r="D53" s="84" t="s">
        <v>41</v>
      </c>
      <c r="E53" s="127">
        <v>1</v>
      </c>
      <c r="F53" s="122">
        <v>0.02</v>
      </c>
      <c r="G53" s="111">
        <v>7709.44</v>
      </c>
      <c r="H53" s="88">
        <f t="shared" si="4"/>
        <v>0.15418879999999999</v>
      </c>
      <c r="I53" s="12">
        <f>F53/2*G53</f>
        <v>77.094399999999993</v>
      </c>
      <c r="J53" s="62"/>
      <c r="L53" s="19"/>
      <c r="M53" s="20"/>
      <c r="N53" s="28"/>
    </row>
    <row r="54" spans="1:14" s="35" customFormat="1" ht="15.75" hidden="1" customHeight="1">
      <c r="A54" s="40">
        <v>13</v>
      </c>
      <c r="B54" s="84" t="s">
        <v>40</v>
      </c>
      <c r="C54" s="85" t="s">
        <v>114</v>
      </c>
      <c r="D54" s="84" t="s">
        <v>69</v>
      </c>
      <c r="E54" s="127">
        <v>198</v>
      </c>
      <c r="F54" s="122">
        <f>SUM(E54)*3</f>
        <v>594</v>
      </c>
      <c r="G54" s="128">
        <v>89.59</v>
      </c>
      <c r="H54" s="88">
        <f t="shared" si="4"/>
        <v>53.216459999999998</v>
      </c>
      <c r="I54" s="12">
        <f>E54*G54</f>
        <v>17738.82</v>
      </c>
      <c r="J54" s="62"/>
      <c r="L54" s="19"/>
      <c r="M54" s="20"/>
      <c r="N54" s="28"/>
    </row>
    <row r="55" spans="1:14" s="35" customFormat="1" ht="15.75" customHeight="1">
      <c r="A55" s="222" t="s">
        <v>144</v>
      </c>
      <c r="B55" s="223"/>
      <c r="C55" s="223"/>
      <c r="D55" s="223"/>
      <c r="E55" s="223"/>
      <c r="F55" s="223"/>
      <c r="G55" s="223"/>
      <c r="H55" s="223"/>
      <c r="I55" s="224"/>
      <c r="J55" s="62"/>
      <c r="L55" s="19"/>
      <c r="M55" s="20"/>
      <c r="N55" s="28"/>
    </row>
    <row r="56" spans="1:14" s="35" customFormat="1" ht="15.75" hidden="1" customHeight="1">
      <c r="A56" s="119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1.5" hidden="1" customHeight="1">
      <c r="A57" s="40">
        <v>16</v>
      </c>
      <c r="B57" s="84" t="s">
        <v>128</v>
      </c>
      <c r="C57" s="85" t="s">
        <v>98</v>
      </c>
      <c r="D57" s="84" t="s">
        <v>129</v>
      </c>
      <c r="E57" s="86">
        <v>166.25</v>
      </c>
      <c r="F57" s="87">
        <f>E57*6/100</f>
        <v>9.9749999999999996</v>
      </c>
      <c r="G57" s="94">
        <v>1547.28</v>
      </c>
      <c r="H57" s="88">
        <f>F57*G57/1000</f>
        <v>15.434117999999998</v>
      </c>
      <c r="I57" s="12">
        <f>F57/6*G57</f>
        <v>2572.3529999999996</v>
      </c>
      <c r="J57" s="62"/>
      <c r="L57" s="19"/>
      <c r="M57" s="20"/>
      <c r="N57" s="28"/>
    </row>
    <row r="58" spans="1:14" s="35" customFormat="1" ht="15.75" hidden="1" customHeight="1">
      <c r="A58" s="40">
        <v>17</v>
      </c>
      <c r="B58" s="95" t="s">
        <v>88</v>
      </c>
      <c r="C58" s="96" t="s">
        <v>98</v>
      </c>
      <c r="D58" s="95" t="s">
        <v>129</v>
      </c>
      <c r="E58" s="97">
        <v>56</v>
      </c>
      <c r="F58" s="98">
        <f>E58*6/100</f>
        <v>3.36</v>
      </c>
      <c r="G58" s="94">
        <v>1547.28</v>
      </c>
      <c r="H58" s="99">
        <f>F58*G58/1000</f>
        <v>5.1988607999999994</v>
      </c>
      <c r="I58" s="12">
        <f>F58/6*G58</f>
        <v>866.47679999999991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92</v>
      </c>
      <c r="C59" s="96" t="s">
        <v>93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/>
      <c r="B60" s="121" t="s">
        <v>43</v>
      </c>
      <c r="C60" s="121"/>
      <c r="D60" s="121"/>
      <c r="E60" s="121"/>
      <c r="F60" s="121"/>
      <c r="G60" s="121"/>
      <c r="H60" s="121"/>
      <c r="I60" s="33"/>
      <c r="J60" s="62"/>
      <c r="L60" s="19"/>
      <c r="M60" s="20"/>
      <c r="N60" s="28"/>
    </row>
    <row r="61" spans="1:14" s="35" customFormat="1" ht="15.75" customHeight="1">
      <c r="A61" s="40">
        <v>8</v>
      </c>
      <c r="B61" s="95" t="s">
        <v>89</v>
      </c>
      <c r="C61" s="96" t="s">
        <v>25</v>
      </c>
      <c r="D61" s="95" t="s">
        <v>194</v>
      </c>
      <c r="E61" s="97">
        <v>330.5</v>
      </c>
      <c r="F61" s="123">
        <v>2400</v>
      </c>
      <c r="G61" s="124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21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9</v>
      </c>
      <c r="B64" s="14" t="s">
        <v>46</v>
      </c>
      <c r="C64" s="16" t="s">
        <v>114</v>
      </c>
      <c r="D64" s="14" t="s">
        <v>286</v>
      </c>
      <c r="E64" s="18">
        <v>10</v>
      </c>
      <c r="F64" s="87">
        <v>10</v>
      </c>
      <c r="G64" s="111">
        <v>303.35000000000002</v>
      </c>
      <c r="H64" s="77">
        <f t="shared" ref="H64:H71" si="5">SUM(F64*G64/1000)</f>
        <v>3.0335000000000001</v>
      </c>
      <c r="I64" s="12">
        <f>G64*6</f>
        <v>1820.1000000000001</v>
      </c>
      <c r="J64" s="62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 t="shared" ref="I66:I71" si="6">F66*G66</f>
        <v>49360.940499999997</v>
      </c>
      <c r="J66" s="62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 t="shared" si="6"/>
        <v>3843.9410700000003</v>
      </c>
      <c r="J67" s="62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 t="shared" si="6"/>
        <v>65247.113499999999</v>
      </c>
      <c r="J68" s="62"/>
      <c r="L68" s="19"/>
    </row>
    <row r="69" spans="1:22" s="35" customFormat="1" ht="15.75" hidden="1" customHeight="1">
      <c r="A69" s="26">
        <v>28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 t="shared" si="6"/>
        <v>881.56220000000008</v>
      </c>
    </row>
    <row r="70" spans="1:22" s="35" customFormat="1" ht="15.75" hidden="1" customHeight="1">
      <c r="A70" s="26">
        <v>29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 t="shared" si="6"/>
        <v>822.47460000000001</v>
      </c>
    </row>
    <row r="71" spans="1:22" s="35" customFormat="1" ht="15.75" hidden="1" customHeight="1">
      <c r="A71" s="26">
        <v>16</v>
      </c>
      <c r="B71" s="14" t="s">
        <v>56</v>
      </c>
      <c r="C71" s="16" t="s">
        <v>57</v>
      </c>
      <c r="D71" s="14" t="s">
        <v>53</v>
      </c>
      <c r="E71" s="18">
        <v>5</v>
      </c>
      <c r="F71" s="122">
        <f>SUM(E71)</f>
        <v>5</v>
      </c>
      <c r="G71" s="111">
        <v>68.040000000000006</v>
      </c>
      <c r="H71" s="77">
        <f t="shared" si="5"/>
        <v>0.34020000000000006</v>
      </c>
      <c r="I71" s="12">
        <f t="shared" si="6"/>
        <v>340.20000000000005</v>
      </c>
    </row>
    <row r="72" spans="1:22" s="35" customFormat="1" ht="15.75" hidden="1" customHeight="1">
      <c r="A72" s="119"/>
      <c r="B72" s="121" t="s">
        <v>118</v>
      </c>
      <c r="C72" s="121"/>
      <c r="D72" s="121"/>
      <c r="E72" s="121"/>
      <c r="F72" s="121"/>
      <c r="G72" s="121"/>
      <c r="H72" s="121"/>
      <c r="I72" s="18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3"/>
    </row>
    <row r="73" spans="1:22" s="35" customFormat="1" ht="15.75" hidden="1" customHeight="1">
      <c r="A73" s="112">
        <v>10</v>
      </c>
      <c r="B73" s="95" t="s">
        <v>119</v>
      </c>
      <c r="C73" s="16"/>
      <c r="D73" s="14"/>
      <c r="E73" s="73"/>
      <c r="F73" s="12">
        <v>1</v>
      </c>
      <c r="G73" s="12">
        <v>1015</v>
      </c>
      <c r="H73" s="77">
        <f>G73*F73/1000</f>
        <v>1.0149999999999999</v>
      </c>
      <c r="I73" s="12">
        <f>G73</f>
        <v>1015</v>
      </c>
      <c r="J73" s="64"/>
      <c r="K73" s="64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2" s="35" customFormat="1" ht="18" customHeight="1">
      <c r="A74" s="26"/>
      <c r="B74" s="129" t="s">
        <v>160</v>
      </c>
      <c r="C74" s="126"/>
      <c r="D74" s="14"/>
      <c r="E74" s="73"/>
      <c r="F74" s="12"/>
      <c r="G74" s="12"/>
      <c r="H74" s="77"/>
      <c r="I74" s="12"/>
      <c r="J74" s="55"/>
      <c r="K74" s="55"/>
      <c r="L74" s="55"/>
      <c r="M74" s="55"/>
      <c r="N74" s="55"/>
      <c r="O74" s="55"/>
      <c r="P74" s="55"/>
      <c r="Q74" s="55"/>
      <c r="S74" s="55"/>
      <c r="T74" s="55"/>
      <c r="U74" s="55"/>
    </row>
    <row r="75" spans="1:22" s="35" customFormat="1" ht="31.5" customHeight="1">
      <c r="A75" s="26">
        <v>10</v>
      </c>
      <c r="B75" s="36" t="s">
        <v>161</v>
      </c>
      <c r="C75" s="40" t="s">
        <v>162</v>
      </c>
      <c r="D75" s="14"/>
      <c r="E75" s="18"/>
      <c r="F75" s="34">
        <v>70995.600000000006</v>
      </c>
      <c r="G75" s="34">
        <v>2.37</v>
      </c>
      <c r="H75" s="77"/>
      <c r="I75" s="12">
        <f>G75*F75/12</f>
        <v>14021.631000000001</v>
      </c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14.2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6"/>
      <c r="K76" s="56"/>
      <c r="L76" s="56"/>
      <c r="M76" s="56"/>
      <c r="N76" s="56"/>
      <c r="O76" s="56"/>
      <c r="P76" s="56"/>
      <c r="Q76" s="56"/>
      <c r="R76" s="233"/>
      <c r="S76" s="233"/>
      <c r="T76" s="233"/>
      <c r="U76" s="233"/>
    </row>
    <row r="77" spans="1:22" s="35" customFormat="1" ht="20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G77*0.1</f>
        <v>50.162000000000006</v>
      </c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</row>
    <row r="79" spans="1:22" s="35" customFormat="1" ht="16.5" hidden="1" customHeight="1">
      <c r="A79" s="26">
        <v>18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f>G79</f>
        <v>852.99</v>
      </c>
    </row>
    <row r="80" spans="1:22" s="35" customFormat="1" ht="15.75" customHeight="1">
      <c r="A80" s="26">
        <v>11</v>
      </c>
      <c r="B80" s="36" t="s">
        <v>164</v>
      </c>
      <c r="C80" s="37" t="s">
        <v>114</v>
      </c>
      <c r="D80" s="36" t="s">
        <v>201</v>
      </c>
      <c r="E80" s="18"/>
      <c r="F80" s="12"/>
      <c r="G80" s="34">
        <v>55.55</v>
      </c>
      <c r="H80" s="77"/>
      <c r="I80" s="12">
        <f>G80*1</f>
        <v>55.55</v>
      </c>
    </row>
    <row r="81" spans="1:9" s="35" customFormat="1" ht="15.75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31.5" hidden="1" customHeight="1">
      <c r="A82" s="26">
        <v>39</v>
      </c>
      <c r="B82" s="51" t="s">
        <v>120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5" t="s">
        <v>145</v>
      </c>
      <c r="B83" s="226"/>
      <c r="C83" s="226"/>
      <c r="D83" s="226"/>
      <c r="E83" s="226"/>
      <c r="F83" s="226"/>
      <c r="G83" s="226"/>
      <c r="H83" s="226"/>
      <c r="I83" s="227"/>
    </row>
    <row r="84" spans="1:9" s="35" customFormat="1" ht="15.75" customHeight="1">
      <c r="A84" s="26">
        <v>12</v>
      </c>
      <c r="B84" s="84" t="s">
        <v>121</v>
      </c>
      <c r="C84" s="16" t="s">
        <v>54</v>
      </c>
      <c r="D84" s="105"/>
      <c r="E84" s="12">
        <v>5916.3</v>
      </c>
      <c r="F84" s="111">
        <f>SUM(E84*12)</f>
        <v>70995.600000000006</v>
      </c>
      <c r="G84" s="111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28.5" customHeight="1">
      <c r="A85" s="26">
        <v>13</v>
      </c>
      <c r="B85" s="14" t="s">
        <v>75</v>
      </c>
      <c r="C85" s="16"/>
      <c r="D85" s="105"/>
      <c r="E85" s="86">
        <v>5916.3</v>
      </c>
      <c r="F85" s="111">
        <f>E85*12</f>
        <v>70995.600000000006</v>
      </c>
      <c r="G85" s="111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4.25" customHeight="1">
      <c r="A86" s="119"/>
      <c r="B86" s="38" t="s">
        <v>77</v>
      </c>
      <c r="C86" s="40"/>
      <c r="D86" s="15"/>
      <c r="E86" s="15"/>
      <c r="F86" s="15"/>
      <c r="G86" s="18"/>
      <c r="H86" s="18"/>
      <c r="I86" s="29">
        <f>I85+I84+I80+I75+I64+I61+I33+I31+I30+I27+I18+I17+I16</f>
        <v>85676.191129999992</v>
      </c>
    </row>
    <row r="87" spans="1:9" s="35" customFormat="1" ht="17.2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s="35" customFormat="1" ht="29.25" customHeight="1">
      <c r="A88" s="26">
        <v>14</v>
      </c>
      <c r="B88" s="36" t="s">
        <v>178</v>
      </c>
      <c r="C88" s="37" t="s">
        <v>170</v>
      </c>
      <c r="D88" s="36" t="s">
        <v>289</v>
      </c>
      <c r="E88" s="34"/>
      <c r="F88" s="34">
        <v>29.5</v>
      </c>
      <c r="G88" s="34">
        <v>1523.6</v>
      </c>
      <c r="H88" s="107">
        <f>G88*F88/1000</f>
        <v>44.946199999999997</v>
      </c>
      <c r="I88" s="12">
        <f>G88*4</f>
        <v>6094.4</v>
      </c>
    </row>
    <row r="89" spans="1:9" s="35" customFormat="1" ht="29.25" customHeight="1">
      <c r="A89" s="26">
        <v>15</v>
      </c>
      <c r="B89" s="58" t="s">
        <v>287</v>
      </c>
      <c r="C89" s="59" t="s">
        <v>85</v>
      </c>
      <c r="D89" s="57" t="s">
        <v>290</v>
      </c>
      <c r="E89" s="34"/>
      <c r="F89" s="34">
        <v>1</v>
      </c>
      <c r="G89" s="34">
        <v>670.51</v>
      </c>
      <c r="H89" s="107"/>
      <c r="I89" s="12">
        <f>G89*1</f>
        <v>670.51</v>
      </c>
    </row>
    <row r="90" spans="1:9" s="35" customFormat="1" ht="21" customHeight="1">
      <c r="A90" s="26">
        <v>16</v>
      </c>
      <c r="B90" s="58" t="s">
        <v>156</v>
      </c>
      <c r="C90" s="59" t="s">
        <v>170</v>
      </c>
      <c r="D90" s="57" t="s">
        <v>345</v>
      </c>
      <c r="E90" s="34"/>
      <c r="F90" s="34">
        <v>66</v>
      </c>
      <c r="G90" s="34">
        <v>284</v>
      </c>
      <c r="H90" s="107"/>
      <c r="I90" s="12">
        <v>0</v>
      </c>
    </row>
    <row r="91" spans="1:9" s="35" customFormat="1" ht="16.5" customHeight="1">
      <c r="A91" s="26">
        <v>17</v>
      </c>
      <c r="B91" s="208" t="s">
        <v>288</v>
      </c>
      <c r="C91" s="59" t="s">
        <v>114</v>
      </c>
      <c r="D91" s="57" t="s">
        <v>291</v>
      </c>
      <c r="E91" s="34"/>
      <c r="F91" s="34">
        <v>1</v>
      </c>
      <c r="G91" s="34">
        <v>215.61</v>
      </c>
      <c r="H91" s="107"/>
      <c r="I91" s="12">
        <f>G91*1</f>
        <v>215.61</v>
      </c>
    </row>
    <row r="92" spans="1:9" s="35" customFormat="1" ht="16.5" customHeight="1">
      <c r="A92" s="26">
        <v>18</v>
      </c>
      <c r="B92" s="58" t="s">
        <v>158</v>
      </c>
      <c r="C92" s="59" t="s">
        <v>80</v>
      </c>
      <c r="D92" s="57" t="s">
        <v>293</v>
      </c>
      <c r="E92" s="34"/>
      <c r="F92" s="34">
        <v>8</v>
      </c>
      <c r="G92" s="34">
        <v>222.63</v>
      </c>
      <c r="H92" s="107"/>
      <c r="I92" s="12">
        <v>0</v>
      </c>
    </row>
    <row r="93" spans="1:9" ht="15.75" customHeight="1">
      <c r="A93" s="26"/>
      <c r="B93" s="45" t="s">
        <v>51</v>
      </c>
      <c r="C93" s="41"/>
      <c r="D93" s="53"/>
      <c r="E93" s="41">
        <v>1</v>
      </c>
      <c r="F93" s="41"/>
      <c r="G93" s="41"/>
      <c r="H93" s="41"/>
      <c r="I93" s="29">
        <f>SUM(I88:I92)</f>
        <v>6980.5199999999995</v>
      </c>
    </row>
    <row r="94" spans="1:9" ht="15.75" customHeight="1">
      <c r="A94" s="26"/>
      <c r="B94" s="51" t="s">
        <v>76</v>
      </c>
      <c r="C94" s="15"/>
      <c r="D94" s="15"/>
      <c r="E94" s="42"/>
      <c r="F94" s="42"/>
      <c r="G94" s="43"/>
      <c r="H94" s="43"/>
      <c r="I94" s="17">
        <v>0</v>
      </c>
    </row>
    <row r="95" spans="1:9" ht="14.25" customHeight="1">
      <c r="A95" s="54"/>
      <c r="B95" s="46" t="s">
        <v>141</v>
      </c>
      <c r="C95" s="32"/>
      <c r="D95" s="32"/>
      <c r="E95" s="32"/>
      <c r="F95" s="32"/>
      <c r="G95" s="32"/>
      <c r="H95" s="32"/>
      <c r="I95" s="44">
        <f>I86+I93</f>
        <v>92656.711129999996</v>
      </c>
    </row>
    <row r="96" spans="1:9" ht="15.75" customHeight="1">
      <c r="A96" s="231" t="s">
        <v>346</v>
      </c>
      <c r="B96" s="231"/>
      <c r="C96" s="231"/>
      <c r="D96" s="231"/>
      <c r="E96" s="231"/>
      <c r="F96" s="231"/>
      <c r="G96" s="231"/>
      <c r="H96" s="231"/>
      <c r="I96" s="231"/>
    </row>
    <row r="97" spans="1:9" ht="15.75" customHeight="1">
      <c r="A97" s="71"/>
      <c r="B97" s="232" t="s">
        <v>347</v>
      </c>
      <c r="C97" s="232"/>
      <c r="D97" s="232"/>
      <c r="E97" s="232"/>
      <c r="F97" s="232"/>
      <c r="G97" s="232"/>
      <c r="H97" s="76"/>
      <c r="I97" s="3"/>
    </row>
    <row r="98" spans="1:9" ht="15.75" customHeight="1">
      <c r="A98" s="117"/>
      <c r="B98" s="218" t="s">
        <v>6</v>
      </c>
      <c r="C98" s="218"/>
      <c r="D98" s="218"/>
      <c r="E98" s="218"/>
      <c r="F98" s="218"/>
      <c r="G98" s="218"/>
      <c r="H98" s="21"/>
      <c r="I98" s="5"/>
    </row>
    <row r="99" spans="1: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spans="1:9" ht="15.75" customHeight="1">
      <c r="A100" s="219" t="s">
        <v>7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219" t="s">
        <v>8</v>
      </c>
      <c r="B101" s="219"/>
      <c r="C101" s="219"/>
      <c r="D101" s="219"/>
      <c r="E101" s="219"/>
      <c r="F101" s="219"/>
      <c r="G101" s="219"/>
      <c r="H101" s="219"/>
      <c r="I101" s="219"/>
    </row>
    <row r="102" spans="1:9" ht="15.75" customHeight="1">
      <c r="A102" s="220" t="s">
        <v>60</v>
      </c>
      <c r="B102" s="220"/>
      <c r="C102" s="220"/>
      <c r="D102" s="220"/>
      <c r="E102" s="220"/>
      <c r="F102" s="220"/>
      <c r="G102" s="220"/>
      <c r="H102" s="220"/>
      <c r="I102" s="220"/>
    </row>
    <row r="103" spans="1:9" ht="15.75" customHeight="1">
      <c r="A103" s="10"/>
    </row>
    <row r="104" spans="1:9" ht="15.75" customHeight="1">
      <c r="A104" s="213" t="s">
        <v>9</v>
      </c>
      <c r="B104" s="213"/>
      <c r="C104" s="213"/>
      <c r="D104" s="213"/>
      <c r="E104" s="213"/>
      <c r="F104" s="213"/>
      <c r="G104" s="213"/>
      <c r="H104" s="213"/>
      <c r="I104" s="213"/>
    </row>
    <row r="105" spans="1:9" ht="15.75" customHeight="1">
      <c r="A105" s="4"/>
    </row>
    <row r="106" spans="1:9" ht="15.75" customHeight="1">
      <c r="B106" s="118" t="s">
        <v>10</v>
      </c>
      <c r="C106" s="214" t="s">
        <v>292</v>
      </c>
      <c r="D106" s="214"/>
      <c r="E106" s="214"/>
      <c r="F106" s="74"/>
      <c r="I106" s="116"/>
    </row>
    <row r="107" spans="1:9" ht="15.75" customHeight="1">
      <c r="A107" s="117"/>
      <c r="C107" s="218" t="s">
        <v>11</v>
      </c>
      <c r="D107" s="218"/>
      <c r="E107" s="218"/>
      <c r="F107" s="21"/>
      <c r="I107" s="115" t="s">
        <v>12</v>
      </c>
    </row>
    <row r="108" spans="1:9" ht="15.75">
      <c r="A108" s="22"/>
      <c r="C108" s="11"/>
      <c r="D108" s="11"/>
      <c r="G108" s="11"/>
      <c r="H108" s="11"/>
    </row>
    <row r="109" spans="1:9" ht="45" customHeight="1">
      <c r="B109" s="118" t="s">
        <v>13</v>
      </c>
      <c r="C109" s="215"/>
      <c r="D109" s="215"/>
      <c r="E109" s="215"/>
      <c r="F109" s="75"/>
      <c r="I109" s="116"/>
    </row>
    <row r="110" spans="1:9" ht="30" customHeight="1">
      <c r="A110" s="117"/>
      <c r="C110" s="216" t="s">
        <v>11</v>
      </c>
      <c r="D110" s="216"/>
      <c r="E110" s="216"/>
      <c r="F110" s="117"/>
      <c r="I110" s="115" t="s">
        <v>12</v>
      </c>
    </row>
    <row r="111" spans="1:9" ht="30" customHeight="1">
      <c r="A111" s="4" t="s">
        <v>14</v>
      </c>
    </row>
    <row r="112" spans="1:9" ht="14.25" customHeight="1">
      <c r="A112" s="217" t="s">
        <v>15</v>
      </c>
      <c r="B112" s="217"/>
      <c r="C112" s="217"/>
      <c r="D112" s="217"/>
      <c r="E112" s="217"/>
      <c r="F112" s="217"/>
      <c r="G112" s="217"/>
      <c r="H112" s="217"/>
      <c r="I112" s="217"/>
    </row>
    <row r="113" spans="1:9" ht="15.75">
      <c r="A113" s="212" t="s">
        <v>16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5.75">
      <c r="A114" s="212" t="s">
        <v>17</v>
      </c>
      <c r="B114" s="212"/>
      <c r="C114" s="212"/>
      <c r="D114" s="212"/>
      <c r="E114" s="212"/>
      <c r="F114" s="212"/>
      <c r="G114" s="212"/>
      <c r="H114" s="212"/>
      <c r="I114" s="212"/>
    </row>
    <row r="115" spans="1:9" ht="15.75">
      <c r="A115" s="212" t="s">
        <v>21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15.75">
      <c r="A116" s="212" t="s">
        <v>20</v>
      </c>
      <c r="B116" s="212"/>
      <c r="C116" s="212"/>
      <c r="D116" s="212"/>
      <c r="E116" s="212"/>
      <c r="F116" s="212"/>
      <c r="G116" s="212"/>
      <c r="H116" s="212"/>
      <c r="I116" s="212"/>
    </row>
  </sheetData>
  <autoFilter ref="I12:I70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6:U76"/>
    <mergeCell ref="C106:E106"/>
    <mergeCell ref="A96:I96"/>
    <mergeCell ref="A100:I100"/>
    <mergeCell ref="A83:I83"/>
    <mergeCell ref="A87:I87"/>
    <mergeCell ref="B97:G97"/>
    <mergeCell ref="B98:G98"/>
    <mergeCell ref="A101:I101"/>
    <mergeCell ref="A102:I102"/>
    <mergeCell ref="A104:I104"/>
    <mergeCell ref="A115:I115"/>
    <mergeCell ref="A116:I116"/>
    <mergeCell ref="C107:E107"/>
    <mergeCell ref="C109:E109"/>
    <mergeCell ref="C110:E110"/>
    <mergeCell ref="A113:I113"/>
    <mergeCell ref="A114:I114"/>
    <mergeCell ref="A112:I112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11" max="8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8"/>
  <sheetViews>
    <sheetView view="pageBreakPreview" topLeftCell="A112" zoomScale="60" workbookViewId="0">
      <selection activeCell="A112" sqref="A112:I11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6.71093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153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294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27">
        <v>44165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295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hidden="1" customHeight="1">
      <c r="A28" s="26">
        <v>5</v>
      </c>
      <c r="B28" s="92" t="s">
        <v>23</v>
      </c>
      <c r="C28" s="85" t="s">
        <v>24</v>
      </c>
      <c r="D28" s="92"/>
      <c r="E28" s="86">
        <v>5916.3</v>
      </c>
      <c r="F28" s="87">
        <f>SUM(E28*12)</f>
        <v>70995.600000000006</v>
      </c>
      <c r="G28" s="87">
        <v>3.33</v>
      </c>
      <c r="H28" s="88">
        <f>SUM(F28*G28/1000)</f>
        <v>236.41534800000002</v>
      </c>
      <c r="I28" s="12">
        <f>F28/12*G28</f>
        <v>19701.279000000002</v>
      </c>
      <c r="J28" s="61"/>
      <c r="K28" s="60"/>
      <c r="L28" s="60"/>
      <c r="M28" s="60"/>
    </row>
    <row r="29" spans="1:13" s="35" customFormat="1" ht="15.75" customHeight="1">
      <c r="A29" s="221" t="s">
        <v>81</v>
      </c>
      <c r="B29" s="221"/>
      <c r="C29" s="221"/>
      <c r="D29" s="221"/>
      <c r="E29" s="221"/>
      <c r="F29" s="221"/>
      <c r="G29" s="221"/>
      <c r="H29" s="221"/>
      <c r="I29" s="221"/>
      <c r="J29" s="61"/>
      <c r="K29" s="60"/>
      <c r="L29" s="60"/>
      <c r="M29" s="60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1"/>
      <c r="K30" s="60"/>
      <c r="L30" s="60"/>
      <c r="M30" s="60"/>
    </row>
    <row r="31" spans="1:13" s="35" customFormat="1" ht="15.75" hidden="1" customHeight="1">
      <c r="A31" s="40">
        <v>6</v>
      </c>
      <c r="B31" s="84" t="s">
        <v>104</v>
      </c>
      <c r="C31" s="85" t="s">
        <v>105</v>
      </c>
      <c r="D31" s="84" t="s">
        <v>106</v>
      </c>
      <c r="E31" s="87">
        <v>900.1</v>
      </c>
      <c r="F31" s="87">
        <f>SUM(E31*52/1000)</f>
        <v>46.805200000000006</v>
      </c>
      <c r="G31" s="87">
        <v>155.88999999999999</v>
      </c>
      <c r="H31" s="88">
        <f>SUM(F31*G31/1000)</f>
        <v>7.2964626280000004</v>
      </c>
      <c r="I31" s="12">
        <f>F31/6*G31</f>
        <v>1216.0771046666666</v>
      </c>
      <c r="J31" s="61"/>
      <c r="K31" s="60"/>
      <c r="L31" s="60"/>
      <c r="M31" s="60"/>
    </row>
    <row r="32" spans="1:13" s="35" customFormat="1" ht="31.5" hidden="1" customHeight="1">
      <c r="A32" s="40">
        <v>7</v>
      </c>
      <c r="B32" s="84" t="s">
        <v>134</v>
      </c>
      <c r="C32" s="85" t="s">
        <v>105</v>
      </c>
      <c r="D32" s="84" t="s">
        <v>107</v>
      </c>
      <c r="E32" s="87">
        <v>289.39999999999998</v>
      </c>
      <c r="F32" s="87">
        <f>SUM(E32*78/1000)</f>
        <v>22.573199999999996</v>
      </c>
      <c r="G32" s="87">
        <v>258.63</v>
      </c>
      <c r="H32" s="88">
        <f>SUM(F32*G32/1000)</f>
        <v>5.8381067159999995</v>
      </c>
      <c r="I32" s="12">
        <f>F32/6*G32</f>
        <v>973.01778599999989</v>
      </c>
      <c r="J32" s="61"/>
      <c r="K32" s="60"/>
      <c r="L32" s="60"/>
      <c r="M32" s="60"/>
    </row>
    <row r="33" spans="1:14" s="35" customFormat="1" ht="15.75" hidden="1" customHeight="1">
      <c r="A33" s="40">
        <v>16</v>
      </c>
      <c r="B33" s="84" t="s">
        <v>27</v>
      </c>
      <c r="C33" s="85" t="s">
        <v>105</v>
      </c>
      <c r="D33" s="84" t="s">
        <v>53</v>
      </c>
      <c r="E33" s="87">
        <v>900.1</v>
      </c>
      <c r="F33" s="87">
        <f>SUM(E33/1000)</f>
        <v>0.90010000000000001</v>
      </c>
      <c r="G33" s="87">
        <v>3020.33</v>
      </c>
      <c r="H33" s="88">
        <f>SUM(F33*G33/1000)</f>
        <v>2.7185990329999998</v>
      </c>
      <c r="I33" s="12">
        <f>F33*G33</f>
        <v>2718.599033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132</v>
      </c>
      <c r="C34" s="85" t="s">
        <v>39</v>
      </c>
      <c r="D34" s="84" t="s">
        <v>133</v>
      </c>
      <c r="E34" s="87">
        <v>8</v>
      </c>
      <c r="F34" s="87">
        <v>12.4</v>
      </c>
      <c r="G34" s="87">
        <v>1302.02</v>
      </c>
      <c r="H34" s="88">
        <v>16.145</v>
      </c>
      <c r="I34" s="12">
        <f>F34/6*G34</f>
        <v>2690.8413333333338</v>
      </c>
      <c r="J34" s="61"/>
      <c r="K34" s="60"/>
      <c r="L34" s="60"/>
      <c r="M34" s="60"/>
    </row>
    <row r="35" spans="1:14" s="35" customFormat="1" ht="15.75" hidden="1" customHeight="1">
      <c r="A35" s="40">
        <v>9</v>
      </c>
      <c r="B35" s="84" t="s">
        <v>108</v>
      </c>
      <c r="C35" s="85" t="s">
        <v>30</v>
      </c>
      <c r="D35" s="84" t="s">
        <v>62</v>
      </c>
      <c r="E35" s="93">
        <v>0.33</v>
      </c>
      <c r="F35" s="87">
        <v>51.666666666666664</v>
      </c>
      <c r="G35" s="87">
        <v>56.69</v>
      </c>
      <c r="H35" s="88">
        <f>SUM(G35*155/3/1000)</f>
        <v>2.9289833333333331</v>
      </c>
      <c r="I35" s="12">
        <f>F35/6*G35</f>
        <v>488.16388888888883</v>
      </c>
      <c r="J35" s="61"/>
      <c r="K35" s="60"/>
      <c r="L35" s="60"/>
      <c r="M35" s="60"/>
    </row>
    <row r="36" spans="1:14" s="35" customFormat="1" ht="15.75" hidden="1" customHeight="1">
      <c r="A36" s="40">
        <v>4</v>
      </c>
      <c r="B36" s="84" t="s">
        <v>63</v>
      </c>
      <c r="C36" s="85" t="s">
        <v>33</v>
      </c>
      <c r="D36" s="84" t="s">
        <v>65</v>
      </c>
      <c r="E36" s="86"/>
      <c r="F36" s="87">
        <v>3</v>
      </c>
      <c r="G36" s="87">
        <v>191.32</v>
      </c>
      <c r="H36" s="88">
        <f>SUM(F36*G36/1000)</f>
        <v>0.57396000000000003</v>
      </c>
      <c r="I36" s="12">
        <v>0</v>
      </c>
      <c r="J36" s="61"/>
      <c r="K36" s="60"/>
    </row>
    <row r="37" spans="1:14" s="35" customFormat="1" ht="15.75" hidden="1" customHeight="1">
      <c r="A37" s="26">
        <v>8</v>
      </c>
      <c r="B37" s="84" t="s">
        <v>64</v>
      </c>
      <c r="C37" s="85" t="s">
        <v>32</v>
      </c>
      <c r="D37" s="84" t="s">
        <v>65</v>
      </c>
      <c r="E37" s="86"/>
      <c r="F37" s="87">
        <v>2</v>
      </c>
      <c r="G37" s="87">
        <v>1136.32</v>
      </c>
      <c r="H37" s="88">
        <f>SUM(F37*G37/1000)</f>
        <v>2.27264</v>
      </c>
      <c r="I37" s="12">
        <v>0</v>
      </c>
      <c r="J37" s="62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2"/>
    </row>
    <row r="39" spans="1:14" s="35" customFormat="1" ht="15.75" hidden="1" customHeight="1">
      <c r="A39" s="31">
        <v>5</v>
      </c>
      <c r="B39" s="137" t="s">
        <v>26</v>
      </c>
      <c r="C39" s="39" t="s">
        <v>32</v>
      </c>
      <c r="D39" s="30"/>
      <c r="E39" s="138"/>
      <c r="F39" s="110">
        <v>6</v>
      </c>
      <c r="G39" s="110">
        <v>2083.12</v>
      </c>
      <c r="H39" s="88">
        <f t="shared" ref="H39:H45" si="2">SUM(F39*G39/1000)</f>
        <v>12.498719999999999</v>
      </c>
      <c r="I39" s="12">
        <f>G39*0.6</f>
        <v>1249.8719999999998</v>
      </c>
      <c r="J39" s="62"/>
    </row>
    <row r="40" spans="1:14" s="35" customFormat="1" ht="15.75" customHeight="1">
      <c r="A40" s="31">
        <v>5</v>
      </c>
      <c r="B40" s="137" t="s">
        <v>165</v>
      </c>
      <c r="C40" s="139" t="s">
        <v>29</v>
      </c>
      <c r="D40" s="137" t="s">
        <v>196</v>
      </c>
      <c r="E40" s="140">
        <v>289.39999999999998</v>
      </c>
      <c r="F40" s="140">
        <f>SUM(E40*30/1000)</f>
        <v>8.6820000000000004</v>
      </c>
      <c r="G40" s="140">
        <v>2868.09</v>
      </c>
      <c r="H40" s="88">
        <f t="shared" si="2"/>
        <v>24.900757380000002</v>
      </c>
      <c r="I40" s="12">
        <f>F40/6*G40</f>
        <v>4150.1262300000008</v>
      </c>
      <c r="J40" s="62"/>
    </row>
    <row r="41" spans="1:14" s="35" customFormat="1" ht="15.75" customHeight="1">
      <c r="A41" s="31">
        <v>6</v>
      </c>
      <c r="B41" s="30" t="s">
        <v>66</v>
      </c>
      <c r="C41" s="39" t="s">
        <v>29</v>
      </c>
      <c r="D41" s="30" t="s">
        <v>197</v>
      </c>
      <c r="E41" s="110">
        <v>289.39999999999998</v>
      </c>
      <c r="F41" s="140">
        <f>SUM(E41*155/1000)</f>
        <v>44.856999999999999</v>
      </c>
      <c r="G41" s="110">
        <v>478.42</v>
      </c>
      <c r="H41" s="88">
        <f t="shared" si="2"/>
        <v>21.460485939999998</v>
      </c>
      <c r="I41" s="12">
        <f>F41/6*G41</f>
        <v>3576.7476566666669</v>
      </c>
      <c r="J41" s="62"/>
    </row>
    <row r="42" spans="1:14" s="35" customFormat="1" ht="15.75" hidden="1" customHeight="1">
      <c r="A42" s="31">
        <v>8</v>
      </c>
      <c r="B42" s="30" t="s">
        <v>166</v>
      </c>
      <c r="C42" s="39" t="s">
        <v>167</v>
      </c>
      <c r="D42" s="30"/>
      <c r="E42" s="110"/>
      <c r="F42" s="140">
        <v>39</v>
      </c>
      <c r="G42" s="110">
        <v>314</v>
      </c>
      <c r="H42" s="88">
        <f t="shared" si="2"/>
        <v>12.246</v>
      </c>
      <c r="I42" s="12">
        <v>0</v>
      </c>
      <c r="J42" s="62"/>
    </row>
    <row r="43" spans="1:14" s="35" customFormat="1" ht="47.25" customHeight="1">
      <c r="A43" s="31">
        <v>7</v>
      </c>
      <c r="B43" s="30" t="s">
        <v>79</v>
      </c>
      <c r="C43" s="39" t="s">
        <v>105</v>
      </c>
      <c r="D43" s="30" t="s">
        <v>198</v>
      </c>
      <c r="E43" s="110">
        <v>108</v>
      </c>
      <c r="F43" s="140">
        <f>SUM(E43*24/1000)</f>
        <v>2.5920000000000001</v>
      </c>
      <c r="G43" s="110">
        <v>7915.6</v>
      </c>
      <c r="H43" s="88">
        <f t="shared" si="2"/>
        <v>20.517235200000002</v>
      </c>
      <c r="I43" s="12">
        <f>F43/6*G43</f>
        <v>3419.5392000000002</v>
      </c>
      <c r="J43" s="62"/>
    </row>
    <row r="44" spans="1:14" s="35" customFormat="1" ht="15.75" customHeight="1">
      <c r="A44" s="31">
        <v>8</v>
      </c>
      <c r="B44" s="30" t="s">
        <v>110</v>
      </c>
      <c r="C44" s="39" t="s">
        <v>105</v>
      </c>
      <c r="D44" s="30" t="s">
        <v>200</v>
      </c>
      <c r="E44" s="110">
        <v>108</v>
      </c>
      <c r="F44" s="140">
        <f>SUM(E44*45/1000)</f>
        <v>4.8600000000000003</v>
      </c>
      <c r="G44" s="110">
        <v>584.74</v>
      </c>
      <c r="H44" s="88">
        <f t="shared" si="2"/>
        <v>2.8418364</v>
      </c>
      <c r="I44" s="12">
        <f>G44*F44/45*2</f>
        <v>126.30384000000001</v>
      </c>
      <c r="J44" s="62"/>
      <c r="L44" s="19"/>
      <c r="M44" s="20"/>
      <c r="N44" s="28"/>
    </row>
    <row r="45" spans="1:14" s="35" customFormat="1" ht="15.75" customHeight="1">
      <c r="A45" s="31">
        <v>9</v>
      </c>
      <c r="B45" s="137" t="s">
        <v>68</v>
      </c>
      <c r="C45" s="139" t="s">
        <v>33</v>
      </c>
      <c r="D45" s="137"/>
      <c r="E45" s="141"/>
      <c r="F45" s="140">
        <v>0.9</v>
      </c>
      <c r="G45" s="140">
        <v>800</v>
      </c>
      <c r="H45" s="88">
        <f t="shared" si="2"/>
        <v>0.72</v>
      </c>
      <c r="I45" s="12">
        <f>G45*F45/45*2</f>
        <v>32</v>
      </c>
      <c r="J45" s="62"/>
      <c r="L45" s="19"/>
      <c r="M45" s="20"/>
      <c r="N45" s="28"/>
    </row>
    <row r="46" spans="1:14" s="35" customFormat="1" ht="15.75" hidden="1" customHeight="1">
      <c r="A46" s="222" t="s">
        <v>138</v>
      </c>
      <c r="B46" s="223"/>
      <c r="C46" s="223"/>
      <c r="D46" s="223"/>
      <c r="E46" s="223"/>
      <c r="F46" s="223"/>
      <c r="G46" s="223"/>
      <c r="H46" s="223"/>
      <c r="I46" s="224"/>
      <c r="J46" s="62"/>
      <c r="L46" s="19"/>
      <c r="M46" s="20"/>
      <c r="N46" s="28"/>
    </row>
    <row r="47" spans="1:14" s="35" customFormat="1" ht="15.75" hidden="1" customHeight="1">
      <c r="A47" s="40">
        <v>10</v>
      </c>
      <c r="B47" s="84" t="s">
        <v>111</v>
      </c>
      <c r="C47" s="85" t="s">
        <v>105</v>
      </c>
      <c r="D47" s="84" t="s">
        <v>41</v>
      </c>
      <c r="E47" s="86">
        <v>1662.5</v>
      </c>
      <c r="F47" s="87">
        <f>SUM(E47*2/1000)</f>
        <v>3.3250000000000002</v>
      </c>
      <c r="G47" s="12">
        <v>849.49</v>
      </c>
      <c r="H47" s="88">
        <f t="shared" ref="H47:H55" si="3">SUM(F47*G47/1000)</f>
        <v>2.8245542500000003</v>
      </c>
      <c r="I47" s="12">
        <f>F47/2*G47</f>
        <v>1412.2771250000001</v>
      </c>
      <c r="J47" s="62"/>
      <c r="L47" s="19"/>
      <c r="M47" s="20"/>
      <c r="N47" s="28"/>
    </row>
    <row r="48" spans="1:14" s="35" customFormat="1" ht="15.75" hidden="1" customHeight="1">
      <c r="A48" s="40">
        <v>11</v>
      </c>
      <c r="B48" s="84" t="s">
        <v>34</v>
      </c>
      <c r="C48" s="85" t="s">
        <v>105</v>
      </c>
      <c r="D48" s="84" t="s">
        <v>41</v>
      </c>
      <c r="E48" s="86">
        <v>92.8</v>
      </c>
      <c r="F48" s="87">
        <f>SUM(E48*2/1000)</f>
        <v>0.18559999999999999</v>
      </c>
      <c r="G48" s="12">
        <v>579.48</v>
      </c>
      <c r="H48" s="88">
        <f t="shared" si="3"/>
        <v>0.10755148799999999</v>
      </c>
      <c r="I48" s="12">
        <f>F48/2*G48</f>
        <v>53.775743999999996</v>
      </c>
      <c r="J48" s="62"/>
      <c r="L48" s="19"/>
      <c r="M48" s="20"/>
      <c r="N48" s="28"/>
    </row>
    <row r="49" spans="1:14" s="35" customFormat="1" ht="15.75" hidden="1" customHeight="1">
      <c r="A49" s="40">
        <v>12</v>
      </c>
      <c r="B49" s="84" t="s">
        <v>35</v>
      </c>
      <c r="C49" s="85" t="s">
        <v>105</v>
      </c>
      <c r="D49" s="84" t="s">
        <v>41</v>
      </c>
      <c r="E49" s="86">
        <v>4750.7</v>
      </c>
      <c r="F49" s="87">
        <f>SUM(E49*2/1000)</f>
        <v>9.5014000000000003</v>
      </c>
      <c r="G49" s="12">
        <v>579.48</v>
      </c>
      <c r="H49" s="88">
        <f t="shared" si="3"/>
        <v>5.5058712720000003</v>
      </c>
      <c r="I49" s="12">
        <f>F49/2*G49</f>
        <v>2752.9356360000002</v>
      </c>
      <c r="J49" s="62"/>
      <c r="L49" s="19"/>
      <c r="M49" s="20"/>
      <c r="N49" s="28"/>
    </row>
    <row r="50" spans="1:14" s="35" customFormat="1" ht="15.75" hidden="1" customHeight="1">
      <c r="A50" s="40">
        <v>13</v>
      </c>
      <c r="B50" s="84" t="s">
        <v>36</v>
      </c>
      <c r="C50" s="85" t="s">
        <v>105</v>
      </c>
      <c r="D50" s="84" t="s">
        <v>41</v>
      </c>
      <c r="E50" s="86">
        <v>2840.99</v>
      </c>
      <c r="F50" s="87">
        <f>SUM(E50*2/1000)</f>
        <v>5.6819799999999994</v>
      </c>
      <c r="G50" s="12">
        <v>606.77</v>
      </c>
      <c r="H50" s="88">
        <f t="shared" si="3"/>
        <v>3.4476550045999992</v>
      </c>
      <c r="I50" s="12">
        <f>F50/2*G50</f>
        <v>1723.8275022999997</v>
      </c>
      <c r="J50" s="62"/>
      <c r="L50" s="19"/>
      <c r="M50" s="20"/>
      <c r="N50" s="28"/>
    </row>
    <row r="51" spans="1:14" s="35" customFormat="1" ht="15.75" hidden="1" customHeight="1">
      <c r="A51" s="40">
        <v>14</v>
      </c>
      <c r="B51" s="84" t="s">
        <v>55</v>
      </c>
      <c r="C51" s="85" t="s">
        <v>105</v>
      </c>
      <c r="D51" s="84" t="s">
        <v>135</v>
      </c>
      <c r="E51" s="86">
        <v>1652.5</v>
      </c>
      <c r="F51" s="87">
        <f>SUM(E51*5/1000)</f>
        <v>8.2624999999999993</v>
      </c>
      <c r="G51" s="12">
        <v>1213.55</v>
      </c>
      <c r="H51" s="88">
        <f t="shared" si="3"/>
        <v>10.026956874999998</v>
      </c>
      <c r="I51" s="12">
        <f>F51/5*G51</f>
        <v>2005.3913749999997</v>
      </c>
      <c r="J51" s="62"/>
      <c r="L51" s="19"/>
      <c r="M51" s="20"/>
      <c r="N51" s="28"/>
    </row>
    <row r="52" spans="1:14" s="35" customFormat="1" ht="31.5" hidden="1" customHeight="1">
      <c r="A52" s="40">
        <v>10</v>
      </c>
      <c r="B52" s="84" t="s">
        <v>112</v>
      </c>
      <c r="C52" s="85" t="s">
        <v>105</v>
      </c>
      <c r="D52" s="84" t="s">
        <v>41</v>
      </c>
      <c r="E52" s="86">
        <v>1652.5</v>
      </c>
      <c r="F52" s="87">
        <f>SUM(E52*2/1000)</f>
        <v>3.3050000000000002</v>
      </c>
      <c r="G52" s="12">
        <v>1213.55</v>
      </c>
      <c r="H52" s="88">
        <f t="shared" si="3"/>
        <v>4.0107827499999997</v>
      </c>
      <c r="I52" s="12">
        <f>F52/2*G52</f>
        <v>2005.3913749999999</v>
      </c>
      <c r="J52" s="62"/>
      <c r="L52" s="19"/>
      <c r="M52" s="20"/>
      <c r="N52" s="28"/>
    </row>
    <row r="53" spans="1:14" s="35" customFormat="1" ht="31.5" hidden="1" customHeight="1">
      <c r="A53" s="40">
        <v>11</v>
      </c>
      <c r="B53" s="84" t="s">
        <v>113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2">
        <v>2730.49</v>
      </c>
      <c r="H53" s="88">
        <f t="shared" si="3"/>
        <v>2.1843919999999999</v>
      </c>
      <c r="I53" s="12">
        <f>F53/2*G53</f>
        <v>1092.1959999999999</v>
      </c>
      <c r="J53" s="62"/>
      <c r="L53" s="19"/>
      <c r="M53" s="20"/>
      <c r="N53" s="28"/>
    </row>
    <row r="54" spans="1:14" s="35" customFormat="1" ht="15.75" hidden="1" customHeight="1">
      <c r="A54" s="40">
        <v>12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2">
        <v>5652.13</v>
      </c>
      <c r="H54" s="88">
        <f t="shared" si="3"/>
        <v>0.11304260000000001</v>
      </c>
      <c r="I54" s="12">
        <f>F54/2*G54</f>
        <v>56.521300000000004</v>
      </c>
      <c r="J54" s="62"/>
      <c r="L54" s="19"/>
      <c r="M54" s="20"/>
      <c r="N54" s="28"/>
    </row>
    <row r="55" spans="1:14" s="35" customFormat="1" ht="15.75" hidden="1" customHeight="1">
      <c r="A55" s="109">
        <v>13</v>
      </c>
      <c r="B55" s="95" t="s">
        <v>40</v>
      </c>
      <c r="C55" s="96" t="s">
        <v>114</v>
      </c>
      <c r="D55" s="95" t="s">
        <v>69</v>
      </c>
      <c r="E55" s="97">
        <v>236</v>
      </c>
      <c r="F55" s="98">
        <f>SUM(E55)*3</f>
        <v>708</v>
      </c>
      <c r="G55" s="108">
        <v>65.67</v>
      </c>
      <c r="H55" s="99">
        <f t="shared" si="3"/>
        <v>46.49436</v>
      </c>
      <c r="I55" s="108">
        <f>E55*G55</f>
        <v>15498.12</v>
      </c>
      <c r="J55" s="62"/>
      <c r="L55" s="19"/>
      <c r="M55" s="20"/>
      <c r="N55" s="28"/>
    </row>
    <row r="56" spans="1:14" s="35" customFormat="1" ht="29.25" customHeight="1">
      <c r="A56" s="40">
        <v>10</v>
      </c>
      <c r="B56" s="137" t="s">
        <v>168</v>
      </c>
      <c r="C56" s="139" t="s">
        <v>29</v>
      </c>
      <c r="D56" s="137" t="s">
        <v>200</v>
      </c>
      <c r="E56" s="141">
        <v>3.6</v>
      </c>
      <c r="F56" s="140">
        <v>0.04</v>
      </c>
      <c r="G56" s="140">
        <v>270.61</v>
      </c>
      <c r="H56" s="12"/>
      <c r="I56" s="12">
        <f>G56*F56/6</f>
        <v>1.8040666666666667</v>
      </c>
      <c r="J56" s="62"/>
      <c r="L56" s="19"/>
      <c r="M56" s="20"/>
      <c r="N56" s="28"/>
    </row>
    <row r="57" spans="1:14" s="35" customFormat="1" ht="15.75" customHeight="1">
      <c r="A57" s="222" t="s">
        <v>144</v>
      </c>
      <c r="B57" s="223"/>
      <c r="C57" s="223"/>
      <c r="D57" s="223"/>
      <c r="E57" s="223"/>
      <c r="F57" s="223"/>
      <c r="G57" s="223"/>
      <c r="H57" s="223"/>
      <c r="I57" s="224"/>
      <c r="J57" s="62"/>
      <c r="L57" s="19"/>
      <c r="M57" s="20"/>
      <c r="N57" s="28"/>
    </row>
    <row r="58" spans="1:14" s="35" customFormat="1" ht="15.75" hidden="1" customHeight="1">
      <c r="A58" s="106"/>
      <c r="B58" s="47" t="s">
        <v>42</v>
      </c>
      <c r="C58" s="16"/>
      <c r="D58" s="15"/>
      <c r="E58" s="15"/>
      <c r="F58" s="15"/>
      <c r="G58" s="26"/>
      <c r="H58" s="26"/>
      <c r="I58" s="18"/>
      <c r="J58" s="62"/>
      <c r="L58" s="19"/>
      <c r="M58" s="20"/>
      <c r="N58" s="28"/>
    </row>
    <row r="59" spans="1:14" s="35" customFormat="1" ht="31.5" hidden="1" customHeight="1">
      <c r="A59" s="40">
        <v>13</v>
      </c>
      <c r="B59" s="84" t="s">
        <v>128</v>
      </c>
      <c r="C59" s="85" t="s">
        <v>98</v>
      </c>
      <c r="D59" s="84" t="s">
        <v>129</v>
      </c>
      <c r="E59" s="86">
        <v>166.25</v>
      </c>
      <c r="F59" s="87">
        <f>E59*6/100</f>
        <v>9.9749999999999996</v>
      </c>
      <c r="G59" s="94">
        <v>1547.28</v>
      </c>
      <c r="H59" s="88">
        <f>F59*G59/1000</f>
        <v>15.434117999999998</v>
      </c>
      <c r="I59" s="12">
        <f>F59/6*G59</f>
        <v>2572.3529999999996</v>
      </c>
      <c r="J59" s="62"/>
      <c r="L59" s="19"/>
      <c r="M59" s="20"/>
      <c r="N59" s="28"/>
    </row>
    <row r="60" spans="1:14" s="35" customFormat="1" ht="15.75" hidden="1" customHeight="1">
      <c r="A60" s="40">
        <v>12</v>
      </c>
      <c r="B60" s="113" t="s">
        <v>88</v>
      </c>
      <c r="C60" s="114" t="s">
        <v>98</v>
      </c>
      <c r="D60" s="113" t="s">
        <v>194</v>
      </c>
      <c r="E60" s="134">
        <v>56</v>
      </c>
      <c r="F60" s="135">
        <f>E60*6/100</f>
        <v>3.36</v>
      </c>
      <c r="G60" s="136">
        <v>2110.4699999999998</v>
      </c>
      <c r="H60" s="99">
        <f>F60*G60/1000</f>
        <v>7.0911791999999982</v>
      </c>
      <c r="I60" s="12">
        <f>F60/6*G60</f>
        <v>1181.8631999999998</v>
      </c>
      <c r="J60" s="62"/>
      <c r="L60" s="19"/>
      <c r="M60" s="20"/>
      <c r="N60" s="28"/>
    </row>
    <row r="61" spans="1:14" s="35" customFormat="1" ht="15.75" hidden="1" customHeight="1">
      <c r="A61" s="40"/>
      <c r="B61" s="95" t="s">
        <v>92</v>
      </c>
      <c r="C61" s="96" t="s">
        <v>93</v>
      </c>
      <c r="D61" s="95" t="s">
        <v>41</v>
      </c>
      <c r="E61" s="97">
        <v>8</v>
      </c>
      <c r="F61" s="98">
        <v>16</v>
      </c>
      <c r="G61" s="100">
        <v>180.78</v>
      </c>
      <c r="H61" s="99">
        <f>F61*G61/1000</f>
        <v>2.8924799999999999</v>
      </c>
      <c r="I61" s="12">
        <v>0</v>
      </c>
      <c r="J61" s="62"/>
      <c r="L61" s="19"/>
      <c r="M61" s="20"/>
      <c r="N61" s="28"/>
    </row>
    <row r="62" spans="1:14" s="35" customFormat="1" ht="15.75" customHeight="1">
      <c r="A62" s="40"/>
      <c r="B62" s="82" t="s">
        <v>43</v>
      </c>
      <c r="C62" s="82"/>
      <c r="D62" s="82"/>
      <c r="E62" s="82"/>
      <c r="F62" s="82"/>
      <c r="G62" s="82"/>
      <c r="H62" s="82"/>
      <c r="I62" s="33"/>
      <c r="J62" s="62"/>
      <c r="L62" s="19"/>
      <c r="M62" s="20"/>
      <c r="N62" s="28"/>
    </row>
    <row r="63" spans="1:14" s="35" customFormat="1" ht="15.75" customHeight="1">
      <c r="A63" s="40">
        <v>11</v>
      </c>
      <c r="B63" s="95" t="s">
        <v>89</v>
      </c>
      <c r="C63" s="96" t="s">
        <v>25</v>
      </c>
      <c r="D63" s="95" t="s">
        <v>194</v>
      </c>
      <c r="E63" s="97">
        <v>330.5</v>
      </c>
      <c r="F63" s="98">
        <v>2400</v>
      </c>
      <c r="G63" s="101">
        <v>1.4</v>
      </c>
      <c r="H63" s="99">
        <f>G63*F63/1000</f>
        <v>3.36</v>
      </c>
      <c r="I63" s="12">
        <f>F63/12*G63</f>
        <v>280</v>
      </c>
      <c r="J63" s="62"/>
      <c r="L63" s="19"/>
      <c r="M63" s="20"/>
      <c r="N63" s="28"/>
    </row>
    <row r="64" spans="1:14" s="35" customFormat="1" ht="15.75" hidden="1" customHeight="1">
      <c r="A64" s="40"/>
      <c r="B64" s="95" t="s">
        <v>44</v>
      </c>
      <c r="C64" s="96" t="s">
        <v>25</v>
      </c>
      <c r="D64" s="95" t="s">
        <v>53</v>
      </c>
      <c r="E64" s="97">
        <v>1652.5</v>
      </c>
      <c r="F64" s="98">
        <f>E64/100</f>
        <v>16.524999999999999</v>
      </c>
      <c r="G64" s="102">
        <v>793.61</v>
      </c>
      <c r="H64" s="99">
        <f>G64*F64/1000</f>
        <v>13.114405249999999</v>
      </c>
      <c r="I64" s="12">
        <v>0</v>
      </c>
      <c r="J64" s="62"/>
      <c r="L64" s="19"/>
      <c r="M64" s="20"/>
      <c r="N64" s="28"/>
    </row>
    <row r="65" spans="1:22" s="35" customFormat="1" ht="15" hidden="1" customHeight="1">
      <c r="A65" s="40"/>
      <c r="B65" s="82" t="s">
        <v>45</v>
      </c>
      <c r="C65" s="16"/>
      <c r="D65" s="36"/>
      <c r="E65" s="15"/>
      <c r="F65" s="15"/>
      <c r="G65" s="26"/>
      <c r="H65" s="26"/>
      <c r="I65" s="18"/>
      <c r="J65" s="62"/>
      <c r="L65" s="19"/>
      <c r="M65" s="20"/>
      <c r="N65" s="28"/>
    </row>
    <row r="66" spans="1:22" s="35" customFormat="1" ht="15" hidden="1" customHeight="1">
      <c r="A66" s="40">
        <v>14</v>
      </c>
      <c r="B66" s="142" t="s">
        <v>46</v>
      </c>
      <c r="C66" s="37" t="s">
        <v>114</v>
      </c>
      <c r="D66" s="36" t="s">
        <v>169</v>
      </c>
      <c r="E66" s="17">
        <v>12</v>
      </c>
      <c r="F66" s="110">
        <f>E66*1</f>
        <v>12</v>
      </c>
      <c r="G66" s="34">
        <v>303.35000000000002</v>
      </c>
      <c r="H66" s="77">
        <f t="shared" ref="H66:H73" si="4">SUM(F66*G66/1000)</f>
        <v>3.6402000000000001</v>
      </c>
      <c r="I66" s="12">
        <f>G66*1</f>
        <v>303.35000000000002</v>
      </c>
      <c r="J66" s="62"/>
      <c r="L66" s="19"/>
      <c r="M66" s="20"/>
      <c r="N66" s="28"/>
    </row>
    <row r="67" spans="1:22" s="35" customFormat="1" ht="13.5" hidden="1" customHeight="1">
      <c r="B67" s="14" t="s">
        <v>47</v>
      </c>
      <c r="C67" s="16" t="s">
        <v>114</v>
      </c>
      <c r="D67" s="14" t="s">
        <v>65</v>
      </c>
      <c r="E67" s="18">
        <v>8</v>
      </c>
      <c r="F67" s="87">
        <v>8</v>
      </c>
      <c r="G67" s="12">
        <v>76.25</v>
      </c>
      <c r="H67" s="77">
        <f t="shared" si="4"/>
        <v>0.61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25</v>
      </c>
      <c r="B68" s="14" t="s">
        <v>48</v>
      </c>
      <c r="C68" s="16" t="s">
        <v>115</v>
      </c>
      <c r="D68" s="14" t="s">
        <v>53</v>
      </c>
      <c r="E68" s="86">
        <v>23267</v>
      </c>
      <c r="F68" s="12">
        <f>SUM(E68/100)</f>
        <v>232.67</v>
      </c>
      <c r="G68" s="12">
        <v>212.15</v>
      </c>
      <c r="H68" s="77">
        <f t="shared" si="4"/>
        <v>49.360940499999998</v>
      </c>
      <c r="I68" s="12">
        <f t="shared" ref="I68:I73" si="5">F68*G68</f>
        <v>49360.940499999997</v>
      </c>
      <c r="J68" s="62"/>
      <c r="L68" s="19"/>
      <c r="M68" s="20"/>
      <c r="N68" s="28"/>
    </row>
    <row r="69" spans="1:22" s="35" customFormat="1" ht="15.75" hidden="1" customHeight="1">
      <c r="A69" s="26">
        <v>26</v>
      </c>
      <c r="B69" s="14" t="s">
        <v>49</v>
      </c>
      <c r="C69" s="16" t="s">
        <v>116</v>
      </c>
      <c r="D69" s="14"/>
      <c r="E69" s="86">
        <v>23267</v>
      </c>
      <c r="F69" s="12">
        <f>SUM(E69/1000)</f>
        <v>23.266999999999999</v>
      </c>
      <c r="G69" s="12">
        <v>165.21</v>
      </c>
      <c r="H69" s="77">
        <f t="shared" si="4"/>
        <v>3.8439410700000005</v>
      </c>
      <c r="I69" s="12">
        <f t="shared" si="5"/>
        <v>3843.9410700000003</v>
      </c>
      <c r="J69" s="62"/>
      <c r="L69" s="19"/>
      <c r="M69" s="20"/>
      <c r="N69" s="28"/>
    </row>
    <row r="70" spans="1:22" s="35" customFormat="1" ht="18.75" hidden="1" customHeight="1">
      <c r="A70" s="26">
        <v>27</v>
      </c>
      <c r="B70" s="14" t="s">
        <v>50</v>
      </c>
      <c r="C70" s="16" t="s">
        <v>74</v>
      </c>
      <c r="D70" s="14" t="s">
        <v>53</v>
      </c>
      <c r="E70" s="86">
        <v>3145</v>
      </c>
      <c r="F70" s="12">
        <f>SUM(E70/100)</f>
        <v>31.45</v>
      </c>
      <c r="G70" s="12">
        <v>2074.63</v>
      </c>
      <c r="H70" s="77">
        <f t="shared" si="4"/>
        <v>65.247113499999998</v>
      </c>
      <c r="I70" s="12">
        <f t="shared" si="5"/>
        <v>65247.113499999999</v>
      </c>
      <c r="J70" s="62"/>
      <c r="L70" s="19"/>
    </row>
    <row r="71" spans="1:22" s="35" customFormat="1" ht="18" hidden="1" customHeight="1">
      <c r="A71" s="26">
        <v>28</v>
      </c>
      <c r="B71" s="104" t="s">
        <v>117</v>
      </c>
      <c r="C71" s="16" t="s">
        <v>33</v>
      </c>
      <c r="D71" s="14"/>
      <c r="E71" s="86">
        <v>20.66</v>
      </c>
      <c r="F71" s="12">
        <f>SUM(E71)</f>
        <v>20.66</v>
      </c>
      <c r="G71" s="12">
        <v>42.67</v>
      </c>
      <c r="H71" s="77">
        <f t="shared" si="4"/>
        <v>0.88156220000000007</v>
      </c>
      <c r="I71" s="12">
        <f t="shared" si="5"/>
        <v>881.56220000000008</v>
      </c>
    </row>
    <row r="72" spans="1:22" s="35" customFormat="1" ht="21" hidden="1" customHeight="1">
      <c r="A72" s="26">
        <v>29</v>
      </c>
      <c r="B72" s="104" t="s">
        <v>137</v>
      </c>
      <c r="C72" s="16" t="s">
        <v>33</v>
      </c>
      <c r="D72" s="14"/>
      <c r="E72" s="86">
        <v>20.66</v>
      </c>
      <c r="F72" s="12">
        <f>SUM(E72)</f>
        <v>20.66</v>
      </c>
      <c r="G72" s="12">
        <v>39.81</v>
      </c>
      <c r="H72" s="77">
        <f t="shared" si="4"/>
        <v>0.82247460000000006</v>
      </c>
      <c r="I72" s="12">
        <f t="shared" si="5"/>
        <v>822.47460000000001</v>
      </c>
    </row>
    <row r="73" spans="1:22" s="35" customFormat="1" ht="23.25" hidden="1" customHeight="1">
      <c r="A73" s="26">
        <v>17</v>
      </c>
      <c r="B73" s="14" t="s">
        <v>56</v>
      </c>
      <c r="C73" s="16" t="s">
        <v>57</v>
      </c>
      <c r="D73" s="14" t="s">
        <v>53</v>
      </c>
      <c r="E73" s="18">
        <v>5</v>
      </c>
      <c r="F73" s="87">
        <f>SUM(E73)</f>
        <v>5</v>
      </c>
      <c r="G73" s="12">
        <v>49.88</v>
      </c>
      <c r="H73" s="77">
        <f t="shared" si="4"/>
        <v>0.24940000000000001</v>
      </c>
      <c r="I73" s="12">
        <f t="shared" si="5"/>
        <v>249.4</v>
      </c>
    </row>
    <row r="74" spans="1:22" s="35" customFormat="1" ht="21" customHeight="1">
      <c r="A74" s="26"/>
      <c r="B74" s="125" t="s">
        <v>160</v>
      </c>
      <c r="C74" s="126"/>
      <c r="D74" s="125"/>
      <c r="E74" s="130"/>
      <c r="F74" s="131"/>
      <c r="G74" s="132"/>
      <c r="H74" s="77"/>
      <c r="I74" s="12"/>
    </row>
    <row r="75" spans="1:22" s="35" customFormat="1" ht="29.25" customHeight="1">
      <c r="A75" s="26">
        <v>12</v>
      </c>
      <c r="B75" s="36" t="s">
        <v>161</v>
      </c>
      <c r="C75" s="40" t="s">
        <v>162</v>
      </c>
      <c r="D75" s="36"/>
      <c r="E75" s="17">
        <v>5916.3</v>
      </c>
      <c r="F75" s="34">
        <f>E75*12</f>
        <v>70995.600000000006</v>
      </c>
      <c r="G75" s="34">
        <v>2.37</v>
      </c>
      <c r="H75" s="77"/>
      <c r="I75" s="12">
        <f>G75*F75/12</f>
        <v>14021.631000000001</v>
      </c>
    </row>
    <row r="76" spans="1:22" s="35" customFormat="1" ht="22.5" hidden="1" customHeight="1">
      <c r="A76" s="106"/>
      <c r="B76" s="82" t="s">
        <v>118</v>
      </c>
      <c r="C76" s="82"/>
      <c r="D76" s="82"/>
      <c r="E76" s="82"/>
      <c r="F76" s="82"/>
      <c r="G76" s="82"/>
      <c r="H76" s="82"/>
      <c r="I76" s="18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63"/>
    </row>
    <row r="77" spans="1:22" s="35" customFormat="1" ht="26.25" hidden="1" customHeight="1">
      <c r="A77" s="26">
        <v>18</v>
      </c>
      <c r="B77" s="84" t="s">
        <v>119</v>
      </c>
      <c r="C77" s="16"/>
      <c r="D77" s="14"/>
      <c r="E77" s="73"/>
      <c r="F77" s="12">
        <v>1</v>
      </c>
      <c r="G77" s="12">
        <v>27750</v>
      </c>
      <c r="H77" s="77">
        <f>G77*F77/1000</f>
        <v>27.75</v>
      </c>
      <c r="I77" s="12">
        <f>G77</f>
        <v>27750</v>
      </c>
      <c r="J77" s="64"/>
      <c r="K77" s="64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2" s="35" customFormat="1" ht="18.75" customHeight="1">
      <c r="A78" s="26"/>
      <c r="B78" s="48" t="s">
        <v>70</v>
      </c>
      <c r="C78" s="48"/>
      <c r="D78" s="48"/>
      <c r="E78" s="18"/>
      <c r="F78" s="18"/>
      <c r="G78" s="26"/>
      <c r="H78" s="26"/>
      <c r="I78" s="18"/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6.5" hidden="1" customHeight="1">
      <c r="A79" s="26">
        <v>12</v>
      </c>
      <c r="B79" s="14" t="s">
        <v>71</v>
      </c>
      <c r="C79" s="16" t="s">
        <v>31</v>
      </c>
      <c r="D79" s="14"/>
      <c r="E79" s="18">
        <v>10</v>
      </c>
      <c r="F79" s="72">
        <v>1</v>
      </c>
      <c r="G79" s="12">
        <v>501.62</v>
      </c>
      <c r="H79" s="77">
        <f>F79*G79/1000</f>
        <v>0.50161999999999995</v>
      </c>
      <c r="I79" s="12">
        <f>G79*0.1</f>
        <v>50.162000000000006</v>
      </c>
      <c r="J79" s="55"/>
      <c r="K79" s="55"/>
      <c r="L79" s="55"/>
      <c r="M79" s="55"/>
      <c r="N79" s="55"/>
      <c r="O79" s="55"/>
      <c r="P79" s="55"/>
      <c r="Q79" s="55"/>
      <c r="S79" s="55"/>
      <c r="T79" s="55"/>
      <c r="U79" s="55"/>
    </row>
    <row r="80" spans="1:22" s="35" customFormat="1" ht="15.75" hidden="1" customHeight="1">
      <c r="A80" s="26">
        <v>20</v>
      </c>
      <c r="B80" s="14" t="s">
        <v>83</v>
      </c>
      <c r="C80" s="16" t="s">
        <v>30</v>
      </c>
      <c r="D80" s="14"/>
      <c r="E80" s="18">
        <v>1</v>
      </c>
      <c r="F80" s="87">
        <v>1</v>
      </c>
      <c r="G80" s="12">
        <v>358.51</v>
      </c>
      <c r="H80" s="77">
        <f>F80*G80/1000</f>
        <v>0.35851</v>
      </c>
      <c r="I80" s="12">
        <f>G80</f>
        <v>358.51</v>
      </c>
      <c r="J80" s="56"/>
      <c r="K80" s="56"/>
      <c r="L80" s="56"/>
      <c r="M80" s="56"/>
      <c r="N80" s="56"/>
      <c r="O80" s="56"/>
      <c r="P80" s="56"/>
      <c r="Q80" s="56"/>
      <c r="R80" s="233"/>
      <c r="S80" s="233"/>
      <c r="T80" s="233"/>
      <c r="U80" s="233"/>
    </row>
    <row r="81" spans="1:21" s="35" customFormat="1" ht="18.75" hidden="1" customHeight="1">
      <c r="A81" s="26">
        <v>18</v>
      </c>
      <c r="B81" s="14" t="s">
        <v>72</v>
      </c>
      <c r="C81" s="16" t="s">
        <v>30</v>
      </c>
      <c r="D81" s="14"/>
      <c r="E81" s="18">
        <v>1</v>
      </c>
      <c r="F81" s="12">
        <v>1</v>
      </c>
      <c r="G81" s="12">
        <v>852.99</v>
      </c>
      <c r="H81" s="77">
        <f>F81*G81/1000</f>
        <v>0.85299000000000003</v>
      </c>
      <c r="I81" s="12">
        <f>G81</f>
        <v>852.99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1:21" s="35" customFormat="1" ht="30.75" customHeight="1">
      <c r="A82" s="26">
        <v>13</v>
      </c>
      <c r="B82" s="36" t="s">
        <v>164</v>
      </c>
      <c r="C82" s="37" t="s">
        <v>114</v>
      </c>
      <c r="D82" s="36" t="s">
        <v>201</v>
      </c>
      <c r="E82" s="17">
        <v>1</v>
      </c>
      <c r="F82" s="34">
        <f>E82*12</f>
        <v>12</v>
      </c>
      <c r="G82" s="34">
        <v>55.55</v>
      </c>
      <c r="H82" s="77"/>
      <c r="I82" s="12">
        <f>G82*1</f>
        <v>55.55</v>
      </c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</row>
    <row r="83" spans="1:21" s="35" customFormat="1" ht="16.5" hidden="1" customHeight="1">
      <c r="A83" s="26"/>
      <c r="B83" s="49" t="s">
        <v>73</v>
      </c>
      <c r="C83" s="37"/>
      <c r="D83" s="26"/>
      <c r="E83" s="18"/>
      <c r="F83" s="18"/>
      <c r="G83" s="34" t="s">
        <v>130</v>
      </c>
      <c r="H83" s="34"/>
      <c r="I83" s="18"/>
    </row>
    <row r="84" spans="1:21" s="35" customFormat="1" ht="17.25" hidden="1" customHeight="1">
      <c r="A84" s="26">
        <v>39</v>
      </c>
      <c r="B84" s="51" t="s">
        <v>120</v>
      </c>
      <c r="C84" s="16" t="s">
        <v>74</v>
      </c>
      <c r="D84" s="14"/>
      <c r="E84" s="18"/>
      <c r="F84" s="12">
        <v>1.35</v>
      </c>
      <c r="G84" s="12">
        <v>2759.44</v>
      </c>
      <c r="H84" s="77">
        <f>SUM(F84*G84/1000)</f>
        <v>3.725244</v>
      </c>
      <c r="I84" s="12">
        <v>0</v>
      </c>
    </row>
    <row r="85" spans="1:21" s="35" customFormat="1" ht="15.75" customHeight="1">
      <c r="A85" s="225" t="s">
        <v>145</v>
      </c>
      <c r="B85" s="226"/>
      <c r="C85" s="226"/>
      <c r="D85" s="226"/>
      <c r="E85" s="226"/>
      <c r="F85" s="226"/>
      <c r="G85" s="226"/>
      <c r="H85" s="226"/>
      <c r="I85" s="227"/>
    </row>
    <row r="86" spans="1:21" s="35" customFormat="1" ht="15.75" customHeight="1">
      <c r="A86" s="26">
        <v>14</v>
      </c>
      <c r="B86" s="84" t="s">
        <v>121</v>
      </c>
      <c r="C86" s="16" t="s">
        <v>54</v>
      </c>
      <c r="D86" s="105"/>
      <c r="E86" s="111">
        <v>5916.3</v>
      </c>
      <c r="F86" s="111">
        <f>SUM(E86*12)</f>
        <v>70995.600000000006</v>
      </c>
      <c r="G86" s="111">
        <v>3.22</v>
      </c>
      <c r="H86" s="77">
        <f>SUM(F86*G86/1000)</f>
        <v>228.60583200000002</v>
      </c>
      <c r="I86" s="12">
        <f>F86/12*G86</f>
        <v>19050.486000000001</v>
      </c>
    </row>
    <row r="87" spans="1:21" s="35" customFormat="1" ht="31.5" customHeight="1">
      <c r="A87" s="26">
        <v>15</v>
      </c>
      <c r="B87" s="14" t="s">
        <v>75</v>
      </c>
      <c r="C87" s="16"/>
      <c r="D87" s="105"/>
      <c r="E87" s="127">
        <f>E86</f>
        <v>5916.3</v>
      </c>
      <c r="F87" s="111">
        <f>E87*12</f>
        <v>70995.600000000006</v>
      </c>
      <c r="G87" s="111">
        <v>3.64</v>
      </c>
      <c r="H87" s="77">
        <f>F87*G87/1000</f>
        <v>258.42398400000002</v>
      </c>
      <c r="I87" s="12">
        <f>F87/12*G87</f>
        <v>21535.332000000002</v>
      </c>
    </row>
    <row r="88" spans="1:21" s="35" customFormat="1" ht="15.75" customHeight="1">
      <c r="A88" s="106"/>
      <c r="B88" s="38" t="s">
        <v>77</v>
      </c>
      <c r="C88" s="40"/>
      <c r="D88" s="15"/>
      <c r="E88" s="15"/>
      <c r="F88" s="15"/>
      <c r="G88" s="18"/>
      <c r="H88" s="18"/>
      <c r="I88" s="29">
        <f>I87+I86+I82+I75+I63+I56+I45+I44+I43+I41+I40+I27+I18+I17+I16</f>
        <v>92608.576379999999</v>
      </c>
    </row>
    <row r="89" spans="1:21" s="35" customFormat="1" ht="15.75" customHeight="1">
      <c r="A89" s="228" t="s">
        <v>59</v>
      </c>
      <c r="B89" s="229"/>
      <c r="C89" s="229"/>
      <c r="D89" s="229"/>
      <c r="E89" s="229"/>
      <c r="F89" s="229"/>
      <c r="G89" s="229"/>
      <c r="H89" s="229"/>
      <c r="I89" s="230"/>
    </row>
    <row r="90" spans="1:21" s="35" customFormat="1" ht="20.25" customHeight="1">
      <c r="A90" s="26">
        <v>16</v>
      </c>
      <c r="B90" s="36" t="s">
        <v>243</v>
      </c>
      <c r="C90" s="37" t="s">
        <v>114</v>
      </c>
      <c r="D90" s="57" t="s">
        <v>303</v>
      </c>
      <c r="E90" s="34"/>
      <c r="F90" s="34">
        <v>5</v>
      </c>
      <c r="G90" s="34">
        <v>1179.28</v>
      </c>
      <c r="H90" s="107"/>
      <c r="I90" s="12">
        <f>G90*4</f>
        <v>4717.12</v>
      </c>
    </row>
    <row r="91" spans="1:21" s="35" customFormat="1" ht="19.5" customHeight="1">
      <c r="A91" s="31">
        <v>17</v>
      </c>
      <c r="B91" s="36" t="s">
        <v>296</v>
      </c>
      <c r="C91" s="37" t="s">
        <v>114</v>
      </c>
      <c r="D91" s="57" t="s">
        <v>304</v>
      </c>
      <c r="E91" s="34"/>
      <c r="F91" s="34">
        <v>1</v>
      </c>
      <c r="G91" s="34">
        <v>945.36</v>
      </c>
      <c r="H91" s="107"/>
      <c r="I91" s="12">
        <f>G91*1</f>
        <v>945.36</v>
      </c>
    </row>
    <row r="92" spans="1:21" s="35" customFormat="1" ht="15" customHeight="1">
      <c r="A92" s="26">
        <v>18</v>
      </c>
      <c r="B92" s="58" t="s">
        <v>297</v>
      </c>
      <c r="C92" s="59" t="s">
        <v>114</v>
      </c>
      <c r="D92" s="57"/>
      <c r="E92" s="34"/>
      <c r="F92" s="34">
        <v>3</v>
      </c>
      <c r="G92" s="34">
        <v>46.75</v>
      </c>
      <c r="H92" s="107"/>
      <c r="I92" s="12">
        <f>G92*3</f>
        <v>140.25</v>
      </c>
    </row>
    <row r="93" spans="1:21" s="35" customFormat="1" ht="15" customHeight="1">
      <c r="A93" s="26">
        <v>19</v>
      </c>
      <c r="B93" s="58" t="s">
        <v>298</v>
      </c>
      <c r="C93" s="59" t="s">
        <v>114</v>
      </c>
      <c r="D93" s="57"/>
      <c r="E93" s="34"/>
      <c r="F93" s="34">
        <v>1</v>
      </c>
      <c r="G93" s="34">
        <v>48.69</v>
      </c>
      <c r="H93" s="107"/>
      <c r="I93" s="12">
        <f>G93*1</f>
        <v>48.69</v>
      </c>
    </row>
    <row r="94" spans="1:21" s="35" customFormat="1" ht="18.75" customHeight="1">
      <c r="A94" s="26">
        <v>20</v>
      </c>
      <c r="B94" s="58" t="s">
        <v>245</v>
      </c>
      <c r="C94" s="59" t="s">
        <v>114</v>
      </c>
      <c r="D94" s="57"/>
      <c r="E94" s="34"/>
      <c r="F94" s="34">
        <v>5</v>
      </c>
      <c r="G94" s="34">
        <v>235</v>
      </c>
      <c r="H94" s="107"/>
      <c r="I94" s="12">
        <f>G94*4</f>
        <v>940</v>
      </c>
    </row>
    <row r="95" spans="1:21" s="35" customFormat="1" ht="19.5" customHeight="1">
      <c r="A95" s="26">
        <v>21</v>
      </c>
      <c r="B95" s="58" t="s">
        <v>247</v>
      </c>
      <c r="C95" s="59" t="s">
        <v>114</v>
      </c>
      <c r="D95" s="57"/>
      <c r="E95" s="34"/>
      <c r="F95" s="34">
        <v>5</v>
      </c>
      <c r="G95" s="34">
        <v>98</v>
      </c>
      <c r="H95" s="107"/>
      <c r="I95" s="12">
        <f>G95*4</f>
        <v>392</v>
      </c>
    </row>
    <row r="96" spans="1:21" s="35" customFormat="1" ht="19.5" customHeight="1">
      <c r="A96" s="26">
        <v>22</v>
      </c>
      <c r="B96" s="58" t="s">
        <v>248</v>
      </c>
      <c r="C96" s="59" t="s">
        <v>114</v>
      </c>
      <c r="D96" s="57"/>
      <c r="E96" s="34"/>
      <c r="F96" s="34">
        <v>2</v>
      </c>
      <c r="G96" s="34">
        <v>56</v>
      </c>
      <c r="H96" s="107"/>
      <c r="I96" s="12">
        <f>G96*1</f>
        <v>56</v>
      </c>
    </row>
    <row r="97" spans="1:9" s="35" customFormat="1" ht="19.5" customHeight="1">
      <c r="A97" s="26">
        <v>23</v>
      </c>
      <c r="B97" s="58" t="s">
        <v>299</v>
      </c>
      <c r="C97" s="59" t="s">
        <v>114</v>
      </c>
      <c r="D97" s="57"/>
      <c r="E97" s="34"/>
      <c r="F97" s="34">
        <v>4</v>
      </c>
      <c r="G97" s="34">
        <v>92.74</v>
      </c>
      <c r="H97" s="107"/>
      <c r="I97" s="12">
        <f>G97*4</f>
        <v>370.96</v>
      </c>
    </row>
    <row r="98" spans="1:9" s="35" customFormat="1" ht="19.5" customHeight="1">
      <c r="A98" s="26">
        <v>24</v>
      </c>
      <c r="B98" s="58" t="s">
        <v>156</v>
      </c>
      <c r="C98" s="59" t="s">
        <v>170</v>
      </c>
      <c r="D98" s="57" t="s">
        <v>348</v>
      </c>
      <c r="E98" s="34"/>
      <c r="F98" s="34">
        <v>85</v>
      </c>
      <c r="G98" s="34">
        <v>284</v>
      </c>
      <c r="H98" s="107"/>
      <c r="I98" s="12">
        <v>0</v>
      </c>
    </row>
    <row r="99" spans="1:9" s="35" customFormat="1" ht="19.5" customHeight="1">
      <c r="A99" s="26">
        <v>25</v>
      </c>
      <c r="B99" s="58" t="s">
        <v>158</v>
      </c>
      <c r="C99" s="59" t="s">
        <v>80</v>
      </c>
      <c r="D99" s="57" t="s">
        <v>305</v>
      </c>
      <c r="E99" s="34"/>
      <c r="F99" s="34">
        <v>9</v>
      </c>
      <c r="G99" s="34">
        <v>222.63</v>
      </c>
      <c r="H99" s="107"/>
      <c r="I99" s="12">
        <f>G99*1</f>
        <v>222.63</v>
      </c>
    </row>
    <row r="100" spans="1:9" s="35" customFormat="1" ht="19.5" customHeight="1">
      <c r="A100" s="26">
        <v>26</v>
      </c>
      <c r="B100" s="133" t="s">
        <v>300</v>
      </c>
      <c r="C100" s="40" t="s">
        <v>253</v>
      </c>
      <c r="D100" s="57"/>
      <c r="E100" s="34"/>
      <c r="F100" s="34">
        <v>1</v>
      </c>
      <c r="G100" s="34">
        <v>3419.25</v>
      </c>
      <c r="H100" s="107"/>
      <c r="I100" s="12">
        <f>G100*1</f>
        <v>3419.25</v>
      </c>
    </row>
    <row r="101" spans="1:9" s="35" customFormat="1" ht="19.5" customHeight="1">
      <c r="A101" s="26">
        <v>27</v>
      </c>
      <c r="B101" s="133" t="s">
        <v>271</v>
      </c>
      <c r="C101" s="40" t="s">
        <v>100</v>
      </c>
      <c r="D101" s="57" t="s">
        <v>306</v>
      </c>
      <c r="E101" s="34"/>
      <c r="F101" s="34">
        <v>0.12</v>
      </c>
      <c r="G101" s="34">
        <v>2638.36</v>
      </c>
      <c r="H101" s="107"/>
      <c r="I101" s="12">
        <f>G101*0.06</f>
        <v>158.30160000000001</v>
      </c>
    </row>
    <row r="102" spans="1:9" s="35" customFormat="1" ht="19.5" customHeight="1">
      <c r="A102" s="26">
        <v>28</v>
      </c>
      <c r="B102" s="58" t="s">
        <v>301</v>
      </c>
      <c r="C102" s="59" t="s">
        <v>54</v>
      </c>
      <c r="D102" s="57" t="s">
        <v>307</v>
      </c>
      <c r="E102" s="34"/>
      <c r="F102" s="34">
        <v>6</v>
      </c>
      <c r="G102" s="34">
        <v>734.3</v>
      </c>
      <c r="H102" s="107"/>
      <c r="I102" s="12">
        <f>G102*6</f>
        <v>4405.7999999999993</v>
      </c>
    </row>
    <row r="103" spans="1:9" s="35" customFormat="1" ht="19.5" customHeight="1">
      <c r="A103" s="26">
        <v>29</v>
      </c>
      <c r="B103" s="58" t="s">
        <v>302</v>
      </c>
      <c r="C103" s="59" t="s">
        <v>266</v>
      </c>
      <c r="D103" s="57" t="s">
        <v>308</v>
      </c>
      <c r="E103" s="34"/>
      <c r="F103" s="34">
        <v>0.5</v>
      </c>
      <c r="G103" s="34">
        <v>1996</v>
      </c>
      <c r="H103" s="107"/>
      <c r="I103" s="12">
        <f>G103*0.5</f>
        <v>998</v>
      </c>
    </row>
    <row r="104" spans="1:9" s="35" customFormat="1" ht="30" customHeight="1">
      <c r="A104" s="26">
        <v>30</v>
      </c>
      <c r="B104" s="58" t="s">
        <v>186</v>
      </c>
      <c r="C104" s="59" t="s">
        <v>37</v>
      </c>
      <c r="D104" s="165" t="s">
        <v>194</v>
      </c>
      <c r="E104" s="34"/>
      <c r="F104" s="34">
        <v>0.05</v>
      </c>
      <c r="G104" s="34">
        <v>4070.89</v>
      </c>
      <c r="H104" s="107"/>
      <c r="I104" s="12">
        <v>0</v>
      </c>
    </row>
    <row r="105" spans="1:9" s="35" customFormat="1" ht="15.75" customHeight="1">
      <c r="A105" s="26"/>
      <c r="B105" s="45" t="s">
        <v>51</v>
      </c>
      <c r="C105" s="41"/>
      <c r="D105" s="53"/>
      <c r="E105" s="41">
        <v>1</v>
      </c>
      <c r="F105" s="41"/>
      <c r="G105" s="41"/>
      <c r="H105" s="41"/>
      <c r="I105" s="29">
        <f>SUM(I90:I104)</f>
        <v>16814.361599999997</v>
      </c>
    </row>
    <row r="106" spans="1:9" s="35" customFormat="1" ht="15.75" customHeight="1">
      <c r="A106" s="26"/>
      <c r="B106" s="51" t="s">
        <v>76</v>
      </c>
      <c r="C106" s="15"/>
      <c r="D106" s="15"/>
      <c r="E106" s="42"/>
      <c r="F106" s="42"/>
      <c r="G106" s="43"/>
      <c r="H106" s="43"/>
      <c r="I106" s="17">
        <v>0</v>
      </c>
    </row>
    <row r="107" spans="1:9" s="35" customFormat="1" ht="15.75" customHeight="1">
      <c r="A107" s="54"/>
      <c r="B107" s="46" t="s">
        <v>141</v>
      </c>
      <c r="C107" s="32"/>
      <c r="D107" s="32"/>
      <c r="E107" s="32"/>
      <c r="F107" s="32"/>
      <c r="G107" s="32"/>
      <c r="H107" s="32"/>
      <c r="I107" s="44">
        <f>I88+I105</f>
        <v>109422.93797999999</v>
      </c>
    </row>
    <row r="108" spans="1:9" ht="15.75" customHeight="1">
      <c r="A108" s="231" t="s">
        <v>349</v>
      </c>
      <c r="B108" s="231"/>
      <c r="C108" s="231"/>
      <c r="D108" s="231"/>
      <c r="E108" s="231"/>
      <c r="F108" s="231"/>
      <c r="G108" s="231"/>
      <c r="H108" s="231"/>
      <c r="I108" s="231"/>
    </row>
    <row r="109" spans="1:9" ht="15.75" customHeight="1">
      <c r="A109" s="71"/>
      <c r="B109" s="232" t="s">
        <v>350</v>
      </c>
      <c r="C109" s="232"/>
      <c r="D109" s="232"/>
      <c r="E109" s="232"/>
      <c r="F109" s="232"/>
      <c r="G109" s="232"/>
      <c r="H109" s="76"/>
      <c r="I109" s="3"/>
    </row>
    <row r="110" spans="1:9" ht="15.75" customHeight="1">
      <c r="A110" s="80"/>
      <c r="B110" s="218" t="s">
        <v>6</v>
      </c>
      <c r="C110" s="218"/>
      <c r="D110" s="218"/>
      <c r="E110" s="218"/>
      <c r="F110" s="218"/>
      <c r="G110" s="218"/>
      <c r="H110" s="21"/>
      <c r="I110" s="5"/>
    </row>
    <row r="111" spans="1:9" ht="8.25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5.75" customHeight="1">
      <c r="A112" s="219" t="s">
        <v>7</v>
      </c>
      <c r="B112" s="219"/>
      <c r="C112" s="219"/>
      <c r="D112" s="219"/>
      <c r="E112" s="219"/>
      <c r="F112" s="219"/>
      <c r="G112" s="219"/>
      <c r="H112" s="219"/>
      <c r="I112" s="219"/>
    </row>
    <row r="113" spans="1:9" ht="15.75" customHeight="1">
      <c r="A113" s="219" t="s">
        <v>8</v>
      </c>
      <c r="B113" s="219"/>
      <c r="C113" s="219"/>
      <c r="D113" s="219"/>
      <c r="E113" s="219"/>
      <c r="F113" s="219"/>
      <c r="G113" s="219"/>
      <c r="H113" s="219"/>
      <c r="I113" s="219"/>
    </row>
    <row r="114" spans="1:9" ht="15.75" customHeight="1">
      <c r="A114" s="220" t="s">
        <v>60</v>
      </c>
      <c r="B114" s="220"/>
      <c r="C114" s="220"/>
      <c r="D114" s="220"/>
      <c r="E114" s="220"/>
      <c r="F114" s="220"/>
      <c r="G114" s="220"/>
      <c r="H114" s="220"/>
      <c r="I114" s="220"/>
    </row>
    <row r="115" spans="1:9" ht="15.75" customHeight="1">
      <c r="A115" s="10"/>
    </row>
    <row r="116" spans="1:9" ht="15.75" customHeight="1">
      <c r="A116" s="213" t="s">
        <v>9</v>
      </c>
      <c r="B116" s="213"/>
      <c r="C116" s="213"/>
      <c r="D116" s="213"/>
      <c r="E116" s="213"/>
      <c r="F116" s="213"/>
      <c r="G116" s="213"/>
      <c r="H116" s="213"/>
      <c r="I116" s="213"/>
    </row>
    <row r="117" spans="1:9" ht="15.75" customHeight="1">
      <c r="A117" s="4"/>
    </row>
    <row r="118" spans="1:9" ht="15.75" customHeight="1">
      <c r="B118" s="81" t="s">
        <v>10</v>
      </c>
      <c r="C118" s="214" t="s">
        <v>292</v>
      </c>
      <c r="D118" s="214"/>
      <c r="E118" s="214"/>
      <c r="F118" s="74"/>
      <c r="I118" s="79"/>
    </row>
    <row r="119" spans="1:9" ht="15.75" customHeight="1">
      <c r="A119" s="80"/>
      <c r="C119" s="218" t="s">
        <v>11</v>
      </c>
      <c r="D119" s="218"/>
      <c r="E119" s="218"/>
      <c r="F119" s="21"/>
      <c r="I119" s="78" t="s">
        <v>12</v>
      </c>
    </row>
    <row r="120" spans="1:9" ht="15.75" customHeight="1">
      <c r="A120" s="22"/>
      <c r="C120" s="11"/>
      <c r="D120" s="11"/>
      <c r="G120" s="11"/>
      <c r="H120" s="11"/>
    </row>
    <row r="121" spans="1:9" ht="15.75" customHeight="1">
      <c r="B121" s="81" t="s">
        <v>13</v>
      </c>
      <c r="C121" s="215"/>
      <c r="D121" s="215"/>
      <c r="E121" s="215"/>
      <c r="F121" s="75"/>
      <c r="I121" s="79"/>
    </row>
    <row r="122" spans="1:9" ht="15.75" customHeight="1">
      <c r="A122" s="80"/>
      <c r="C122" s="216" t="s">
        <v>11</v>
      </c>
      <c r="D122" s="216"/>
      <c r="E122" s="216"/>
      <c r="F122" s="80"/>
      <c r="I122" s="78" t="s">
        <v>12</v>
      </c>
    </row>
    <row r="123" spans="1:9" ht="15.75" customHeight="1">
      <c r="A123" s="4" t="s">
        <v>14</v>
      </c>
    </row>
    <row r="124" spans="1:9">
      <c r="A124" s="217" t="s">
        <v>15</v>
      </c>
      <c r="B124" s="217"/>
      <c r="C124" s="217"/>
      <c r="D124" s="217"/>
      <c r="E124" s="217"/>
      <c r="F124" s="217"/>
      <c r="G124" s="217"/>
      <c r="H124" s="217"/>
      <c r="I124" s="217"/>
    </row>
    <row r="125" spans="1:9" ht="45" customHeight="1">
      <c r="A125" s="212" t="s">
        <v>16</v>
      </c>
      <c r="B125" s="212"/>
      <c r="C125" s="212"/>
      <c r="D125" s="212"/>
      <c r="E125" s="212"/>
      <c r="F125" s="212"/>
      <c r="G125" s="212"/>
      <c r="H125" s="212"/>
      <c r="I125" s="212"/>
    </row>
    <row r="126" spans="1:9" ht="30" customHeight="1">
      <c r="A126" s="212" t="s">
        <v>17</v>
      </c>
      <c r="B126" s="212"/>
      <c r="C126" s="212"/>
      <c r="D126" s="212"/>
      <c r="E126" s="212"/>
      <c r="F126" s="212"/>
      <c r="G126" s="212"/>
      <c r="H126" s="212"/>
      <c r="I126" s="212"/>
    </row>
    <row r="127" spans="1:9" ht="30" customHeight="1">
      <c r="A127" s="212" t="s">
        <v>21</v>
      </c>
      <c r="B127" s="212"/>
      <c r="C127" s="212"/>
      <c r="D127" s="212"/>
      <c r="E127" s="212"/>
      <c r="F127" s="212"/>
      <c r="G127" s="212"/>
      <c r="H127" s="212"/>
      <c r="I127" s="212"/>
    </row>
    <row r="128" spans="1:9" ht="14.25" customHeight="1">
      <c r="A128" s="212" t="s">
        <v>20</v>
      </c>
      <c r="B128" s="212"/>
      <c r="C128" s="212"/>
      <c r="D128" s="212"/>
      <c r="E128" s="212"/>
      <c r="F128" s="212"/>
      <c r="G128" s="212"/>
      <c r="H128" s="212"/>
      <c r="I128" s="212"/>
    </row>
  </sheetData>
  <autoFilter ref="I12:I72"/>
  <mergeCells count="29">
    <mergeCell ref="A124:I124"/>
    <mergeCell ref="A125:I125"/>
    <mergeCell ref="A126:I126"/>
    <mergeCell ref="A127:I127"/>
    <mergeCell ref="A128:I128"/>
    <mergeCell ref="R80:U80"/>
    <mergeCell ref="C122:E122"/>
    <mergeCell ref="A89:I89"/>
    <mergeCell ref="A108:I108"/>
    <mergeCell ref="B109:G109"/>
    <mergeCell ref="B110:G110"/>
    <mergeCell ref="A112:I112"/>
    <mergeCell ref="A113:I113"/>
    <mergeCell ref="A114:I114"/>
    <mergeCell ref="A116:I116"/>
    <mergeCell ref="C118:E118"/>
    <mergeCell ref="C119:E119"/>
    <mergeCell ref="C121:E121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3"/>
  <sheetViews>
    <sheetView tabSelected="1" view="pageBreakPreview" topLeftCell="A102" zoomScale="60" workbookViewId="0">
      <selection activeCell="A107" sqref="A107:I10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7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154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309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27">
        <v>44196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295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hidden="1" customHeight="1">
      <c r="A28" s="26">
        <v>5</v>
      </c>
      <c r="B28" s="92" t="s">
        <v>23</v>
      </c>
      <c r="C28" s="85" t="s">
        <v>24</v>
      </c>
      <c r="D28" s="92"/>
      <c r="E28" s="86">
        <v>5916.3</v>
      </c>
      <c r="F28" s="87">
        <f>SUM(E28*12)</f>
        <v>70995.600000000006</v>
      </c>
      <c r="G28" s="87">
        <v>3.33</v>
      </c>
      <c r="H28" s="88">
        <f>SUM(F28*G28/1000)</f>
        <v>236.41534800000002</v>
      </c>
      <c r="I28" s="12">
        <f>F28/12*G28</f>
        <v>19701.279000000002</v>
      </c>
      <c r="J28" s="61"/>
      <c r="K28" s="60"/>
      <c r="L28" s="60"/>
      <c r="M28" s="60"/>
    </row>
    <row r="29" spans="1:13" s="35" customFormat="1" ht="15.75" customHeight="1">
      <c r="A29" s="221" t="s">
        <v>81</v>
      </c>
      <c r="B29" s="221"/>
      <c r="C29" s="221"/>
      <c r="D29" s="221"/>
      <c r="E29" s="221"/>
      <c r="F29" s="221"/>
      <c r="G29" s="221"/>
      <c r="H29" s="221"/>
      <c r="I29" s="221"/>
      <c r="J29" s="61"/>
      <c r="K29" s="60"/>
      <c r="L29" s="60"/>
      <c r="M29" s="60"/>
    </row>
    <row r="30" spans="1:13" s="35" customFormat="1" ht="15.75" hidden="1" customHeight="1">
      <c r="A30" s="40"/>
      <c r="B30" s="50" t="s">
        <v>28</v>
      </c>
      <c r="C30" s="50"/>
      <c r="D30" s="50"/>
      <c r="E30" s="50"/>
      <c r="F30" s="50"/>
      <c r="G30" s="50"/>
      <c r="H30" s="50"/>
      <c r="I30" s="18"/>
      <c r="J30" s="61"/>
      <c r="K30" s="60"/>
      <c r="L30" s="60"/>
      <c r="M30" s="60"/>
    </row>
    <row r="31" spans="1:13" s="35" customFormat="1" ht="15.75" hidden="1" customHeight="1">
      <c r="A31" s="40">
        <v>6</v>
      </c>
      <c r="B31" s="84" t="s">
        <v>104</v>
      </c>
      <c r="C31" s="85" t="s">
        <v>105</v>
      </c>
      <c r="D31" s="84" t="s">
        <v>106</v>
      </c>
      <c r="E31" s="87">
        <v>900.1</v>
      </c>
      <c r="F31" s="87">
        <f>SUM(E31*52/1000)</f>
        <v>46.805200000000006</v>
      </c>
      <c r="G31" s="87">
        <v>155.88999999999999</v>
      </c>
      <c r="H31" s="88">
        <f>SUM(F31*G31/1000)</f>
        <v>7.2964626280000004</v>
      </c>
      <c r="I31" s="12">
        <f>F31/6*G31</f>
        <v>1216.0771046666666</v>
      </c>
      <c r="J31" s="61"/>
      <c r="K31" s="60"/>
      <c r="L31" s="60"/>
      <c r="M31" s="60"/>
    </row>
    <row r="32" spans="1:13" s="35" customFormat="1" ht="31.5" hidden="1" customHeight="1">
      <c r="A32" s="40">
        <v>7</v>
      </c>
      <c r="B32" s="84" t="s">
        <v>134</v>
      </c>
      <c r="C32" s="85" t="s">
        <v>105</v>
      </c>
      <c r="D32" s="84" t="s">
        <v>107</v>
      </c>
      <c r="E32" s="87">
        <v>289.39999999999998</v>
      </c>
      <c r="F32" s="87">
        <f>SUM(E32*78/1000)</f>
        <v>22.573199999999996</v>
      </c>
      <c r="G32" s="87">
        <v>258.63</v>
      </c>
      <c r="H32" s="88">
        <f>SUM(F32*G32/1000)</f>
        <v>5.8381067159999995</v>
      </c>
      <c r="I32" s="12">
        <f>F32/6*G32</f>
        <v>973.01778599999989</v>
      </c>
      <c r="J32" s="61"/>
      <c r="K32" s="60"/>
      <c r="L32" s="60"/>
      <c r="M32" s="60"/>
    </row>
    <row r="33" spans="1:14" s="35" customFormat="1" ht="15.75" hidden="1" customHeight="1">
      <c r="A33" s="40">
        <v>16</v>
      </c>
      <c r="B33" s="84" t="s">
        <v>27</v>
      </c>
      <c r="C33" s="85" t="s">
        <v>105</v>
      </c>
      <c r="D33" s="84" t="s">
        <v>53</v>
      </c>
      <c r="E33" s="87">
        <v>900.1</v>
      </c>
      <c r="F33" s="87">
        <f>SUM(E33/1000)</f>
        <v>0.90010000000000001</v>
      </c>
      <c r="G33" s="87">
        <v>3020.33</v>
      </c>
      <c r="H33" s="88">
        <f>SUM(F33*G33/1000)</f>
        <v>2.7185990329999998</v>
      </c>
      <c r="I33" s="12">
        <f>F33*G33</f>
        <v>2718.599033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132</v>
      </c>
      <c r="C34" s="85" t="s">
        <v>39</v>
      </c>
      <c r="D34" s="84" t="s">
        <v>133</v>
      </c>
      <c r="E34" s="87">
        <v>8</v>
      </c>
      <c r="F34" s="87">
        <v>12.4</v>
      </c>
      <c r="G34" s="87">
        <v>1302.02</v>
      </c>
      <c r="H34" s="88">
        <v>16.145</v>
      </c>
      <c r="I34" s="12">
        <f>F34/6*G34</f>
        <v>2690.8413333333338</v>
      </c>
      <c r="J34" s="61"/>
      <c r="K34" s="60"/>
      <c r="L34" s="60"/>
      <c r="M34" s="60"/>
    </row>
    <row r="35" spans="1:14" s="35" customFormat="1" ht="15.75" hidden="1" customHeight="1">
      <c r="A35" s="40">
        <v>9</v>
      </c>
      <c r="B35" s="84" t="s">
        <v>108</v>
      </c>
      <c r="C35" s="85" t="s">
        <v>30</v>
      </c>
      <c r="D35" s="84" t="s">
        <v>62</v>
      </c>
      <c r="E35" s="93">
        <v>0.33</v>
      </c>
      <c r="F35" s="87">
        <v>51.666666666666664</v>
      </c>
      <c r="G35" s="87">
        <v>56.69</v>
      </c>
      <c r="H35" s="88">
        <f>SUM(G35*155/3/1000)</f>
        <v>2.9289833333333331</v>
      </c>
      <c r="I35" s="12">
        <f>F35/6*G35</f>
        <v>488.16388888888883</v>
      </c>
      <c r="J35" s="61"/>
      <c r="K35" s="60"/>
      <c r="L35" s="60"/>
      <c r="M35" s="60"/>
    </row>
    <row r="36" spans="1:14" s="35" customFormat="1" ht="15.75" hidden="1" customHeight="1">
      <c r="A36" s="40">
        <v>4</v>
      </c>
      <c r="B36" s="84" t="s">
        <v>63</v>
      </c>
      <c r="C36" s="85" t="s">
        <v>33</v>
      </c>
      <c r="D36" s="84" t="s">
        <v>65</v>
      </c>
      <c r="E36" s="86"/>
      <c r="F36" s="87">
        <v>3</v>
      </c>
      <c r="G36" s="87">
        <v>191.32</v>
      </c>
      <c r="H36" s="88">
        <f>SUM(F36*G36/1000)</f>
        <v>0.57396000000000003</v>
      </c>
      <c r="I36" s="12">
        <v>0</v>
      </c>
      <c r="J36" s="61"/>
      <c r="K36" s="60"/>
    </row>
    <row r="37" spans="1:14" s="35" customFormat="1" ht="15.75" hidden="1" customHeight="1">
      <c r="A37" s="26">
        <v>8</v>
      </c>
      <c r="B37" s="84" t="s">
        <v>64</v>
      </c>
      <c r="C37" s="85" t="s">
        <v>32</v>
      </c>
      <c r="D37" s="84" t="s">
        <v>65</v>
      </c>
      <c r="E37" s="86"/>
      <c r="F37" s="87">
        <v>2</v>
      </c>
      <c r="G37" s="87">
        <v>1136.32</v>
      </c>
      <c r="H37" s="88">
        <f>SUM(F37*G37/1000)</f>
        <v>2.27264</v>
      </c>
      <c r="I37" s="12">
        <v>0</v>
      </c>
      <c r="J37" s="62"/>
    </row>
    <row r="38" spans="1:14" s="35" customFormat="1" ht="15.75" customHeight="1">
      <c r="A38" s="40"/>
      <c r="B38" s="48" t="s">
        <v>5</v>
      </c>
      <c r="C38" s="48"/>
      <c r="D38" s="48"/>
      <c r="E38" s="12"/>
      <c r="F38" s="12"/>
      <c r="G38" s="13"/>
      <c r="H38" s="13"/>
      <c r="I38" s="18"/>
      <c r="J38" s="62"/>
    </row>
    <row r="39" spans="1:14" s="35" customFormat="1" ht="15.75" customHeight="1">
      <c r="A39" s="31">
        <v>5</v>
      </c>
      <c r="B39" s="137" t="s">
        <v>26</v>
      </c>
      <c r="C39" s="39" t="s">
        <v>32</v>
      </c>
      <c r="D39" s="30" t="s">
        <v>310</v>
      </c>
      <c r="E39" s="138"/>
      <c r="F39" s="110">
        <v>6</v>
      </c>
      <c r="G39" s="110">
        <v>2083.12</v>
      </c>
      <c r="H39" s="88">
        <f t="shared" ref="H39:H44" si="2">SUM(F39*G39/1000)</f>
        <v>12.498719999999999</v>
      </c>
      <c r="I39" s="12">
        <f>G39*0.8</f>
        <v>1666.4960000000001</v>
      </c>
      <c r="J39" s="62"/>
    </row>
    <row r="40" spans="1:14" s="35" customFormat="1" ht="15.75" customHeight="1">
      <c r="A40" s="31">
        <v>6</v>
      </c>
      <c r="B40" s="137" t="s">
        <v>165</v>
      </c>
      <c r="C40" s="139" t="s">
        <v>29</v>
      </c>
      <c r="D40" s="137" t="s">
        <v>196</v>
      </c>
      <c r="E40" s="140">
        <v>289.39999999999998</v>
      </c>
      <c r="F40" s="140">
        <f>SUM(E40*30/1000)</f>
        <v>8.6820000000000004</v>
      </c>
      <c r="G40" s="140">
        <v>2868.09</v>
      </c>
      <c r="H40" s="88">
        <f t="shared" si="2"/>
        <v>24.900757380000002</v>
      </c>
      <c r="I40" s="12">
        <f>F40/6*G40</f>
        <v>4150.1262300000008</v>
      </c>
      <c r="J40" s="62"/>
    </row>
    <row r="41" spans="1:14" s="35" customFormat="1" ht="15.75" customHeight="1">
      <c r="A41" s="31">
        <v>7</v>
      </c>
      <c r="B41" s="30" t="s">
        <v>66</v>
      </c>
      <c r="C41" s="39" t="s">
        <v>29</v>
      </c>
      <c r="D41" s="30" t="s">
        <v>197</v>
      </c>
      <c r="E41" s="110">
        <v>289.39999999999998</v>
      </c>
      <c r="F41" s="140">
        <f>SUM(E41*155/1000)</f>
        <v>44.856999999999999</v>
      </c>
      <c r="G41" s="110">
        <v>478.42</v>
      </c>
      <c r="H41" s="88">
        <f t="shared" si="2"/>
        <v>21.460485939999998</v>
      </c>
      <c r="I41" s="12">
        <f>F41/6*G41</f>
        <v>3576.7476566666669</v>
      </c>
      <c r="J41" s="62"/>
    </row>
    <row r="42" spans="1:14" s="35" customFormat="1" ht="47.25" customHeight="1">
      <c r="A42" s="31">
        <v>8</v>
      </c>
      <c r="B42" s="30" t="s">
        <v>79</v>
      </c>
      <c r="C42" s="39" t="s">
        <v>105</v>
      </c>
      <c r="D42" s="30" t="s">
        <v>198</v>
      </c>
      <c r="E42" s="110">
        <v>108</v>
      </c>
      <c r="F42" s="140">
        <f>SUM(E42*24/1000)</f>
        <v>2.5920000000000001</v>
      </c>
      <c r="G42" s="110">
        <v>7915.6</v>
      </c>
      <c r="H42" s="88">
        <f t="shared" si="2"/>
        <v>20.517235200000002</v>
      </c>
      <c r="I42" s="12">
        <f>F42/6*G42</f>
        <v>3419.5392000000002</v>
      </c>
      <c r="J42" s="62"/>
    </row>
    <row r="43" spans="1:14" s="35" customFormat="1" ht="15.75" hidden="1" customHeight="1">
      <c r="A43" s="31">
        <v>8</v>
      </c>
      <c r="B43" s="30" t="s">
        <v>110</v>
      </c>
      <c r="C43" s="39" t="s">
        <v>105</v>
      </c>
      <c r="D43" s="30" t="s">
        <v>208</v>
      </c>
      <c r="E43" s="110">
        <v>108</v>
      </c>
      <c r="F43" s="140">
        <f>SUM(E43*45/1000)</f>
        <v>4.8600000000000003</v>
      </c>
      <c r="G43" s="110">
        <v>584.74</v>
      </c>
      <c r="H43" s="88">
        <f t="shared" si="2"/>
        <v>2.8418364</v>
      </c>
      <c r="I43" s="12">
        <f>F43/7.5*G43</f>
        <v>378.91152</v>
      </c>
      <c r="J43" s="62"/>
      <c r="L43" s="19"/>
      <c r="M43" s="20"/>
      <c r="N43" s="28"/>
    </row>
    <row r="44" spans="1:14" s="35" customFormat="1" ht="15.75" hidden="1" customHeight="1">
      <c r="A44" s="143">
        <v>9</v>
      </c>
      <c r="B44" s="148" t="s">
        <v>68</v>
      </c>
      <c r="C44" s="149" t="s">
        <v>33</v>
      </c>
      <c r="D44" s="30"/>
      <c r="E44" s="150"/>
      <c r="F44" s="151">
        <v>0.9</v>
      </c>
      <c r="G44" s="151">
        <v>800</v>
      </c>
      <c r="H44" s="99">
        <f t="shared" si="2"/>
        <v>0.72</v>
      </c>
      <c r="I44" s="108">
        <f>F44/7.5*G44</f>
        <v>96.000000000000014</v>
      </c>
      <c r="J44" s="62"/>
      <c r="L44" s="19"/>
      <c r="M44" s="20"/>
      <c r="N44" s="28"/>
    </row>
    <row r="45" spans="1:14" s="35" customFormat="1" ht="32.25" customHeight="1">
      <c r="A45" s="31">
        <v>9</v>
      </c>
      <c r="B45" s="137" t="s">
        <v>168</v>
      </c>
      <c r="C45" s="139" t="s">
        <v>29</v>
      </c>
      <c r="D45" s="137" t="s">
        <v>200</v>
      </c>
      <c r="E45" s="141">
        <v>3.6</v>
      </c>
      <c r="F45" s="140">
        <v>0.04</v>
      </c>
      <c r="G45" s="140">
        <v>270.61</v>
      </c>
      <c r="H45" s="12"/>
      <c r="I45" s="12">
        <f>G45*F45/6</f>
        <v>1.8040666666666667</v>
      </c>
      <c r="J45" s="62"/>
      <c r="L45" s="19"/>
      <c r="M45" s="20"/>
      <c r="N45" s="28"/>
    </row>
    <row r="46" spans="1:14" s="35" customFormat="1" ht="15.75" customHeight="1">
      <c r="A46" s="222" t="s">
        <v>138</v>
      </c>
      <c r="B46" s="223"/>
      <c r="C46" s="223"/>
      <c r="D46" s="223"/>
      <c r="E46" s="223"/>
      <c r="F46" s="223"/>
      <c r="G46" s="223"/>
      <c r="H46" s="223"/>
      <c r="I46" s="224"/>
      <c r="J46" s="62"/>
      <c r="L46" s="19"/>
      <c r="M46" s="20"/>
      <c r="N46" s="28"/>
    </row>
    <row r="47" spans="1:14" s="35" customFormat="1" ht="15.75" hidden="1" customHeight="1">
      <c r="A47" s="40">
        <v>10</v>
      </c>
      <c r="B47" s="84" t="s">
        <v>111</v>
      </c>
      <c r="C47" s="85" t="s">
        <v>105</v>
      </c>
      <c r="D47" s="84" t="s">
        <v>41</v>
      </c>
      <c r="E47" s="86">
        <v>1662.5</v>
      </c>
      <c r="F47" s="87">
        <f>SUM(E47*2/1000)</f>
        <v>3.3250000000000002</v>
      </c>
      <c r="G47" s="12">
        <v>849.49</v>
      </c>
      <c r="H47" s="88">
        <f t="shared" ref="H47:H55" si="3">SUM(F47*G47/1000)</f>
        <v>2.8245542500000003</v>
      </c>
      <c r="I47" s="12">
        <f>F47/2*G47</f>
        <v>1412.2771250000001</v>
      </c>
      <c r="J47" s="62"/>
      <c r="L47" s="19"/>
      <c r="M47" s="20"/>
      <c r="N47" s="28"/>
    </row>
    <row r="48" spans="1:14" s="35" customFormat="1" ht="15.75" hidden="1" customHeight="1">
      <c r="A48" s="40">
        <v>11</v>
      </c>
      <c r="B48" s="84" t="s">
        <v>34</v>
      </c>
      <c r="C48" s="85" t="s">
        <v>105</v>
      </c>
      <c r="D48" s="84" t="s">
        <v>41</v>
      </c>
      <c r="E48" s="86">
        <v>92.8</v>
      </c>
      <c r="F48" s="87">
        <f>SUM(E48*2/1000)</f>
        <v>0.18559999999999999</v>
      </c>
      <c r="G48" s="12">
        <v>579.48</v>
      </c>
      <c r="H48" s="88">
        <f t="shared" si="3"/>
        <v>0.10755148799999999</v>
      </c>
      <c r="I48" s="12">
        <f>F48/2*G48</f>
        <v>53.775743999999996</v>
      </c>
      <c r="J48" s="62"/>
      <c r="L48" s="19"/>
      <c r="M48" s="20"/>
      <c r="N48" s="28"/>
    </row>
    <row r="49" spans="1:14" s="35" customFormat="1" ht="15.75" hidden="1" customHeight="1">
      <c r="A49" s="40">
        <v>12</v>
      </c>
      <c r="B49" s="84" t="s">
        <v>35</v>
      </c>
      <c r="C49" s="85" t="s">
        <v>105</v>
      </c>
      <c r="D49" s="84" t="s">
        <v>41</v>
      </c>
      <c r="E49" s="86">
        <v>4750.7</v>
      </c>
      <c r="F49" s="87">
        <f>SUM(E49*2/1000)</f>
        <v>9.5014000000000003</v>
      </c>
      <c r="G49" s="12">
        <v>579.48</v>
      </c>
      <c r="H49" s="88">
        <f t="shared" si="3"/>
        <v>5.5058712720000003</v>
      </c>
      <c r="I49" s="12">
        <f>F49/2*G49</f>
        <v>2752.9356360000002</v>
      </c>
      <c r="J49" s="62"/>
      <c r="L49" s="19"/>
      <c r="M49" s="20"/>
      <c r="N49" s="28"/>
    </row>
    <row r="50" spans="1:14" s="35" customFormat="1" ht="15.75" hidden="1" customHeight="1">
      <c r="A50" s="40">
        <v>13</v>
      </c>
      <c r="B50" s="84" t="s">
        <v>36</v>
      </c>
      <c r="C50" s="85" t="s">
        <v>105</v>
      </c>
      <c r="D50" s="84" t="s">
        <v>41</v>
      </c>
      <c r="E50" s="86">
        <v>2840.99</v>
      </c>
      <c r="F50" s="87">
        <f>SUM(E50*2/1000)</f>
        <v>5.6819799999999994</v>
      </c>
      <c r="G50" s="12">
        <v>606.77</v>
      </c>
      <c r="H50" s="88">
        <f t="shared" si="3"/>
        <v>3.4476550045999992</v>
      </c>
      <c r="I50" s="12">
        <f>F50/2*G50</f>
        <v>1723.8275022999997</v>
      </c>
      <c r="J50" s="62"/>
      <c r="L50" s="19"/>
      <c r="M50" s="20"/>
      <c r="N50" s="28"/>
    </row>
    <row r="51" spans="1:14" s="35" customFormat="1" ht="17.25" customHeight="1">
      <c r="A51" s="40">
        <v>10</v>
      </c>
      <c r="B51" s="30" t="s">
        <v>55</v>
      </c>
      <c r="C51" s="39" t="s">
        <v>105</v>
      </c>
      <c r="D51" s="30" t="s">
        <v>194</v>
      </c>
      <c r="E51" s="138">
        <v>1652.5</v>
      </c>
      <c r="F51" s="110">
        <f>SUM(E51*5/1000)</f>
        <v>8.2624999999999993</v>
      </c>
      <c r="G51" s="34">
        <v>1655.27</v>
      </c>
      <c r="H51" s="88">
        <f t="shared" si="3"/>
        <v>13.676668374999998</v>
      </c>
      <c r="I51" s="12">
        <f>F51/5*G51</f>
        <v>2735.3336749999999</v>
      </c>
      <c r="J51" s="62"/>
      <c r="L51" s="19"/>
      <c r="M51" s="20"/>
      <c r="N51" s="28"/>
    </row>
    <row r="52" spans="1:14" s="35" customFormat="1" ht="31.5" hidden="1" customHeight="1">
      <c r="A52" s="40">
        <v>10</v>
      </c>
      <c r="B52" s="84" t="s">
        <v>112</v>
      </c>
      <c r="C52" s="85" t="s">
        <v>105</v>
      </c>
      <c r="D52" s="84" t="s">
        <v>41</v>
      </c>
      <c r="E52" s="86">
        <v>1652.5</v>
      </c>
      <c r="F52" s="87">
        <f>SUM(E52*2/1000)</f>
        <v>3.3050000000000002</v>
      </c>
      <c r="G52" s="12">
        <v>1213.55</v>
      </c>
      <c r="H52" s="88">
        <f t="shared" si="3"/>
        <v>4.0107827499999997</v>
      </c>
      <c r="I52" s="12">
        <f>F52/2*G52</f>
        <v>2005.3913749999999</v>
      </c>
      <c r="J52" s="62"/>
      <c r="L52" s="19"/>
      <c r="M52" s="20"/>
      <c r="N52" s="28"/>
    </row>
    <row r="53" spans="1:14" s="35" customFormat="1" ht="31.5" hidden="1" customHeight="1">
      <c r="A53" s="40">
        <v>11</v>
      </c>
      <c r="B53" s="84" t="s">
        <v>113</v>
      </c>
      <c r="C53" s="85" t="s">
        <v>37</v>
      </c>
      <c r="D53" s="84" t="s">
        <v>41</v>
      </c>
      <c r="E53" s="86">
        <v>40</v>
      </c>
      <c r="F53" s="87">
        <f>SUM(E53*2/100)</f>
        <v>0.8</v>
      </c>
      <c r="G53" s="12">
        <v>2730.49</v>
      </c>
      <c r="H53" s="88">
        <f t="shared" si="3"/>
        <v>2.1843919999999999</v>
      </c>
      <c r="I53" s="12">
        <f>F53/2*G53</f>
        <v>1092.1959999999999</v>
      </c>
      <c r="J53" s="62"/>
      <c r="L53" s="19"/>
      <c r="M53" s="20"/>
      <c r="N53" s="28"/>
    </row>
    <row r="54" spans="1:14" s="35" customFormat="1" ht="15.75" hidden="1" customHeight="1">
      <c r="A54" s="40">
        <v>12</v>
      </c>
      <c r="B54" s="84" t="s">
        <v>38</v>
      </c>
      <c r="C54" s="85" t="s">
        <v>39</v>
      </c>
      <c r="D54" s="84" t="s">
        <v>41</v>
      </c>
      <c r="E54" s="86">
        <v>1</v>
      </c>
      <c r="F54" s="87">
        <v>0.02</v>
      </c>
      <c r="G54" s="12">
        <v>5652.13</v>
      </c>
      <c r="H54" s="88">
        <f t="shared" si="3"/>
        <v>0.11304260000000001</v>
      </c>
      <c r="I54" s="12">
        <f>F54/2*G54</f>
        <v>56.521300000000004</v>
      </c>
      <c r="J54" s="62"/>
      <c r="L54" s="19"/>
      <c r="M54" s="20"/>
      <c r="N54" s="28"/>
    </row>
    <row r="55" spans="1:14" s="35" customFormat="1" ht="15.75" customHeight="1">
      <c r="A55" s="40">
        <v>11</v>
      </c>
      <c r="B55" s="84" t="s">
        <v>40</v>
      </c>
      <c r="C55" s="85" t="s">
        <v>114</v>
      </c>
      <c r="D55" s="209">
        <v>44186</v>
      </c>
      <c r="E55" s="127">
        <v>198</v>
      </c>
      <c r="F55" s="122">
        <f>SUM(E55)*3</f>
        <v>594</v>
      </c>
      <c r="G55" s="128">
        <v>89.59</v>
      </c>
      <c r="H55" s="88">
        <f t="shared" si="3"/>
        <v>53.216459999999998</v>
      </c>
      <c r="I55" s="12">
        <f>E55*G55</f>
        <v>17738.82</v>
      </c>
      <c r="J55" s="62"/>
      <c r="L55" s="19"/>
      <c r="M55" s="20"/>
      <c r="N55" s="28"/>
    </row>
    <row r="56" spans="1:14" s="35" customFormat="1" ht="15.75" customHeight="1">
      <c r="A56" s="222" t="s">
        <v>139</v>
      </c>
      <c r="B56" s="223"/>
      <c r="C56" s="223"/>
      <c r="D56" s="223"/>
      <c r="E56" s="223"/>
      <c r="F56" s="223"/>
      <c r="G56" s="223"/>
      <c r="H56" s="223"/>
      <c r="I56" s="224"/>
      <c r="J56" s="62"/>
      <c r="L56" s="19"/>
      <c r="M56" s="20"/>
      <c r="N56" s="28"/>
    </row>
    <row r="57" spans="1:14" s="35" customFormat="1" ht="15.75" hidden="1" customHeight="1">
      <c r="A57" s="106"/>
      <c r="B57" s="47" t="s">
        <v>42</v>
      </c>
      <c r="C57" s="16"/>
      <c r="D57" s="15"/>
      <c r="E57" s="15"/>
      <c r="F57" s="15"/>
      <c r="G57" s="26"/>
      <c r="H57" s="26"/>
      <c r="I57" s="18"/>
      <c r="J57" s="62"/>
      <c r="L57" s="19"/>
      <c r="M57" s="20"/>
      <c r="N57" s="28"/>
    </row>
    <row r="58" spans="1:14" s="35" customFormat="1" ht="31.5" hidden="1" customHeight="1">
      <c r="A58" s="40">
        <v>14</v>
      </c>
      <c r="B58" s="84" t="s">
        <v>128</v>
      </c>
      <c r="C58" s="85" t="s">
        <v>98</v>
      </c>
      <c r="D58" s="84" t="s">
        <v>129</v>
      </c>
      <c r="E58" s="86">
        <v>166.25</v>
      </c>
      <c r="F58" s="87">
        <f>E58*6/100</f>
        <v>9.9749999999999996</v>
      </c>
      <c r="G58" s="94">
        <v>1547.28</v>
      </c>
      <c r="H58" s="88">
        <f>F58*G58/1000</f>
        <v>15.434117999999998</v>
      </c>
      <c r="I58" s="12">
        <f>F58/6*G58</f>
        <v>2572.3529999999996</v>
      </c>
      <c r="J58" s="62"/>
      <c r="L58" s="19"/>
      <c r="M58" s="20"/>
      <c r="N58" s="28"/>
    </row>
    <row r="59" spans="1:14" s="35" customFormat="1" ht="15.75" hidden="1" customHeight="1">
      <c r="A59" s="40">
        <v>12</v>
      </c>
      <c r="B59" s="113" t="s">
        <v>88</v>
      </c>
      <c r="C59" s="114" t="s">
        <v>98</v>
      </c>
      <c r="D59" s="113" t="s">
        <v>194</v>
      </c>
      <c r="E59" s="134">
        <v>56</v>
      </c>
      <c r="F59" s="135">
        <f>E59*6/100</f>
        <v>3.36</v>
      </c>
      <c r="G59" s="136">
        <v>2110.4699999999998</v>
      </c>
      <c r="H59" s="99">
        <f>F59*G59/1000</f>
        <v>7.0911791999999982</v>
      </c>
      <c r="I59" s="12">
        <f>F59/6*G59</f>
        <v>1181.8631999999998</v>
      </c>
      <c r="J59" s="62"/>
      <c r="L59" s="19"/>
      <c r="M59" s="20"/>
      <c r="N59" s="28"/>
    </row>
    <row r="60" spans="1:14" s="35" customFormat="1" ht="15.75" hidden="1" customHeight="1">
      <c r="A60" s="40"/>
      <c r="B60" s="95" t="s">
        <v>92</v>
      </c>
      <c r="C60" s="96" t="s">
        <v>93</v>
      </c>
      <c r="D60" s="95" t="s">
        <v>41</v>
      </c>
      <c r="E60" s="97">
        <v>8</v>
      </c>
      <c r="F60" s="98">
        <v>16</v>
      </c>
      <c r="G60" s="100">
        <v>180.78</v>
      </c>
      <c r="H60" s="99">
        <f>F60*G60/1000</f>
        <v>2.8924799999999999</v>
      </c>
      <c r="I60" s="12">
        <v>0</v>
      </c>
      <c r="J60" s="62"/>
      <c r="L60" s="19"/>
      <c r="M60" s="20"/>
      <c r="N60" s="28"/>
    </row>
    <row r="61" spans="1:14" s="35" customFormat="1" ht="15.75" customHeight="1">
      <c r="A61" s="40"/>
      <c r="B61" s="82" t="s">
        <v>43</v>
      </c>
      <c r="C61" s="82"/>
      <c r="D61" s="82"/>
      <c r="E61" s="82"/>
      <c r="F61" s="82"/>
      <c r="G61" s="82"/>
      <c r="H61" s="82"/>
      <c r="I61" s="33"/>
      <c r="J61" s="62"/>
      <c r="L61" s="19"/>
      <c r="M61" s="20"/>
      <c r="N61" s="28"/>
    </row>
    <row r="62" spans="1:14" s="35" customFormat="1" ht="15.75" customHeight="1">
      <c r="A62" s="40">
        <v>12</v>
      </c>
      <c r="B62" s="113" t="s">
        <v>89</v>
      </c>
      <c r="C62" s="114" t="s">
        <v>25</v>
      </c>
      <c r="D62" s="113" t="s">
        <v>194</v>
      </c>
      <c r="E62" s="134">
        <v>200</v>
      </c>
      <c r="F62" s="135">
        <f>E62*12</f>
        <v>2400</v>
      </c>
      <c r="G62" s="147">
        <v>1.4</v>
      </c>
      <c r="H62" s="99">
        <f>G62*F62/1000</f>
        <v>3.36</v>
      </c>
      <c r="I62" s="12">
        <f>F62/12*G62</f>
        <v>280</v>
      </c>
      <c r="J62" s="62"/>
      <c r="L62" s="19"/>
      <c r="M62" s="20"/>
      <c r="N62" s="28"/>
    </row>
    <row r="63" spans="1:14" s="35" customFormat="1" ht="15.75" hidden="1" customHeight="1">
      <c r="A63" s="40"/>
      <c r="B63" s="95" t="s">
        <v>44</v>
      </c>
      <c r="C63" s="96" t="s">
        <v>25</v>
      </c>
      <c r="D63" s="95" t="s">
        <v>53</v>
      </c>
      <c r="E63" s="97">
        <v>1652.5</v>
      </c>
      <c r="F63" s="98">
        <f>E63/100</f>
        <v>16.524999999999999</v>
      </c>
      <c r="G63" s="102">
        <v>793.61</v>
      </c>
      <c r="H63" s="99">
        <f>G63*F63/1000</f>
        <v>13.114405249999999</v>
      </c>
      <c r="I63" s="12">
        <v>0</v>
      </c>
      <c r="J63" s="62"/>
      <c r="L63" s="19"/>
      <c r="M63" s="20"/>
      <c r="N63" s="28"/>
    </row>
    <row r="64" spans="1:14" s="35" customFormat="1" ht="15.75" customHeight="1">
      <c r="A64" s="40"/>
      <c r="B64" s="82" t="s">
        <v>45</v>
      </c>
      <c r="C64" s="16"/>
      <c r="D64" s="36"/>
      <c r="E64" s="15"/>
      <c r="F64" s="15"/>
      <c r="G64" s="26"/>
      <c r="H64" s="26"/>
      <c r="I64" s="18"/>
      <c r="J64" s="62"/>
      <c r="L64" s="19"/>
      <c r="M64" s="20"/>
      <c r="N64" s="28"/>
    </row>
    <row r="65" spans="1:22" s="35" customFormat="1" ht="15.75" customHeight="1">
      <c r="A65" s="40">
        <v>13</v>
      </c>
      <c r="B65" s="142" t="s">
        <v>46</v>
      </c>
      <c r="C65" s="37" t="s">
        <v>114</v>
      </c>
      <c r="D65" s="36" t="s">
        <v>200</v>
      </c>
      <c r="E65" s="17">
        <v>12</v>
      </c>
      <c r="F65" s="110">
        <f>E65*1</f>
        <v>12</v>
      </c>
      <c r="G65" s="34">
        <v>303.35000000000002</v>
      </c>
      <c r="H65" s="77">
        <f t="shared" ref="H65:H72" si="4">SUM(F65*G65/1000)</f>
        <v>3.6402000000000001</v>
      </c>
      <c r="I65" s="12">
        <f>G65*2</f>
        <v>606.70000000000005</v>
      </c>
      <c r="J65" s="62"/>
      <c r="L65" s="19"/>
      <c r="M65" s="20"/>
      <c r="N65" s="28"/>
    </row>
    <row r="66" spans="1:22" s="35" customFormat="1" ht="15.75" hidden="1" customHeight="1">
      <c r="B66" s="14" t="s">
        <v>47</v>
      </c>
      <c r="C66" s="16" t="s">
        <v>114</v>
      </c>
      <c r="D66" s="14" t="s">
        <v>65</v>
      </c>
      <c r="E66" s="18">
        <v>8</v>
      </c>
      <c r="F66" s="87">
        <v>8</v>
      </c>
      <c r="G66" s="12">
        <v>76.25</v>
      </c>
      <c r="H66" s="77">
        <f t="shared" si="4"/>
        <v>0.61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25</v>
      </c>
      <c r="B67" s="14" t="s">
        <v>48</v>
      </c>
      <c r="C67" s="16" t="s">
        <v>115</v>
      </c>
      <c r="D67" s="14" t="s">
        <v>53</v>
      </c>
      <c r="E67" s="86">
        <v>23267</v>
      </c>
      <c r="F67" s="12">
        <f>SUM(E67/100)</f>
        <v>232.67</v>
      </c>
      <c r="G67" s="12">
        <v>212.15</v>
      </c>
      <c r="H67" s="77">
        <f t="shared" si="4"/>
        <v>49.360940499999998</v>
      </c>
      <c r="I67" s="12">
        <f t="shared" ref="I67:I72" si="5">F67*G67</f>
        <v>49360.940499999997</v>
      </c>
      <c r="J67" s="62"/>
      <c r="L67" s="19"/>
      <c r="M67" s="20"/>
      <c r="N67" s="28"/>
    </row>
    <row r="68" spans="1:22" s="35" customFormat="1" ht="15.75" hidden="1" customHeight="1">
      <c r="A68" s="26">
        <v>26</v>
      </c>
      <c r="B68" s="14" t="s">
        <v>49</v>
      </c>
      <c r="C68" s="16" t="s">
        <v>116</v>
      </c>
      <c r="D68" s="14"/>
      <c r="E68" s="86">
        <v>23267</v>
      </c>
      <c r="F68" s="12">
        <f>SUM(E68/1000)</f>
        <v>23.266999999999999</v>
      </c>
      <c r="G68" s="12">
        <v>165.21</v>
      </c>
      <c r="H68" s="77">
        <f t="shared" si="4"/>
        <v>3.8439410700000005</v>
      </c>
      <c r="I68" s="12">
        <f t="shared" si="5"/>
        <v>3843.9410700000003</v>
      </c>
      <c r="J68" s="62"/>
      <c r="L68" s="19"/>
      <c r="M68" s="20"/>
      <c r="N68" s="28"/>
    </row>
    <row r="69" spans="1:22" s="35" customFormat="1" ht="15.75" hidden="1" customHeight="1">
      <c r="A69" s="26">
        <v>27</v>
      </c>
      <c r="B69" s="14" t="s">
        <v>50</v>
      </c>
      <c r="C69" s="16" t="s">
        <v>74</v>
      </c>
      <c r="D69" s="14" t="s">
        <v>53</v>
      </c>
      <c r="E69" s="86">
        <v>3145</v>
      </c>
      <c r="F69" s="12">
        <f>SUM(E69/100)</f>
        <v>31.45</v>
      </c>
      <c r="G69" s="12">
        <v>2074.63</v>
      </c>
      <c r="H69" s="77">
        <f t="shared" si="4"/>
        <v>65.247113499999998</v>
      </c>
      <c r="I69" s="12">
        <f t="shared" si="5"/>
        <v>65247.113499999999</v>
      </c>
      <c r="J69" s="62"/>
      <c r="L69" s="19"/>
    </row>
    <row r="70" spans="1:22" s="35" customFormat="1" ht="15.75" hidden="1" customHeight="1">
      <c r="A70" s="26">
        <v>28</v>
      </c>
      <c r="B70" s="104" t="s">
        <v>117</v>
      </c>
      <c r="C70" s="16" t="s">
        <v>33</v>
      </c>
      <c r="D70" s="14"/>
      <c r="E70" s="86">
        <v>20.66</v>
      </c>
      <c r="F70" s="12">
        <f>SUM(E70)</f>
        <v>20.66</v>
      </c>
      <c r="G70" s="12">
        <v>42.67</v>
      </c>
      <c r="H70" s="77">
        <f t="shared" si="4"/>
        <v>0.88156220000000007</v>
      </c>
      <c r="I70" s="12">
        <f t="shared" si="5"/>
        <v>881.56220000000008</v>
      </c>
    </row>
    <row r="71" spans="1:22" s="35" customFormat="1" ht="15.75" hidden="1" customHeight="1">
      <c r="A71" s="26">
        <v>29</v>
      </c>
      <c r="B71" s="104" t="s">
        <v>137</v>
      </c>
      <c r="C71" s="16" t="s">
        <v>33</v>
      </c>
      <c r="D71" s="14"/>
      <c r="E71" s="86">
        <v>20.66</v>
      </c>
      <c r="F71" s="12">
        <f>SUM(E71)</f>
        <v>20.66</v>
      </c>
      <c r="G71" s="12">
        <v>39.81</v>
      </c>
      <c r="H71" s="77">
        <f t="shared" si="4"/>
        <v>0.82247460000000006</v>
      </c>
      <c r="I71" s="12">
        <f t="shared" si="5"/>
        <v>822.47460000000001</v>
      </c>
    </row>
    <row r="72" spans="1:22" s="35" customFormat="1" ht="22.5" hidden="1" customHeight="1">
      <c r="A72" s="26">
        <v>17</v>
      </c>
      <c r="B72" s="14" t="s">
        <v>56</v>
      </c>
      <c r="C72" s="16" t="s">
        <v>57</v>
      </c>
      <c r="D72" s="14" t="s">
        <v>53</v>
      </c>
      <c r="E72" s="18">
        <v>5</v>
      </c>
      <c r="F72" s="87">
        <f>SUM(E72)</f>
        <v>5</v>
      </c>
      <c r="G72" s="12">
        <v>49.88</v>
      </c>
      <c r="H72" s="77">
        <f t="shared" si="4"/>
        <v>0.24940000000000001</v>
      </c>
      <c r="I72" s="12">
        <f t="shared" si="5"/>
        <v>249.4</v>
      </c>
    </row>
    <row r="73" spans="1:22" s="35" customFormat="1" ht="22.5" customHeight="1">
      <c r="A73" s="26"/>
      <c r="B73" s="125" t="s">
        <v>160</v>
      </c>
      <c r="C73" s="126"/>
      <c r="D73" s="125"/>
      <c r="E73" s="130"/>
      <c r="F73" s="131"/>
      <c r="G73" s="132"/>
      <c r="H73" s="77"/>
      <c r="I73" s="12"/>
    </row>
    <row r="74" spans="1:22" s="35" customFormat="1" ht="31.5" customHeight="1">
      <c r="A74" s="26">
        <v>14</v>
      </c>
      <c r="B74" s="36" t="s">
        <v>161</v>
      </c>
      <c r="C74" s="40" t="s">
        <v>162</v>
      </c>
      <c r="D74" s="36"/>
      <c r="E74" s="17">
        <v>5916.3</v>
      </c>
      <c r="F74" s="34">
        <f>E74*12</f>
        <v>70995.600000000006</v>
      </c>
      <c r="G74" s="34">
        <v>2.37</v>
      </c>
      <c r="H74" s="77"/>
      <c r="I74" s="12">
        <f>G74*F74/12</f>
        <v>14021.631000000001</v>
      </c>
    </row>
    <row r="75" spans="1:22" s="35" customFormat="1" ht="21.75" hidden="1" customHeight="1">
      <c r="A75" s="106"/>
      <c r="B75" s="82" t="s">
        <v>118</v>
      </c>
      <c r="C75" s="82"/>
      <c r="D75" s="82"/>
      <c r="E75" s="82"/>
      <c r="F75" s="82"/>
      <c r="G75" s="82"/>
      <c r="H75" s="82"/>
      <c r="I75" s="18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63"/>
    </row>
    <row r="76" spans="1:22" s="35" customFormat="1" ht="20.25" hidden="1" customHeight="1">
      <c r="A76" s="26">
        <v>18</v>
      </c>
      <c r="B76" s="84" t="s">
        <v>119</v>
      </c>
      <c r="C76" s="16"/>
      <c r="D76" s="14"/>
      <c r="E76" s="73"/>
      <c r="F76" s="12">
        <v>1</v>
      </c>
      <c r="G76" s="12">
        <v>27750</v>
      </c>
      <c r="H76" s="77">
        <f>G76*F76/1000</f>
        <v>27.75</v>
      </c>
      <c r="I76" s="12">
        <f>G76</f>
        <v>27750</v>
      </c>
      <c r="J76" s="64"/>
      <c r="K76" s="64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2" s="35" customFormat="1" ht="15.75" customHeight="1">
      <c r="A77" s="26"/>
      <c r="B77" s="48" t="s">
        <v>70</v>
      </c>
      <c r="C77" s="48"/>
      <c r="D77" s="48"/>
      <c r="E77" s="18"/>
      <c r="F77" s="18"/>
      <c r="G77" s="26"/>
      <c r="H77" s="26"/>
      <c r="I77" s="18"/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18</v>
      </c>
      <c r="B78" s="14" t="s">
        <v>71</v>
      </c>
      <c r="C78" s="16" t="s">
        <v>31</v>
      </c>
      <c r="D78" s="14"/>
      <c r="E78" s="18">
        <v>10</v>
      </c>
      <c r="F78" s="72">
        <v>1</v>
      </c>
      <c r="G78" s="12">
        <v>501.62</v>
      </c>
      <c r="H78" s="77">
        <f>F78*G78/1000</f>
        <v>0.50161999999999995</v>
      </c>
      <c r="I78" s="12">
        <f>G78*0.3</f>
        <v>150.48599999999999</v>
      </c>
      <c r="J78" s="55"/>
      <c r="K78" s="55"/>
      <c r="L78" s="55"/>
      <c r="M78" s="55"/>
      <c r="N78" s="55"/>
      <c r="O78" s="55"/>
      <c r="P78" s="55"/>
      <c r="Q78" s="55"/>
      <c r="S78" s="55"/>
      <c r="T78" s="55"/>
      <c r="U78" s="55"/>
    </row>
    <row r="79" spans="1:22" s="35" customFormat="1" ht="15.75" hidden="1" customHeight="1">
      <c r="A79" s="26">
        <v>20</v>
      </c>
      <c r="B79" s="14" t="s">
        <v>83</v>
      </c>
      <c r="C79" s="16" t="s">
        <v>30</v>
      </c>
      <c r="D79" s="14"/>
      <c r="E79" s="18">
        <v>1</v>
      </c>
      <c r="F79" s="87">
        <v>1</v>
      </c>
      <c r="G79" s="12">
        <v>358.51</v>
      </c>
      <c r="H79" s="77">
        <f>F79*G79/1000</f>
        <v>0.35851</v>
      </c>
      <c r="I79" s="12">
        <f>G79</f>
        <v>358.51</v>
      </c>
      <c r="J79" s="56"/>
      <c r="K79" s="56"/>
      <c r="L79" s="56"/>
      <c r="M79" s="56"/>
      <c r="N79" s="56"/>
      <c r="O79" s="56"/>
      <c r="P79" s="56"/>
      <c r="Q79" s="56"/>
      <c r="R79" s="233"/>
      <c r="S79" s="233"/>
      <c r="T79" s="233"/>
      <c r="U79" s="233"/>
    </row>
    <row r="80" spans="1:22" s="35" customFormat="1" ht="12.75" hidden="1" customHeight="1">
      <c r="A80" s="26">
        <v>18</v>
      </c>
      <c r="B80" s="14" t="s">
        <v>72</v>
      </c>
      <c r="C80" s="16" t="s">
        <v>30</v>
      </c>
      <c r="D80" s="14"/>
      <c r="E80" s="18">
        <v>1</v>
      </c>
      <c r="F80" s="12">
        <v>1</v>
      </c>
      <c r="G80" s="12">
        <v>852.99</v>
      </c>
      <c r="H80" s="77">
        <f>F80*G80/1000</f>
        <v>0.85299000000000003</v>
      </c>
      <c r="I80" s="12">
        <f>G80</f>
        <v>852.99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21" s="35" customFormat="1" ht="29.25" customHeight="1">
      <c r="A81" s="26">
        <v>15</v>
      </c>
      <c r="B81" s="36" t="s">
        <v>164</v>
      </c>
      <c r="C81" s="37" t="s">
        <v>114</v>
      </c>
      <c r="D81" s="36" t="s">
        <v>201</v>
      </c>
      <c r="E81" s="17">
        <v>1</v>
      </c>
      <c r="F81" s="34">
        <f>E81*12</f>
        <v>12</v>
      </c>
      <c r="G81" s="34">
        <v>55.55</v>
      </c>
      <c r="H81" s="77"/>
      <c r="I81" s="12">
        <f>G81*1</f>
        <v>55.55</v>
      </c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1:21" s="35" customFormat="1" ht="15.75" hidden="1" customHeight="1">
      <c r="A82" s="26"/>
      <c r="B82" s="49" t="s">
        <v>73</v>
      </c>
      <c r="C82" s="37"/>
      <c r="D82" s="26"/>
      <c r="E82" s="18"/>
      <c r="F82" s="18"/>
      <c r="G82" s="34" t="s">
        <v>130</v>
      </c>
      <c r="H82" s="34"/>
      <c r="I82" s="18"/>
    </row>
    <row r="83" spans="1:21" s="35" customFormat="1" ht="16.5" hidden="1" customHeight="1">
      <c r="A83" s="26">
        <v>39</v>
      </c>
      <c r="B83" s="51" t="s">
        <v>120</v>
      </c>
      <c r="C83" s="16" t="s">
        <v>74</v>
      </c>
      <c r="D83" s="14"/>
      <c r="E83" s="18"/>
      <c r="F83" s="12">
        <v>1.35</v>
      </c>
      <c r="G83" s="12">
        <v>2759.44</v>
      </c>
      <c r="H83" s="77">
        <f>SUM(F83*G83/1000)</f>
        <v>3.725244</v>
      </c>
      <c r="I83" s="12">
        <v>0</v>
      </c>
    </row>
    <row r="84" spans="1:21" s="35" customFormat="1" ht="15.75" customHeight="1">
      <c r="A84" s="225" t="s">
        <v>140</v>
      </c>
      <c r="B84" s="226"/>
      <c r="C84" s="226"/>
      <c r="D84" s="226"/>
      <c r="E84" s="226"/>
      <c r="F84" s="226"/>
      <c r="G84" s="226"/>
      <c r="H84" s="226"/>
      <c r="I84" s="227"/>
    </row>
    <row r="85" spans="1:21" s="35" customFormat="1" ht="15.75" customHeight="1">
      <c r="A85" s="26">
        <v>16</v>
      </c>
      <c r="B85" s="145" t="s">
        <v>121</v>
      </c>
      <c r="C85" s="144" t="s">
        <v>54</v>
      </c>
      <c r="D85" s="146"/>
      <c r="E85" s="111">
        <v>5916.3</v>
      </c>
      <c r="F85" s="111">
        <f>SUM(E85*12)</f>
        <v>70995.600000000006</v>
      </c>
      <c r="G85" s="111">
        <v>3.22</v>
      </c>
      <c r="H85" s="103">
        <f>SUM(F85*G85/1000)</f>
        <v>228.60583200000002</v>
      </c>
      <c r="I85" s="12">
        <f>F85/12*G85</f>
        <v>19050.486000000001</v>
      </c>
    </row>
    <row r="86" spans="1:21" s="35" customFormat="1" ht="31.5" customHeight="1">
      <c r="A86" s="26">
        <v>17</v>
      </c>
      <c r="B86" s="36" t="s">
        <v>75</v>
      </c>
      <c r="C86" s="37"/>
      <c r="D86" s="57"/>
      <c r="E86" s="138">
        <f>E85</f>
        <v>5916.3</v>
      </c>
      <c r="F86" s="34">
        <f>E86*12</f>
        <v>70995.600000000006</v>
      </c>
      <c r="G86" s="34">
        <v>3.64</v>
      </c>
      <c r="H86" s="107">
        <f>F86*G86/1000</f>
        <v>258.42398400000002</v>
      </c>
      <c r="I86" s="12">
        <f>F86/12*G86</f>
        <v>21535.332000000002</v>
      </c>
    </row>
    <row r="87" spans="1:21" s="35" customFormat="1" ht="15.75" customHeight="1">
      <c r="A87" s="106"/>
      <c r="B87" s="38" t="s">
        <v>77</v>
      </c>
      <c r="C87" s="40"/>
      <c r="D87" s="15"/>
      <c r="E87" s="15"/>
      <c r="F87" s="15"/>
      <c r="G87" s="18"/>
      <c r="H87" s="18"/>
      <c r="I87" s="29">
        <f>I86+I85+I81+I74+I65+I62+I55+I51+I45+I42+I41+I40+I39+I27+I18+I17+I16</f>
        <v>115197.622215</v>
      </c>
    </row>
    <row r="88" spans="1:21" s="35" customFormat="1" ht="15.75" customHeight="1">
      <c r="A88" s="228" t="s">
        <v>59</v>
      </c>
      <c r="B88" s="229"/>
      <c r="C88" s="229"/>
      <c r="D88" s="229"/>
      <c r="E88" s="229"/>
      <c r="F88" s="229"/>
      <c r="G88" s="229"/>
      <c r="H88" s="229"/>
      <c r="I88" s="230"/>
    </row>
    <row r="89" spans="1:21" s="35" customFormat="1" ht="38.25" customHeight="1">
      <c r="A89" s="26">
        <v>18</v>
      </c>
      <c r="B89" s="36" t="s">
        <v>178</v>
      </c>
      <c r="C89" s="37" t="s">
        <v>170</v>
      </c>
      <c r="D89" s="36" t="s">
        <v>320</v>
      </c>
      <c r="E89" s="34"/>
      <c r="F89" s="34">
        <v>33.5</v>
      </c>
      <c r="G89" s="34">
        <v>1523.6</v>
      </c>
      <c r="H89" s="107"/>
      <c r="I89" s="12">
        <f>G89*4</f>
        <v>6094.4</v>
      </c>
    </row>
    <row r="90" spans="1:21" s="35" customFormat="1" ht="31.5" customHeight="1">
      <c r="A90" s="31">
        <v>19</v>
      </c>
      <c r="B90" s="58" t="s">
        <v>311</v>
      </c>
      <c r="C90" s="59" t="s">
        <v>85</v>
      </c>
      <c r="D90" s="57" t="s">
        <v>321</v>
      </c>
      <c r="E90" s="34"/>
      <c r="F90" s="34">
        <v>1</v>
      </c>
      <c r="G90" s="34">
        <v>587.65</v>
      </c>
      <c r="H90" s="107"/>
      <c r="I90" s="12">
        <f>G90*1</f>
        <v>587.65</v>
      </c>
    </row>
    <row r="91" spans="1:21" s="35" customFormat="1" ht="30" customHeight="1">
      <c r="A91" s="31">
        <v>20</v>
      </c>
      <c r="B91" s="58" t="s">
        <v>249</v>
      </c>
      <c r="C91" s="59" t="s">
        <v>85</v>
      </c>
      <c r="D91" s="57"/>
      <c r="E91" s="34"/>
      <c r="F91" s="34">
        <v>4</v>
      </c>
      <c r="G91" s="34">
        <v>913.43</v>
      </c>
      <c r="H91" s="107"/>
      <c r="I91" s="12">
        <f>G91*1</f>
        <v>913.43</v>
      </c>
    </row>
    <row r="92" spans="1:21" s="35" customFormat="1" ht="18.75" customHeight="1">
      <c r="A92" s="31">
        <v>21</v>
      </c>
      <c r="B92" s="58" t="s">
        <v>184</v>
      </c>
      <c r="C92" s="59" t="s">
        <v>185</v>
      </c>
      <c r="D92" s="57" t="s">
        <v>351</v>
      </c>
      <c r="E92" s="34"/>
      <c r="F92" s="34">
        <v>7.0000000000000007E-2</v>
      </c>
      <c r="G92" s="34">
        <v>27139.18</v>
      </c>
      <c r="H92" s="107"/>
      <c r="I92" s="12">
        <v>0</v>
      </c>
    </row>
    <row r="93" spans="1:21" s="35" customFormat="1" ht="18" customHeight="1">
      <c r="A93" s="31">
        <v>22</v>
      </c>
      <c r="B93" s="58" t="s">
        <v>78</v>
      </c>
      <c r="C93" s="59" t="s">
        <v>114</v>
      </c>
      <c r="D93" s="57"/>
      <c r="E93" s="34"/>
      <c r="F93" s="34">
        <v>5</v>
      </c>
      <c r="G93" s="34">
        <v>215.85</v>
      </c>
      <c r="H93" s="107"/>
      <c r="I93" s="12">
        <f>G93*2</f>
        <v>431.7</v>
      </c>
    </row>
    <row r="94" spans="1:21" s="35" customFormat="1" ht="33.75" customHeight="1">
      <c r="A94" s="31">
        <v>23</v>
      </c>
      <c r="B94" s="58" t="s">
        <v>312</v>
      </c>
      <c r="C94" s="59" t="s">
        <v>85</v>
      </c>
      <c r="D94" s="57" t="s">
        <v>322</v>
      </c>
      <c r="E94" s="34"/>
      <c r="F94" s="34">
        <v>1</v>
      </c>
      <c r="G94" s="34">
        <v>6057.87</v>
      </c>
      <c r="H94" s="107"/>
      <c r="I94" s="12">
        <f>G94*1</f>
        <v>6057.87</v>
      </c>
    </row>
    <row r="95" spans="1:21" s="35" customFormat="1" ht="18" customHeight="1">
      <c r="A95" s="31">
        <v>24</v>
      </c>
      <c r="B95" s="210" t="s">
        <v>313</v>
      </c>
      <c r="C95" s="211" t="s">
        <v>314</v>
      </c>
      <c r="D95" s="57"/>
      <c r="E95" s="34"/>
      <c r="F95" s="34">
        <f>0.5/3</f>
        <v>0.16666666666666666</v>
      </c>
      <c r="G95" s="34">
        <v>1274.19</v>
      </c>
      <c r="H95" s="107"/>
      <c r="I95" s="12">
        <f>G95*0.5/3</f>
        <v>212.36500000000001</v>
      </c>
    </row>
    <row r="96" spans="1:21" s="35" customFormat="1" ht="18" customHeight="1">
      <c r="A96" s="31">
        <v>25</v>
      </c>
      <c r="B96" s="133" t="s">
        <v>315</v>
      </c>
      <c r="C96" s="40" t="s">
        <v>100</v>
      </c>
      <c r="D96" s="57"/>
      <c r="E96" s="34"/>
      <c r="F96" s="34">
        <v>0.22</v>
      </c>
      <c r="G96" s="34">
        <v>3730.99</v>
      </c>
      <c r="H96" s="107"/>
      <c r="I96" s="12">
        <f>G96*0.22</f>
        <v>820.81779999999992</v>
      </c>
    </row>
    <row r="97" spans="1:9" s="35" customFormat="1" ht="18" customHeight="1">
      <c r="A97" s="31">
        <v>26</v>
      </c>
      <c r="B97" s="58" t="s">
        <v>316</v>
      </c>
      <c r="C97" s="59" t="s">
        <v>52</v>
      </c>
      <c r="D97" s="57" t="s">
        <v>319</v>
      </c>
      <c r="E97" s="34"/>
      <c r="F97" s="34">
        <v>0.01</v>
      </c>
      <c r="G97" s="34">
        <v>36250.239999999998</v>
      </c>
      <c r="H97" s="107"/>
      <c r="I97" s="12">
        <f>G97*0.01</f>
        <v>362.50239999999997</v>
      </c>
    </row>
    <row r="98" spans="1:9" s="35" customFormat="1" ht="18" customHeight="1">
      <c r="A98" s="31">
        <v>27</v>
      </c>
      <c r="B98" s="58" t="s">
        <v>317</v>
      </c>
      <c r="C98" s="59" t="s">
        <v>114</v>
      </c>
      <c r="D98" s="57" t="s">
        <v>318</v>
      </c>
      <c r="E98" s="34"/>
      <c r="F98" s="34">
        <v>2</v>
      </c>
      <c r="G98" s="34">
        <v>220.1</v>
      </c>
      <c r="H98" s="107"/>
      <c r="I98" s="12">
        <f>G98*2</f>
        <v>440.2</v>
      </c>
    </row>
    <row r="99" spans="1:9" s="35" customFormat="1" ht="29.25" customHeight="1">
      <c r="A99" s="31">
        <v>28</v>
      </c>
      <c r="B99" s="58" t="s">
        <v>186</v>
      </c>
      <c r="C99" s="59" t="s">
        <v>37</v>
      </c>
      <c r="D99" s="165" t="s">
        <v>351</v>
      </c>
      <c r="E99" s="34"/>
      <c r="F99" s="34">
        <v>0.08</v>
      </c>
      <c r="G99" s="34">
        <v>4070.89</v>
      </c>
      <c r="H99" s="107"/>
      <c r="I99" s="12">
        <v>0</v>
      </c>
    </row>
    <row r="100" spans="1:9" s="35" customFormat="1" ht="15.75" customHeight="1">
      <c r="A100" s="26"/>
      <c r="B100" s="45" t="s">
        <v>51</v>
      </c>
      <c r="C100" s="41"/>
      <c r="D100" s="53"/>
      <c r="E100" s="41">
        <v>1</v>
      </c>
      <c r="F100" s="41"/>
      <c r="G100" s="41"/>
      <c r="H100" s="41"/>
      <c r="I100" s="29">
        <f>SUM(I89:I99)</f>
        <v>15920.9352</v>
      </c>
    </row>
    <row r="101" spans="1:9" s="35" customFormat="1" ht="15.75" customHeight="1">
      <c r="A101" s="26"/>
      <c r="B101" s="51" t="s">
        <v>76</v>
      </c>
      <c r="C101" s="15"/>
      <c r="D101" s="15"/>
      <c r="E101" s="42"/>
      <c r="F101" s="42"/>
      <c r="G101" s="43"/>
      <c r="H101" s="43"/>
      <c r="I101" s="17">
        <v>0</v>
      </c>
    </row>
    <row r="102" spans="1:9" s="35" customFormat="1" ht="15.75" customHeight="1">
      <c r="A102" s="54"/>
      <c r="B102" s="46" t="s">
        <v>141</v>
      </c>
      <c r="C102" s="32"/>
      <c r="D102" s="32"/>
      <c r="E102" s="32"/>
      <c r="F102" s="32"/>
      <c r="G102" s="32"/>
      <c r="H102" s="32"/>
      <c r="I102" s="44">
        <f>I87+I100</f>
        <v>131118.55741499999</v>
      </c>
    </row>
    <row r="103" spans="1:9" ht="15.75" customHeight="1">
      <c r="A103" s="231" t="s">
        <v>352</v>
      </c>
      <c r="B103" s="231"/>
      <c r="C103" s="231"/>
      <c r="D103" s="231"/>
      <c r="E103" s="231"/>
      <c r="F103" s="231"/>
      <c r="G103" s="231"/>
      <c r="H103" s="231"/>
      <c r="I103" s="231"/>
    </row>
    <row r="104" spans="1:9" ht="15.75" customHeight="1">
      <c r="A104" s="71"/>
      <c r="B104" s="232" t="s">
        <v>353</v>
      </c>
      <c r="C104" s="232"/>
      <c r="D104" s="232"/>
      <c r="E104" s="232"/>
      <c r="F104" s="232"/>
      <c r="G104" s="232"/>
      <c r="H104" s="76"/>
      <c r="I104" s="3"/>
    </row>
    <row r="105" spans="1:9" ht="15.75" customHeight="1">
      <c r="A105" s="80"/>
      <c r="B105" s="218" t="s">
        <v>6</v>
      </c>
      <c r="C105" s="218"/>
      <c r="D105" s="218"/>
      <c r="E105" s="218"/>
      <c r="F105" s="218"/>
      <c r="G105" s="218"/>
      <c r="H105" s="21"/>
      <c r="I105" s="5"/>
    </row>
    <row r="106" spans="1:9" ht="8.25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5.75" customHeight="1">
      <c r="A107" s="219" t="s">
        <v>7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 customHeight="1">
      <c r="A108" s="219" t="s">
        <v>8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220" t="s">
        <v>60</v>
      </c>
      <c r="B109" s="220"/>
      <c r="C109" s="220"/>
      <c r="D109" s="220"/>
      <c r="E109" s="220"/>
      <c r="F109" s="220"/>
      <c r="G109" s="220"/>
      <c r="H109" s="220"/>
      <c r="I109" s="220"/>
    </row>
    <row r="110" spans="1:9" ht="15.75" customHeight="1">
      <c r="A110" s="10"/>
    </row>
    <row r="111" spans="1:9" ht="15.75" customHeight="1">
      <c r="A111" s="213" t="s">
        <v>9</v>
      </c>
      <c r="B111" s="213"/>
      <c r="C111" s="213"/>
      <c r="D111" s="213"/>
      <c r="E111" s="213"/>
      <c r="F111" s="213"/>
      <c r="G111" s="213"/>
      <c r="H111" s="213"/>
      <c r="I111" s="213"/>
    </row>
    <row r="112" spans="1:9" ht="15.75" customHeight="1">
      <c r="A112" s="4"/>
    </row>
    <row r="113" spans="1:9" ht="15.75" customHeight="1">
      <c r="B113" s="81" t="s">
        <v>10</v>
      </c>
      <c r="C113" s="214" t="s">
        <v>292</v>
      </c>
      <c r="D113" s="214"/>
      <c r="E113" s="214"/>
      <c r="F113" s="74"/>
      <c r="I113" s="79"/>
    </row>
    <row r="114" spans="1:9" ht="15.75" customHeight="1">
      <c r="A114" s="80"/>
      <c r="C114" s="218" t="s">
        <v>11</v>
      </c>
      <c r="D114" s="218"/>
      <c r="E114" s="218"/>
      <c r="F114" s="21"/>
      <c r="I114" s="78" t="s">
        <v>12</v>
      </c>
    </row>
    <row r="115" spans="1:9" ht="15.75" customHeight="1">
      <c r="A115" s="22"/>
      <c r="C115" s="11"/>
      <c r="D115" s="11"/>
      <c r="G115" s="11"/>
      <c r="H115" s="11"/>
    </row>
    <row r="116" spans="1:9" ht="15.75" customHeight="1">
      <c r="B116" s="81" t="s">
        <v>13</v>
      </c>
      <c r="C116" s="215"/>
      <c r="D116" s="215"/>
      <c r="E116" s="215"/>
      <c r="F116" s="75"/>
      <c r="I116" s="79"/>
    </row>
    <row r="117" spans="1:9" ht="15.75" customHeight="1">
      <c r="A117" s="80"/>
      <c r="C117" s="216" t="s">
        <v>11</v>
      </c>
      <c r="D117" s="216"/>
      <c r="E117" s="216"/>
      <c r="F117" s="80"/>
      <c r="I117" s="78" t="s">
        <v>12</v>
      </c>
    </row>
    <row r="118" spans="1:9" ht="15.75" customHeight="1">
      <c r="A118" s="4" t="s">
        <v>14</v>
      </c>
    </row>
    <row r="119" spans="1:9">
      <c r="A119" s="217" t="s">
        <v>15</v>
      </c>
      <c r="B119" s="217"/>
      <c r="C119" s="217"/>
      <c r="D119" s="217"/>
      <c r="E119" s="217"/>
      <c r="F119" s="217"/>
      <c r="G119" s="217"/>
      <c r="H119" s="217"/>
      <c r="I119" s="217"/>
    </row>
    <row r="120" spans="1:9" ht="45" customHeight="1">
      <c r="A120" s="212" t="s">
        <v>16</v>
      </c>
      <c r="B120" s="212"/>
      <c r="C120" s="212"/>
      <c r="D120" s="212"/>
      <c r="E120" s="212"/>
      <c r="F120" s="212"/>
      <c r="G120" s="212"/>
      <c r="H120" s="212"/>
      <c r="I120" s="212"/>
    </row>
    <row r="121" spans="1:9" ht="30" customHeight="1">
      <c r="A121" s="212" t="s">
        <v>17</v>
      </c>
      <c r="B121" s="212"/>
      <c r="C121" s="212"/>
      <c r="D121" s="212"/>
      <c r="E121" s="212"/>
      <c r="F121" s="212"/>
      <c r="G121" s="212"/>
      <c r="H121" s="212"/>
      <c r="I121" s="212"/>
    </row>
    <row r="122" spans="1:9" ht="30" customHeight="1">
      <c r="A122" s="212" t="s">
        <v>21</v>
      </c>
      <c r="B122" s="212"/>
      <c r="C122" s="212"/>
      <c r="D122" s="212"/>
      <c r="E122" s="212"/>
      <c r="F122" s="212"/>
      <c r="G122" s="212"/>
      <c r="H122" s="212"/>
      <c r="I122" s="212"/>
    </row>
    <row r="123" spans="1:9" ht="14.25" customHeight="1">
      <c r="A123" s="212" t="s">
        <v>20</v>
      </c>
      <c r="B123" s="212"/>
      <c r="C123" s="212"/>
      <c r="D123" s="212"/>
      <c r="E123" s="212"/>
      <c r="F123" s="212"/>
      <c r="G123" s="212"/>
      <c r="H123" s="212"/>
      <c r="I123" s="212"/>
    </row>
  </sheetData>
  <autoFilter ref="I12:I71"/>
  <mergeCells count="29">
    <mergeCell ref="A119:I119"/>
    <mergeCell ref="A120:I120"/>
    <mergeCell ref="A121:I121"/>
    <mergeCell ref="A122:I122"/>
    <mergeCell ref="A123:I123"/>
    <mergeCell ref="R79:U79"/>
    <mergeCell ref="C117:E117"/>
    <mergeCell ref="A88:I88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6:I56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05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topLeftCell="A80" workbookViewId="0">
      <selection activeCell="G97" sqref="G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142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212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43889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40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104</v>
      </c>
      <c r="C30" s="85" t="s">
        <v>105</v>
      </c>
      <c r="D30" s="84" t="s">
        <v>106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134</v>
      </c>
      <c r="C31" s="85" t="s">
        <v>105</v>
      </c>
      <c r="D31" s="84" t="s">
        <v>107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105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132</v>
      </c>
      <c r="C33" s="85" t="s">
        <v>39</v>
      </c>
      <c r="D33" s="84" t="s">
        <v>133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108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6.5" customHeight="1">
      <c r="A38" s="31">
        <v>5</v>
      </c>
      <c r="B38" s="84" t="s">
        <v>26</v>
      </c>
      <c r="C38" s="85" t="s">
        <v>32</v>
      </c>
      <c r="D38" s="84" t="s">
        <v>213</v>
      </c>
      <c r="E38" s="86"/>
      <c r="F38" s="87">
        <v>10</v>
      </c>
      <c r="G38" s="122">
        <v>2083.12</v>
      </c>
      <c r="H38" s="88">
        <f t="shared" ref="H38:H43" si="2">SUM(F38*G38/1000)</f>
        <v>20.831199999999995</v>
      </c>
      <c r="I38" s="12">
        <f>G38*1.3</f>
        <v>2708.056</v>
      </c>
      <c r="J38" s="62"/>
    </row>
    <row r="39" spans="1:14" s="35" customFormat="1" ht="15.75" customHeight="1">
      <c r="A39" s="31">
        <v>6</v>
      </c>
      <c r="B39" s="137" t="s">
        <v>165</v>
      </c>
      <c r="C39" s="139" t="s">
        <v>29</v>
      </c>
      <c r="D39" s="137" t="s">
        <v>196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197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47.25" customHeight="1">
      <c r="A41" s="31">
        <v>8</v>
      </c>
      <c r="B41" s="30" t="s">
        <v>79</v>
      </c>
      <c r="C41" s="39" t="s">
        <v>105</v>
      </c>
      <c r="D41" s="30" t="s">
        <v>198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F41/6*G41</f>
        <v>3419.5392000000002</v>
      </c>
      <c r="J41" s="62"/>
    </row>
    <row r="42" spans="1:14" s="35" customFormat="1" ht="15.75" customHeight="1">
      <c r="A42" s="31">
        <v>9</v>
      </c>
      <c r="B42" s="30" t="s">
        <v>110</v>
      </c>
      <c r="C42" s="39" t="s">
        <v>105</v>
      </c>
      <c r="D42" s="30" t="s">
        <v>214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G42*F42/45</f>
        <v>63.151920000000004</v>
      </c>
      <c r="J42" s="62"/>
      <c r="L42" s="19"/>
      <c r="M42" s="20"/>
      <c r="N42" s="28"/>
    </row>
    <row r="43" spans="1:14" s="35" customFormat="1" ht="15.75" customHeight="1">
      <c r="A43" s="143">
        <v>10</v>
      </c>
      <c r="B43" s="148" t="s">
        <v>68</v>
      </c>
      <c r="C43" s="149" t="s">
        <v>33</v>
      </c>
      <c r="D43" s="148"/>
      <c r="E43" s="150"/>
      <c r="F43" s="151">
        <v>0.9</v>
      </c>
      <c r="G43" s="151">
        <v>800</v>
      </c>
      <c r="H43" s="99">
        <f t="shared" si="2"/>
        <v>0.72</v>
      </c>
      <c r="I43" s="108">
        <f>G43*F43/45</f>
        <v>16</v>
      </c>
      <c r="J43" s="62"/>
      <c r="L43" s="19"/>
      <c r="M43" s="20"/>
      <c r="N43" s="28"/>
    </row>
    <row r="44" spans="1:14" s="35" customFormat="1" ht="35.25" customHeight="1">
      <c r="A44" s="31">
        <v>11</v>
      </c>
      <c r="B44" s="137" t="s">
        <v>168</v>
      </c>
      <c r="C44" s="139" t="s">
        <v>29</v>
      </c>
      <c r="D44" s="137" t="s">
        <v>202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5.75" customHeight="1">
      <c r="A45" s="222" t="s">
        <v>138</v>
      </c>
      <c r="B45" s="223"/>
      <c r="C45" s="223"/>
      <c r="D45" s="223"/>
      <c r="E45" s="223"/>
      <c r="F45" s="223"/>
      <c r="G45" s="223"/>
      <c r="H45" s="223"/>
      <c r="I45" s="224"/>
      <c r="J45" s="62"/>
      <c r="L45" s="19"/>
      <c r="M45" s="20"/>
      <c r="N45" s="28"/>
    </row>
    <row r="46" spans="1:14" s="35" customFormat="1" ht="15.75" hidden="1" customHeight="1">
      <c r="A46" s="40">
        <v>15</v>
      </c>
      <c r="B46" s="84" t="s">
        <v>111</v>
      </c>
      <c r="C46" s="85" t="s">
        <v>105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v>0</v>
      </c>
      <c r="J46" s="62"/>
      <c r="L46" s="19"/>
      <c r="M46" s="20"/>
      <c r="N46" s="28"/>
    </row>
    <row r="47" spans="1:14" s="35" customFormat="1" ht="15.75" hidden="1" customHeight="1">
      <c r="A47" s="40"/>
      <c r="B47" s="84" t="s">
        <v>34</v>
      </c>
      <c r="C47" s="85" t="s">
        <v>105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v>0</v>
      </c>
      <c r="J47" s="62"/>
      <c r="L47" s="19"/>
      <c r="M47" s="20"/>
      <c r="N47" s="28"/>
    </row>
    <row r="48" spans="1:14" s="35" customFormat="1" ht="15.75" hidden="1" customHeight="1">
      <c r="A48" s="40">
        <v>16</v>
      </c>
      <c r="B48" s="84" t="s">
        <v>35</v>
      </c>
      <c r="C48" s="85" t="s">
        <v>105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v>0</v>
      </c>
      <c r="J48" s="62"/>
      <c r="L48" s="19"/>
      <c r="M48" s="20"/>
      <c r="N48" s="28"/>
    </row>
    <row r="49" spans="1:14" s="35" customFormat="1" ht="15.75" hidden="1" customHeight="1">
      <c r="A49" s="40">
        <v>17</v>
      </c>
      <c r="B49" s="84" t="s">
        <v>36</v>
      </c>
      <c r="C49" s="85" t="s">
        <v>105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v>0</v>
      </c>
      <c r="J49" s="62"/>
      <c r="L49" s="19"/>
      <c r="M49" s="20"/>
      <c r="N49" s="28"/>
    </row>
    <row r="50" spans="1:14" s="35" customFormat="1" ht="15.75" customHeight="1">
      <c r="A50" s="40">
        <v>12</v>
      </c>
      <c r="B50" s="30" t="s">
        <v>55</v>
      </c>
      <c r="C50" s="39" t="s">
        <v>105</v>
      </c>
      <c r="D50" s="30" t="s">
        <v>194</v>
      </c>
      <c r="E50" s="138">
        <v>1652.5</v>
      </c>
      <c r="F50" s="110">
        <f>SUM(E50*5/1000)</f>
        <v>8.2624999999999993</v>
      </c>
      <c r="G50" s="34">
        <v>1655.27</v>
      </c>
      <c r="H50" s="88">
        <f t="shared" si="3"/>
        <v>13.676668374999998</v>
      </c>
      <c r="I50" s="12">
        <f>F50/5*G50</f>
        <v>2735.3336749999999</v>
      </c>
      <c r="J50" s="62"/>
      <c r="L50" s="19"/>
      <c r="M50" s="20"/>
      <c r="N50" s="28"/>
    </row>
    <row r="51" spans="1:14" s="35" customFormat="1" ht="31.5" hidden="1" customHeight="1">
      <c r="A51" s="40">
        <v>13</v>
      </c>
      <c r="B51" s="84" t="s">
        <v>112</v>
      </c>
      <c r="C51" s="85" t="s">
        <v>105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v>0</v>
      </c>
      <c r="J51" s="62"/>
      <c r="L51" s="19"/>
      <c r="M51" s="20"/>
      <c r="N51" s="28"/>
    </row>
    <row r="52" spans="1:14" s="35" customFormat="1" ht="31.5" hidden="1" customHeight="1">
      <c r="A52" s="40">
        <v>14</v>
      </c>
      <c r="B52" s="84" t="s">
        <v>113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v>0</v>
      </c>
      <c r="J52" s="62"/>
      <c r="L52" s="19"/>
      <c r="M52" s="20"/>
      <c r="N52" s="28"/>
    </row>
    <row r="53" spans="1:14" s="35" customFormat="1" ht="15.75" hidden="1" customHeight="1">
      <c r="A53" s="40">
        <v>15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v>0</v>
      </c>
      <c r="J53" s="62"/>
      <c r="L53" s="19"/>
      <c r="M53" s="20"/>
      <c r="N53" s="28"/>
    </row>
    <row r="54" spans="1:14" s="35" customFormat="1" ht="16.5" hidden="1" customHeight="1">
      <c r="A54" s="40">
        <v>12</v>
      </c>
      <c r="B54" s="30" t="s">
        <v>40</v>
      </c>
      <c r="C54" s="39" t="s">
        <v>114</v>
      </c>
      <c r="D54" s="193">
        <v>43516</v>
      </c>
      <c r="E54" s="138">
        <v>198</v>
      </c>
      <c r="F54" s="110">
        <f>SUM(E54)*3</f>
        <v>594</v>
      </c>
      <c r="G54" s="168">
        <v>89.59</v>
      </c>
      <c r="H54" s="88">
        <f t="shared" si="3"/>
        <v>53.216459999999998</v>
      </c>
      <c r="I54" s="12">
        <f>E54*G54</f>
        <v>17738.82</v>
      </c>
      <c r="J54" s="62"/>
      <c r="L54" s="19"/>
      <c r="M54" s="20"/>
      <c r="N54" s="28"/>
    </row>
    <row r="55" spans="1:14" s="35" customFormat="1" ht="15.75" customHeight="1">
      <c r="A55" s="222" t="s">
        <v>139</v>
      </c>
      <c r="B55" s="223"/>
      <c r="C55" s="223"/>
      <c r="D55" s="223"/>
      <c r="E55" s="223"/>
      <c r="F55" s="223"/>
      <c r="G55" s="223"/>
      <c r="H55" s="223"/>
      <c r="I55" s="224"/>
      <c r="J55" s="62"/>
      <c r="L55" s="19"/>
      <c r="M55" s="20"/>
      <c r="N55" s="28"/>
    </row>
    <row r="56" spans="1:14" s="35" customFormat="1" ht="15.75" customHeight="1">
      <c r="A56" s="169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7.5" customHeight="1">
      <c r="A57" s="40">
        <v>13</v>
      </c>
      <c r="B57" s="30" t="s">
        <v>128</v>
      </c>
      <c r="C57" s="39" t="s">
        <v>98</v>
      </c>
      <c r="D57" s="30"/>
      <c r="E57" s="138">
        <v>128.1</v>
      </c>
      <c r="F57" s="110">
        <f>E57*6/100</f>
        <v>7.6859999999999991</v>
      </c>
      <c r="G57" s="204">
        <v>2110.4699999999998</v>
      </c>
      <c r="H57" s="88">
        <f>F57*G57/1000</f>
        <v>16.221072419999995</v>
      </c>
      <c r="I57" s="12">
        <f>G57*1.39</f>
        <v>2933.5532999999996</v>
      </c>
      <c r="J57" s="62"/>
      <c r="L57" s="19"/>
      <c r="M57" s="20"/>
      <c r="N57" s="28"/>
    </row>
    <row r="58" spans="1:14" s="35" customFormat="1" ht="15.75" hidden="1" customHeight="1">
      <c r="A58" s="40">
        <v>14</v>
      </c>
      <c r="B58" s="113" t="s">
        <v>88</v>
      </c>
      <c r="C58" s="114" t="s">
        <v>98</v>
      </c>
      <c r="D58" s="113" t="s">
        <v>194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/>
      <c r="B59" s="95" t="s">
        <v>92</v>
      </c>
      <c r="C59" s="96" t="s">
        <v>93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v>0</v>
      </c>
      <c r="J59" s="62"/>
      <c r="L59" s="19"/>
      <c r="M59" s="20"/>
      <c r="N59" s="28"/>
    </row>
    <row r="60" spans="1:14" s="35" customFormat="1" ht="15.75" customHeight="1">
      <c r="A60" s="40"/>
      <c r="B60" s="170" t="s">
        <v>43</v>
      </c>
      <c r="C60" s="170"/>
      <c r="D60" s="170"/>
      <c r="E60" s="170"/>
      <c r="F60" s="170"/>
      <c r="G60" s="170"/>
      <c r="H60" s="170"/>
      <c r="I60" s="33"/>
      <c r="J60" s="62"/>
      <c r="L60" s="19"/>
      <c r="M60" s="20"/>
      <c r="N60" s="28"/>
    </row>
    <row r="61" spans="1:14" s="35" customFormat="1" ht="15.75" customHeight="1">
      <c r="A61" s="40">
        <v>14</v>
      </c>
      <c r="B61" s="95" t="s">
        <v>89</v>
      </c>
      <c r="C61" s="96" t="s">
        <v>25</v>
      </c>
      <c r="D61" s="95" t="s">
        <v>194</v>
      </c>
      <c r="E61" s="97">
        <v>200</v>
      </c>
      <c r="F61" s="98">
        <f>E61*12</f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hidden="1" customHeight="1">
      <c r="A63" s="40"/>
      <c r="B63" s="170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hidden="1" customHeight="1">
      <c r="A64" s="40">
        <v>17</v>
      </c>
      <c r="B64" s="14" t="s">
        <v>46</v>
      </c>
      <c r="C64" s="16" t="s">
        <v>114</v>
      </c>
      <c r="D64" s="14" t="s">
        <v>65</v>
      </c>
      <c r="E64" s="18">
        <v>10</v>
      </c>
      <c r="F64" s="87">
        <v>10</v>
      </c>
      <c r="G64" s="12">
        <v>222.4</v>
      </c>
      <c r="H64" s="77">
        <f t="shared" ref="H64:H71" si="4">SUM(F64*G64/1000)</f>
        <v>2.2240000000000002</v>
      </c>
      <c r="I64" s="12">
        <f>G64</f>
        <v>222.4</v>
      </c>
      <c r="J64" s="62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v>0</v>
      </c>
      <c r="J68" s="62"/>
      <c r="L68" s="19"/>
    </row>
    <row r="69" spans="1:22" s="35" customFormat="1" ht="15.75" hidden="1" customHeight="1">
      <c r="A69" s="26">
        <v>11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v>0</v>
      </c>
    </row>
    <row r="70" spans="1:22" s="35" customFormat="1" ht="15.75" hidden="1" customHeight="1">
      <c r="A70" s="26">
        <v>12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v>0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v>0</v>
      </c>
    </row>
    <row r="72" spans="1:22" s="35" customFormat="1" ht="22.5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2" s="35" customFormat="1" ht="33.75" customHeight="1">
      <c r="A73" s="26">
        <v>15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9.5" customHeight="1">
      <c r="A74" s="169"/>
      <c r="B74" s="170" t="s">
        <v>118</v>
      </c>
      <c r="C74" s="170"/>
      <c r="D74" s="170"/>
      <c r="E74" s="170"/>
      <c r="F74" s="170"/>
      <c r="G74" s="170"/>
      <c r="H74" s="170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7.25" customHeight="1">
      <c r="A75" s="26">
        <v>16</v>
      </c>
      <c r="B75" s="84" t="s">
        <v>119</v>
      </c>
      <c r="C75" s="16"/>
      <c r="D75" s="14"/>
      <c r="E75" s="73"/>
      <c r="F75" s="12">
        <v>1</v>
      </c>
      <c r="G75" s="12">
        <v>11736</v>
      </c>
      <c r="H75" s="77">
        <f>G75*F75/1000</f>
        <v>11.736000000000001</v>
      </c>
      <c r="I75" s="12">
        <f>G75</f>
        <v>11736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.7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5.7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19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3"/>
      <c r="S78" s="233"/>
      <c r="T78" s="233"/>
      <c r="U78" s="233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.75" customHeight="1">
      <c r="A80" s="26">
        <v>17</v>
      </c>
      <c r="B80" s="36" t="s">
        <v>164</v>
      </c>
      <c r="C80" s="37" t="s">
        <v>114</v>
      </c>
      <c r="D80" s="36" t="s">
        <v>201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21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20.25" hidden="1" customHeight="1">
      <c r="A82" s="26">
        <v>39</v>
      </c>
      <c r="B82" s="51" t="s">
        <v>120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5" t="s">
        <v>140</v>
      </c>
      <c r="B83" s="226"/>
      <c r="C83" s="226"/>
      <c r="D83" s="226"/>
      <c r="E83" s="226"/>
      <c r="F83" s="226"/>
      <c r="G83" s="226"/>
      <c r="H83" s="226"/>
      <c r="I83" s="227"/>
    </row>
    <row r="84" spans="1:9" s="35" customFormat="1" ht="15.75" customHeight="1">
      <c r="A84" s="26">
        <v>18</v>
      </c>
      <c r="B84" s="30" t="s">
        <v>121</v>
      </c>
      <c r="C84" s="37" t="s">
        <v>54</v>
      </c>
      <c r="D84" s="167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19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69"/>
      <c r="B86" s="38" t="s">
        <v>77</v>
      </c>
      <c r="C86" s="40"/>
      <c r="D86" s="15"/>
      <c r="E86" s="15"/>
      <c r="F86" s="15"/>
      <c r="G86" s="18"/>
      <c r="H86" s="18"/>
      <c r="I86" s="29">
        <f>I85+I84+I80+I73+I61+I57+I50+I44+I43+I42+I41+I40+I39+I38+I27+I18+I17+I16+I75</f>
        <v>112642.36743499999</v>
      </c>
    </row>
    <row r="87" spans="1:9" s="35" customFormat="1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s="35" customFormat="1" ht="15.75" customHeight="1">
      <c r="A88" s="31">
        <v>20</v>
      </c>
      <c r="B88" s="58" t="s">
        <v>215</v>
      </c>
      <c r="C88" s="59" t="s">
        <v>85</v>
      </c>
      <c r="D88" s="36" t="s">
        <v>216</v>
      </c>
      <c r="E88" s="17"/>
      <c r="F88" s="34"/>
      <c r="G88" s="34">
        <v>180.49</v>
      </c>
      <c r="H88" s="107">
        <f>G88*F88/1000</f>
        <v>0</v>
      </c>
      <c r="I88" s="12">
        <f>G88*1</f>
        <v>180.49</v>
      </c>
    </row>
    <row r="89" spans="1:9" s="35" customFormat="1" ht="21" customHeight="1">
      <c r="A89" s="31">
        <v>21</v>
      </c>
      <c r="B89" s="58" t="s">
        <v>184</v>
      </c>
      <c r="C89" s="59" t="s">
        <v>39</v>
      </c>
      <c r="D89" s="51" t="s">
        <v>194</v>
      </c>
      <c r="E89" s="12"/>
      <c r="F89" s="12"/>
      <c r="G89" s="34">
        <v>27139.18</v>
      </c>
      <c r="H89" s="77">
        <f>G89*F89/1000</f>
        <v>0</v>
      </c>
      <c r="I89" s="12">
        <v>0</v>
      </c>
    </row>
    <row r="90" spans="1:9" s="35" customFormat="1" ht="18.75" customHeight="1">
      <c r="A90" s="31">
        <v>22</v>
      </c>
      <c r="B90" s="58" t="s">
        <v>78</v>
      </c>
      <c r="C90" s="59" t="s">
        <v>114</v>
      </c>
      <c r="D90" s="51"/>
      <c r="E90" s="12"/>
      <c r="F90" s="12"/>
      <c r="G90" s="34">
        <v>215.85</v>
      </c>
      <c r="H90" s="77">
        <f>G90*F90/1000</f>
        <v>0</v>
      </c>
      <c r="I90" s="12">
        <f>G90*2</f>
        <v>431.7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SUM(I88:I90)</f>
        <v>612.19000000000005</v>
      </c>
    </row>
    <row r="92" spans="1:9" s="35" customFormat="1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s="35" customFormat="1" ht="15.75" customHeight="1">
      <c r="A93" s="54"/>
      <c r="B93" s="46" t="s">
        <v>157</v>
      </c>
      <c r="C93" s="32"/>
      <c r="D93" s="32"/>
      <c r="E93" s="32"/>
      <c r="F93" s="32"/>
      <c r="G93" s="32"/>
      <c r="H93" s="32"/>
      <c r="I93" s="44">
        <f>I86+I91</f>
        <v>113254.557435</v>
      </c>
    </row>
    <row r="94" spans="1:9" ht="15.75" customHeight="1">
      <c r="A94" s="231" t="s">
        <v>325</v>
      </c>
      <c r="B94" s="231"/>
      <c r="C94" s="231"/>
      <c r="D94" s="231"/>
      <c r="E94" s="231"/>
      <c r="F94" s="231"/>
      <c r="G94" s="231"/>
      <c r="H94" s="231"/>
      <c r="I94" s="231"/>
    </row>
    <row r="95" spans="1:9" ht="15.75" customHeight="1">
      <c r="A95" s="71"/>
      <c r="B95" s="232" t="s">
        <v>326</v>
      </c>
      <c r="C95" s="232"/>
      <c r="D95" s="232"/>
      <c r="E95" s="232"/>
      <c r="F95" s="232"/>
      <c r="G95" s="232"/>
      <c r="H95" s="76"/>
      <c r="I95" s="3"/>
    </row>
    <row r="96" spans="1:9" ht="15.75" customHeight="1">
      <c r="A96" s="65"/>
      <c r="B96" s="218" t="s">
        <v>6</v>
      </c>
      <c r="C96" s="218"/>
      <c r="D96" s="218"/>
      <c r="E96" s="218"/>
      <c r="F96" s="218"/>
      <c r="G96" s="218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9" t="s">
        <v>7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9" t="s">
        <v>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20" t="s">
        <v>60</v>
      </c>
      <c r="B100" s="220"/>
      <c r="C100" s="220"/>
      <c r="D100" s="220"/>
      <c r="E100" s="220"/>
      <c r="F100" s="220"/>
      <c r="G100" s="220"/>
      <c r="H100" s="220"/>
      <c r="I100" s="220"/>
    </row>
    <row r="101" spans="1:9" ht="15.75" customHeight="1">
      <c r="A101" s="10"/>
    </row>
    <row r="102" spans="1:9" ht="15.75" customHeight="1">
      <c r="A102" s="213" t="s">
        <v>9</v>
      </c>
      <c r="B102" s="213"/>
      <c r="C102" s="213"/>
      <c r="D102" s="213"/>
      <c r="E102" s="213"/>
      <c r="F102" s="213"/>
      <c r="G102" s="213"/>
      <c r="H102" s="213"/>
      <c r="I102" s="213"/>
    </row>
    <row r="103" spans="1:9" ht="15.75" customHeight="1">
      <c r="A103" s="4"/>
    </row>
    <row r="104" spans="1:9" ht="15.75" customHeight="1">
      <c r="B104" s="70" t="s">
        <v>10</v>
      </c>
      <c r="C104" s="214" t="s">
        <v>84</v>
      </c>
      <c r="D104" s="214"/>
      <c r="E104" s="214"/>
      <c r="F104" s="74"/>
      <c r="I104" s="67"/>
    </row>
    <row r="105" spans="1:9" ht="15.75" customHeight="1">
      <c r="A105" s="65"/>
      <c r="C105" s="218" t="s">
        <v>11</v>
      </c>
      <c r="D105" s="218"/>
      <c r="E105" s="218"/>
      <c r="F105" s="21"/>
      <c r="I105" s="66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70" t="s">
        <v>13</v>
      </c>
      <c r="C107" s="215"/>
      <c r="D107" s="215"/>
      <c r="E107" s="215"/>
      <c r="F107" s="75"/>
      <c r="I107" s="67"/>
    </row>
    <row r="108" spans="1:9" ht="15.75" customHeight="1">
      <c r="A108" s="65"/>
      <c r="C108" s="216" t="s">
        <v>11</v>
      </c>
      <c r="D108" s="216"/>
      <c r="E108" s="216"/>
      <c r="F108" s="65"/>
      <c r="I108" s="66" t="s">
        <v>12</v>
      </c>
    </row>
    <row r="109" spans="1:9" ht="15.75" customHeight="1">
      <c r="A109" s="4" t="s">
        <v>14</v>
      </c>
    </row>
    <row r="110" spans="1:9">
      <c r="A110" s="217" t="s">
        <v>15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45" customHeight="1">
      <c r="A111" s="212" t="s">
        <v>16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30" customHeight="1">
      <c r="A112" s="212" t="s">
        <v>17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0" customHeight="1">
      <c r="A113" s="212" t="s">
        <v>21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4.25" customHeight="1">
      <c r="A114" s="212" t="s">
        <v>20</v>
      </c>
      <c r="B114" s="212"/>
      <c r="C114" s="212"/>
      <c r="D114" s="212"/>
      <c r="E114" s="212"/>
      <c r="F114" s="212"/>
      <c r="G114" s="212"/>
      <c r="H114" s="212"/>
      <c r="I114" s="212"/>
    </row>
  </sheetData>
  <autoFilter ref="I12:I70"/>
  <mergeCells count="29">
    <mergeCell ref="A14:I14"/>
    <mergeCell ref="A15:I15"/>
    <mergeCell ref="A28:I28"/>
    <mergeCell ref="A45:I45"/>
    <mergeCell ref="A55:I55"/>
    <mergeCell ref="A3:I3"/>
    <mergeCell ref="A4:I4"/>
    <mergeCell ref="A5:I5"/>
    <mergeCell ref="A8:I8"/>
    <mergeCell ref="A10:I10"/>
    <mergeCell ref="R78:U78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7"/>
  <sheetViews>
    <sheetView topLeftCell="A82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143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217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43921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40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104</v>
      </c>
      <c r="C30" s="85" t="s">
        <v>105</v>
      </c>
      <c r="D30" s="84" t="s">
        <v>106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134</v>
      </c>
      <c r="C31" s="85" t="s">
        <v>105</v>
      </c>
      <c r="D31" s="84" t="s">
        <v>107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105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132</v>
      </c>
      <c r="C33" s="85" t="s">
        <v>39</v>
      </c>
      <c r="D33" s="84" t="s">
        <v>133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108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5.75" customHeight="1">
      <c r="A38" s="31">
        <v>5</v>
      </c>
      <c r="B38" s="137" t="s">
        <v>26</v>
      </c>
      <c r="C38" s="39" t="s">
        <v>32</v>
      </c>
      <c r="D38" s="30" t="s">
        <v>218</v>
      </c>
      <c r="E38" s="138"/>
      <c r="F38" s="110">
        <v>6</v>
      </c>
      <c r="G38" s="110">
        <v>2083.12</v>
      </c>
      <c r="H38" s="88">
        <f t="shared" ref="H38:H43" si="2">SUM(F38*G38/1000)</f>
        <v>12.498719999999999</v>
      </c>
      <c r="I38" s="12">
        <f>G38*1.3</f>
        <v>2708.056</v>
      </c>
      <c r="J38" s="62"/>
    </row>
    <row r="39" spans="1:14" s="35" customFormat="1" ht="15.75" customHeight="1">
      <c r="A39" s="31">
        <v>6</v>
      </c>
      <c r="B39" s="137" t="s">
        <v>165</v>
      </c>
      <c r="C39" s="139" t="s">
        <v>29</v>
      </c>
      <c r="D39" s="137" t="s">
        <v>196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7</v>
      </c>
      <c r="B40" s="30" t="s">
        <v>66</v>
      </c>
      <c r="C40" s="39" t="s">
        <v>29</v>
      </c>
      <c r="D40" s="30" t="s">
        <v>197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30.75" customHeight="1">
      <c r="A41" s="31">
        <v>8</v>
      </c>
      <c r="B41" s="30" t="s">
        <v>79</v>
      </c>
      <c r="C41" s="39" t="s">
        <v>105</v>
      </c>
      <c r="D41" s="30" t="s">
        <v>198</v>
      </c>
      <c r="E41" s="110">
        <v>108</v>
      </c>
      <c r="F41" s="140">
        <f>SUM(E41*24/1000)</f>
        <v>2.5920000000000001</v>
      </c>
      <c r="G41" s="110">
        <v>7915.6</v>
      </c>
      <c r="H41" s="88">
        <f t="shared" si="2"/>
        <v>20.517235200000002</v>
      </c>
      <c r="I41" s="12">
        <f>F41/6*G41</f>
        <v>3419.5392000000002</v>
      </c>
      <c r="J41" s="62"/>
    </row>
    <row r="42" spans="1:14" s="35" customFormat="1" ht="22.5" hidden="1" customHeight="1">
      <c r="A42" s="31">
        <v>9</v>
      </c>
      <c r="B42" s="30" t="s">
        <v>110</v>
      </c>
      <c r="C42" s="39" t="s">
        <v>105</v>
      </c>
      <c r="D42" s="30" t="s">
        <v>199</v>
      </c>
      <c r="E42" s="110">
        <v>108</v>
      </c>
      <c r="F42" s="140">
        <f>SUM(E42*45/1000)</f>
        <v>4.8600000000000003</v>
      </c>
      <c r="G42" s="110">
        <v>584.74</v>
      </c>
      <c r="H42" s="88">
        <f t="shared" si="2"/>
        <v>2.8418364</v>
      </c>
      <c r="I42" s="12">
        <f>F42/7.5*1.5*G42</f>
        <v>568.36728000000005</v>
      </c>
      <c r="J42" s="62"/>
    </row>
    <row r="43" spans="1:14" s="35" customFormat="1" ht="15.75" hidden="1" customHeight="1">
      <c r="A43" s="31">
        <v>10</v>
      </c>
      <c r="B43" s="148" t="s">
        <v>68</v>
      </c>
      <c r="C43" s="149" t="s">
        <v>33</v>
      </c>
      <c r="D43" s="148"/>
      <c r="E43" s="150"/>
      <c r="F43" s="151">
        <v>0.9</v>
      </c>
      <c r="G43" s="151">
        <v>800</v>
      </c>
      <c r="H43" s="99">
        <f t="shared" si="2"/>
        <v>0.72</v>
      </c>
      <c r="I43" s="108">
        <f>F43/7.5*1.5*G43</f>
        <v>144.00000000000003</v>
      </c>
      <c r="J43" s="62"/>
      <c r="L43" s="19"/>
      <c r="M43" s="20"/>
      <c r="N43" s="28"/>
    </row>
    <row r="44" spans="1:14" s="35" customFormat="1" ht="27.75" customHeight="1">
      <c r="A44" s="143">
        <v>9</v>
      </c>
      <c r="B44" s="137" t="s">
        <v>168</v>
      </c>
      <c r="C44" s="139" t="s">
        <v>29</v>
      </c>
      <c r="D44" s="137" t="s">
        <v>202</v>
      </c>
      <c r="E44" s="141">
        <v>3.6</v>
      </c>
      <c r="F44" s="140">
        <v>0.04</v>
      </c>
      <c r="G44" s="140">
        <v>270.61</v>
      </c>
      <c r="H44" s="12"/>
      <c r="I44" s="12">
        <f>G44*F44/6</f>
        <v>1.8040666666666667</v>
      </c>
      <c r="J44" s="62"/>
      <c r="L44" s="19"/>
      <c r="M44" s="20"/>
      <c r="N44" s="28"/>
    </row>
    <row r="45" spans="1:14" s="35" customFormat="1" ht="16.5" hidden="1" customHeight="1">
      <c r="A45" s="222" t="s">
        <v>138</v>
      </c>
      <c r="B45" s="223"/>
      <c r="C45" s="223"/>
      <c r="D45" s="223"/>
      <c r="E45" s="223"/>
      <c r="F45" s="223"/>
      <c r="G45" s="223"/>
      <c r="H45" s="223"/>
      <c r="I45" s="224"/>
      <c r="J45" s="62"/>
      <c r="L45" s="19"/>
      <c r="M45" s="20"/>
      <c r="N45" s="28"/>
    </row>
    <row r="46" spans="1:14" s="35" customFormat="1" ht="16.5" hidden="1" customHeight="1">
      <c r="A46" s="40">
        <v>15</v>
      </c>
      <c r="B46" s="84" t="s">
        <v>111</v>
      </c>
      <c r="C46" s="85" t="s">
        <v>105</v>
      </c>
      <c r="D46" s="84" t="s">
        <v>41</v>
      </c>
      <c r="E46" s="86">
        <v>1662.5</v>
      </c>
      <c r="F46" s="87">
        <f>SUM(E46*2/1000)</f>
        <v>3.3250000000000002</v>
      </c>
      <c r="G46" s="12">
        <v>849.49</v>
      </c>
      <c r="H46" s="88">
        <f t="shared" ref="H46:H54" si="3">SUM(F46*G46/1000)</f>
        <v>2.8245542500000003</v>
      </c>
      <c r="I46" s="12">
        <v>0</v>
      </c>
      <c r="J46" s="62"/>
      <c r="L46" s="19"/>
      <c r="M46" s="20"/>
      <c r="N46" s="28"/>
    </row>
    <row r="47" spans="1:14" s="35" customFormat="1" ht="17.25" hidden="1" customHeight="1">
      <c r="A47" s="40"/>
      <c r="B47" s="84" t="s">
        <v>34</v>
      </c>
      <c r="C47" s="85" t="s">
        <v>105</v>
      </c>
      <c r="D47" s="84" t="s">
        <v>41</v>
      </c>
      <c r="E47" s="86">
        <v>92.8</v>
      </c>
      <c r="F47" s="87">
        <f>SUM(E47*2/1000)</f>
        <v>0.18559999999999999</v>
      </c>
      <c r="G47" s="12">
        <v>579.48</v>
      </c>
      <c r="H47" s="88">
        <f t="shared" si="3"/>
        <v>0.10755148799999999</v>
      </c>
      <c r="I47" s="12">
        <v>0</v>
      </c>
      <c r="J47" s="62"/>
      <c r="L47" s="19"/>
      <c r="M47" s="20"/>
      <c r="N47" s="28"/>
    </row>
    <row r="48" spans="1:14" s="35" customFormat="1" ht="20.25" hidden="1" customHeight="1">
      <c r="A48" s="40">
        <v>16</v>
      </c>
      <c r="B48" s="84" t="s">
        <v>35</v>
      </c>
      <c r="C48" s="85" t="s">
        <v>105</v>
      </c>
      <c r="D48" s="84" t="s">
        <v>41</v>
      </c>
      <c r="E48" s="86">
        <v>4750.7</v>
      </c>
      <c r="F48" s="87">
        <f>SUM(E48*2/1000)</f>
        <v>9.5014000000000003</v>
      </c>
      <c r="G48" s="12">
        <v>579.48</v>
      </c>
      <c r="H48" s="88">
        <f t="shared" si="3"/>
        <v>5.5058712720000003</v>
      </c>
      <c r="I48" s="12">
        <v>0</v>
      </c>
      <c r="J48" s="62"/>
      <c r="L48" s="19"/>
      <c r="M48" s="20"/>
      <c r="N48" s="28"/>
    </row>
    <row r="49" spans="1:14" s="35" customFormat="1" ht="20.25" hidden="1" customHeight="1">
      <c r="A49" s="40">
        <v>17</v>
      </c>
      <c r="B49" s="84" t="s">
        <v>36</v>
      </c>
      <c r="C49" s="85" t="s">
        <v>105</v>
      </c>
      <c r="D49" s="84" t="s">
        <v>41</v>
      </c>
      <c r="E49" s="86">
        <v>2840.99</v>
      </c>
      <c r="F49" s="87">
        <f>SUM(E49*2/1000)</f>
        <v>5.6819799999999994</v>
      </c>
      <c r="G49" s="12">
        <v>606.77</v>
      </c>
      <c r="H49" s="88">
        <f t="shared" si="3"/>
        <v>3.4476550045999992</v>
      </c>
      <c r="I49" s="12">
        <v>0</v>
      </c>
      <c r="J49" s="62"/>
      <c r="L49" s="19"/>
      <c r="M49" s="20"/>
      <c r="N49" s="28"/>
    </row>
    <row r="50" spans="1:14" s="35" customFormat="1" ht="20.25" hidden="1" customHeight="1">
      <c r="A50" s="40">
        <v>13</v>
      </c>
      <c r="B50" s="84" t="s">
        <v>55</v>
      </c>
      <c r="C50" s="85" t="s">
        <v>105</v>
      </c>
      <c r="D50" s="84" t="s">
        <v>135</v>
      </c>
      <c r="E50" s="86">
        <v>1652.5</v>
      </c>
      <c r="F50" s="87">
        <f>SUM(E50*5/1000)</f>
        <v>8.2624999999999993</v>
      </c>
      <c r="G50" s="12">
        <v>1213.55</v>
      </c>
      <c r="H50" s="88">
        <f t="shared" si="3"/>
        <v>10.026956874999998</v>
      </c>
      <c r="I50" s="12">
        <f>F50/5*G50</f>
        <v>2005.3913749999997</v>
      </c>
      <c r="J50" s="62"/>
      <c r="L50" s="19"/>
      <c r="M50" s="20"/>
      <c r="N50" s="28"/>
    </row>
    <row r="51" spans="1:14" s="35" customFormat="1" ht="21.75" hidden="1" customHeight="1">
      <c r="A51" s="40">
        <v>13</v>
      </c>
      <c r="B51" s="84" t="s">
        <v>112</v>
      </c>
      <c r="C51" s="85" t="s">
        <v>105</v>
      </c>
      <c r="D51" s="84" t="s">
        <v>41</v>
      </c>
      <c r="E51" s="86">
        <v>1652.5</v>
      </c>
      <c r="F51" s="87">
        <f>SUM(E51*2/1000)</f>
        <v>3.3050000000000002</v>
      </c>
      <c r="G51" s="12">
        <v>1213.55</v>
      </c>
      <c r="H51" s="88">
        <f t="shared" si="3"/>
        <v>4.0107827499999997</v>
      </c>
      <c r="I51" s="12">
        <v>0</v>
      </c>
      <c r="J51" s="62"/>
      <c r="L51" s="19"/>
      <c r="M51" s="20"/>
      <c r="N51" s="28"/>
    </row>
    <row r="52" spans="1:14" s="35" customFormat="1" ht="21" hidden="1" customHeight="1">
      <c r="A52" s="40">
        <v>14</v>
      </c>
      <c r="B52" s="84" t="s">
        <v>113</v>
      </c>
      <c r="C52" s="85" t="s">
        <v>37</v>
      </c>
      <c r="D52" s="84" t="s">
        <v>41</v>
      </c>
      <c r="E52" s="86">
        <v>40</v>
      </c>
      <c r="F52" s="87">
        <f>SUM(E52*2/100)</f>
        <v>0.8</v>
      </c>
      <c r="G52" s="12">
        <v>2730.49</v>
      </c>
      <c r="H52" s="88">
        <f t="shared" si="3"/>
        <v>2.1843919999999999</v>
      </c>
      <c r="I52" s="12">
        <v>0</v>
      </c>
      <c r="J52" s="62"/>
      <c r="L52" s="19"/>
      <c r="M52" s="20"/>
      <c r="N52" s="28"/>
    </row>
    <row r="53" spans="1:14" s="35" customFormat="1" ht="12.75" hidden="1" customHeight="1">
      <c r="A53" s="40">
        <v>15</v>
      </c>
      <c r="B53" s="84" t="s">
        <v>38</v>
      </c>
      <c r="C53" s="85" t="s">
        <v>39</v>
      </c>
      <c r="D53" s="84" t="s">
        <v>41</v>
      </c>
      <c r="E53" s="86">
        <v>1</v>
      </c>
      <c r="F53" s="87">
        <v>0.02</v>
      </c>
      <c r="G53" s="12">
        <v>5652.13</v>
      </c>
      <c r="H53" s="88">
        <f t="shared" si="3"/>
        <v>0.11304260000000001</v>
      </c>
      <c r="I53" s="12">
        <v>0</v>
      </c>
      <c r="J53" s="62"/>
      <c r="L53" s="19"/>
      <c r="M53" s="20"/>
      <c r="N53" s="28"/>
    </row>
    <row r="54" spans="1:14" s="35" customFormat="1" ht="13.5" hidden="1" customHeight="1">
      <c r="A54" s="40">
        <v>14</v>
      </c>
      <c r="B54" s="84" t="s">
        <v>40</v>
      </c>
      <c r="C54" s="85" t="s">
        <v>114</v>
      </c>
      <c r="D54" s="84" t="s">
        <v>69</v>
      </c>
      <c r="E54" s="86">
        <v>236</v>
      </c>
      <c r="F54" s="87">
        <f>SUM(E54)*3</f>
        <v>708</v>
      </c>
      <c r="G54" s="12">
        <v>65.67</v>
      </c>
      <c r="H54" s="88">
        <f t="shared" si="3"/>
        <v>46.49436</v>
      </c>
      <c r="I54" s="12">
        <f>E54*G54</f>
        <v>15498.12</v>
      </c>
      <c r="J54" s="62"/>
      <c r="L54" s="19"/>
      <c r="M54" s="20"/>
      <c r="N54" s="28"/>
    </row>
    <row r="55" spans="1:14" s="35" customFormat="1" ht="15.75" customHeight="1">
      <c r="A55" s="222" t="s">
        <v>144</v>
      </c>
      <c r="B55" s="223"/>
      <c r="C55" s="223"/>
      <c r="D55" s="223"/>
      <c r="E55" s="223"/>
      <c r="F55" s="223"/>
      <c r="G55" s="223"/>
      <c r="H55" s="223"/>
      <c r="I55" s="224"/>
      <c r="J55" s="62"/>
      <c r="L55" s="19"/>
      <c r="M55" s="20"/>
      <c r="N55" s="28"/>
    </row>
    <row r="56" spans="1:14" s="35" customFormat="1" ht="15.75" customHeight="1">
      <c r="A56" s="172"/>
      <c r="B56" s="47" t="s">
        <v>42</v>
      </c>
      <c r="C56" s="16"/>
      <c r="D56" s="15"/>
      <c r="E56" s="15"/>
      <c r="F56" s="15"/>
      <c r="G56" s="26"/>
      <c r="H56" s="26"/>
      <c r="I56" s="18"/>
      <c r="J56" s="62"/>
      <c r="L56" s="19"/>
      <c r="M56" s="20"/>
      <c r="N56" s="28"/>
    </row>
    <row r="57" spans="1:14" s="35" customFormat="1" ht="31.5" customHeight="1">
      <c r="A57" s="40">
        <v>10</v>
      </c>
      <c r="B57" s="30" t="s">
        <v>128</v>
      </c>
      <c r="C57" s="39" t="s">
        <v>98</v>
      </c>
      <c r="D57" s="30"/>
      <c r="E57" s="138">
        <v>128.1</v>
      </c>
      <c r="F57" s="110">
        <f>E57*6/100</f>
        <v>7.6859999999999991</v>
      </c>
      <c r="G57" s="136">
        <v>2110.4699999999998</v>
      </c>
      <c r="H57" s="88">
        <f>F57*G57/1000</f>
        <v>16.221072419999995</v>
      </c>
      <c r="I57" s="12">
        <f>G57*0.8</f>
        <v>1688.376</v>
      </c>
      <c r="J57" s="62"/>
      <c r="L57" s="19"/>
      <c r="M57" s="20"/>
      <c r="N57" s="28"/>
    </row>
    <row r="58" spans="1:14" s="35" customFormat="1" ht="15.75" hidden="1" customHeight="1">
      <c r="A58" s="40">
        <v>13</v>
      </c>
      <c r="B58" s="113" t="s">
        <v>88</v>
      </c>
      <c r="C58" s="114" t="s">
        <v>98</v>
      </c>
      <c r="D58" s="113" t="s">
        <v>194</v>
      </c>
      <c r="E58" s="134">
        <v>56</v>
      </c>
      <c r="F58" s="135">
        <f>E58*6/100</f>
        <v>3.36</v>
      </c>
      <c r="G58" s="136">
        <v>2110.4699999999998</v>
      </c>
      <c r="H58" s="99">
        <f>F58*G58/1000</f>
        <v>7.0911791999999982</v>
      </c>
      <c r="I58" s="12">
        <f>F58/6*G58</f>
        <v>1181.8631999999998</v>
      </c>
      <c r="J58" s="62"/>
      <c r="L58" s="19"/>
      <c r="M58" s="20"/>
      <c r="N58" s="28"/>
    </row>
    <row r="59" spans="1:14" s="35" customFormat="1" ht="15.75" hidden="1" customHeight="1">
      <c r="A59" s="40">
        <v>15</v>
      </c>
      <c r="B59" s="95" t="s">
        <v>92</v>
      </c>
      <c r="C59" s="96" t="s">
        <v>93</v>
      </c>
      <c r="D59" s="95" t="s">
        <v>41</v>
      </c>
      <c r="E59" s="97">
        <v>8</v>
      </c>
      <c r="F59" s="98">
        <v>16</v>
      </c>
      <c r="G59" s="100">
        <v>180.78</v>
      </c>
      <c r="H59" s="99">
        <f>F59*G59/1000</f>
        <v>2.8924799999999999</v>
      </c>
      <c r="I59" s="12">
        <f>F59/2*G59</f>
        <v>1446.24</v>
      </c>
      <c r="J59" s="62"/>
      <c r="L59" s="19"/>
      <c r="M59" s="20"/>
      <c r="N59" s="28"/>
    </row>
    <row r="60" spans="1:14" s="35" customFormat="1" ht="15.75" customHeight="1">
      <c r="A60" s="40"/>
      <c r="B60" s="171" t="s">
        <v>43</v>
      </c>
      <c r="C60" s="171"/>
      <c r="D60" s="171"/>
      <c r="E60" s="171"/>
      <c r="F60" s="171"/>
      <c r="G60" s="171"/>
      <c r="H60" s="171"/>
      <c r="I60" s="33"/>
      <c r="J60" s="62"/>
      <c r="L60" s="19"/>
      <c r="M60" s="20"/>
      <c r="N60" s="28"/>
    </row>
    <row r="61" spans="1:14" s="35" customFormat="1" ht="15.75" customHeight="1">
      <c r="A61" s="40">
        <v>11</v>
      </c>
      <c r="B61" s="95" t="s">
        <v>89</v>
      </c>
      <c r="C61" s="96" t="s">
        <v>25</v>
      </c>
      <c r="D61" s="95" t="s">
        <v>194</v>
      </c>
      <c r="E61" s="97">
        <v>200</v>
      </c>
      <c r="F61" s="98">
        <f>E61*12</f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71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12</v>
      </c>
      <c r="B64" s="142" t="s">
        <v>46</v>
      </c>
      <c r="C64" s="37" t="s">
        <v>114</v>
      </c>
      <c r="D64" s="36" t="s">
        <v>232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4">SUM(F64*G64/1000)</f>
        <v>3.6402000000000001</v>
      </c>
      <c r="I64" s="12">
        <f>G64*1</f>
        <v>303.35000000000002</v>
      </c>
      <c r="J64" s="62"/>
      <c r="L64" s="19"/>
      <c r="M64" s="20"/>
      <c r="N64" s="28"/>
    </row>
    <row r="65" spans="1:22" s="35" customFormat="1" ht="15.75" hidden="1" customHeight="1">
      <c r="A65" s="26">
        <v>29</v>
      </c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4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8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4"/>
        <v>49.360940499999998</v>
      </c>
      <c r="I66" s="12">
        <v>0</v>
      </c>
      <c r="J66" s="62"/>
      <c r="L66" s="19"/>
      <c r="M66" s="20"/>
      <c r="N66" s="28"/>
    </row>
    <row r="67" spans="1:22" s="35" customFormat="1" ht="15.75" hidden="1" customHeight="1">
      <c r="A67" s="26">
        <v>9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4"/>
        <v>3.8439410700000005</v>
      </c>
      <c r="I67" s="12">
        <v>0</v>
      </c>
      <c r="J67" s="62"/>
      <c r="L67" s="19"/>
      <c r="M67" s="20"/>
      <c r="N67" s="28"/>
    </row>
    <row r="68" spans="1:22" s="35" customFormat="1" ht="15.75" hidden="1" customHeight="1">
      <c r="A68" s="26">
        <v>10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4"/>
        <v>65.247113499999998</v>
      </c>
      <c r="I68" s="12">
        <v>0</v>
      </c>
      <c r="J68" s="62"/>
      <c r="L68" s="19"/>
    </row>
    <row r="69" spans="1:22" s="35" customFormat="1" ht="15.75" hidden="1" customHeight="1">
      <c r="A69" s="26">
        <v>11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4"/>
        <v>0.88156220000000007</v>
      </c>
      <c r="I69" s="12">
        <v>0</v>
      </c>
    </row>
    <row r="70" spans="1:22" s="35" customFormat="1" ht="19.5" hidden="1" customHeight="1">
      <c r="A70" s="26">
        <v>12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4"/>
        <v>0.82247460000000006</v>
      </c>
      <c r="I70" s="12">
        <v>0</v>
      </c>
    </row>
    <row r="71" spans="1:22" s="35" customFormat="1" ht="17.2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4"/>
        <v>0.24940000000000001</v>
      </c>
      <c r="I71" s="12">
        <v>0</v>
      </c>
    </row>
    <row r="72" spans="1:22" s="35" customFormat="1" ht="19.5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2" s="35" customFormat="1" ht="36" customHeight="1">
      <c r="A73" s="26">
        <v>13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8.75" hidden="1" customHeight="1">
      <c r="A74" s="172"/>
      <c r="B74" s="171" t="s">
        <v>118</v>
      </c>
      <c r="C74" s="171"/>
      <c r="D74" s="171"/>
      <c r="E74" s="171"/>
      <c r="F74" s="171"/>
      <c r="G74" s="171"/>
      <c r="H74" s="171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7.25" hidden="1" customHeight="1">
      <c r="A75" s="26">
        <v>17</v>
      </c>
      <c r="B75" s="84" t="s">
        <v>119</v>
      </c>
      <c r="C75" s="16"/>
      <c r="D75" s="14"/>
      <c r="E75" s="73"/>
      <c r="F75" s="12">
        <v>1</v>
      </c>
      <c r="G75" s="12">
        <v>917</v>
      </c>
      <c r="H75" s="77">
        <f>G75*F75/1000</f>
        <v>0.91700000000000004</v>
      </c>
      <c r="I75" s="12">
        <f>G75</f>
        <v>917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37.5" customHeight="1">
      <c r="A77" s="26">
        <v>14</v>
      </c>
      <c r="B77" s="36" t="s">
        <v>174</v>
      </c>
      <c r="C77" s="37" t="s">
        <v>85</v>
      </c>
      <c r="D77" s="36" t="s">
        <v>220</v>
      </c>
      <c r="E77" s="17">
        <v>2</v>
      </c>
      <c r="F77" s="34">
        <v>2</v>
      </c>
      <c r="G77" s="34">
        <v>2112.2800000000002</v>
      </c>
      <c r="H77" s="164"/>
      <c r="I77" s="18">
        <f>G77*1</f>
        <v>2112.2800000000002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9.25" customHeight="1">
      <c r="A78" s="26">
        <v>15</v>
      </c>
      <c r="B78" s="36" t="s">
        <v>164</v>
      </c>
      <c r="C78" s="37" t="s">
        <v>114</v>
      </c>
      <c r="D78" s="36" t="s">
        <v>201</v>
      </c>
      <c r="E78" s="17">
        <v>1</v>
      </c>
      <c r="F78" s="34">
        <f>E78*12</f>
        <v>12</v>
      </c>
      <c r="G78" s="34">
        <v>55.55</v>
      </c>
      <c r="H78" s="77"/>
      <c r="I78" s="12">
        <f>G78*F78/12</f>
        <v>55.54999999999999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2" s="35" customFormat="1" ht="17.25" hidden="1" customHeight="1">
      <c r="A79" s="26"/>
      <c r="B79" s="14"/>
      <c r="C79" s="16"/>
      <c r="D79" s="14"/>
      <c r="E79" s="18"/>
      <c r="F79" s="12"/>
      <c r="G79" s="12"/>
      <c r="H79" s="77"/>
      <c r="I79" s="12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15" hidden="1" customHeight="1">
      <c r="A80" s="26"/>
      <c r="B80" s="49" t="s">
        <v>73</v>
      </c>
      <c r="C80" s="37"/>
      <c r="D80" s="26"/>
      <c r="E80" s="18"/>
      <c r="F80" s="18"/>
      <c r="G80" s="34" t="s">
        <v>130</v>
      </c>
      <c r="H80" s="34"/>
      <c r="I80" s="18"/>
    </row>
    <row r="81" spans="1:9" s="35" customFormat="1" ht="18" hidden="1" customHeight="1">
      <c r="A81" s="26">
        <v>39</v>
      </c>
      <c r="B81" s="51" t="s">
        <v>120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customHeight="1">
      <c r="A82" s="225" t="s">
        <v>145</v>
      </c>
      <c r="B82" s="226"/>
      <c r="C82" s="226"/>
      <c r="D82" s="226"/>
      <c r="E82" s="226"/>
      <c r="F82" s="226"/>
      <c r="G82" s="226"/>
      <c r="H82" s="226"/>
      <c r="I82" s="227"/>
    </row>
    <row r="83" spans="1:9" s="35" customFormat="1" ht="15.75" customHeight="1">
      <c r="A83" s="26">
        <v>16</v>
      </c>
      <c r="B83" s="30" t="s">
        <v>121</v>
      </c>
      <c r="C83" s="37" t="s">
        <v>54</v>
      </c>
      <c r="D83" s="167"/>
      <c r="E83" s="34">
        <v>5916.3</v>
      </c>
      <c r="F83" s="34">
        <f>SUM(E83*12)</f>
        <v>70995.600000000006</v>
      </c>
      <c r="G83" s="34">
        <v>3.22</v>
      </c>
      <c r="H83" s="77">
        <f>SUM(F83*G83/1000)</f>
        <v>228.60583200000002</v>
      </c>
      <c r="I83" s="12">
        <f>F83/12*G83</f>
        <v>19050.486000000001</v>
      </c>
    </row>
    <row r="84" spans="1:9" s="35" customFormat="1" ht="31.5" customHeight="1">
      <c r="A84" s="26">
        <v>17</v>
      </c>
      <c r="B84" s="36" t="s">
        <v>75</v>
      </c>
      <c r="C84" s="37"/>
      <c r="D84" s="57"/>
      <c r="E84" s="138">
        <f>E83</f>
        <v>5916.3</v>
      </c>
      <c r="F84" s="34">
        <f>E84*12</f>
        <v>70995.600000000006</v>
      </c>
      <c r="G84" s="34">
        <v>3.64</v>
      </c>
      <c r="H84" s="77">
        <f>F84*G84/1000</f>
        <v>258.42398400000002</v>
      </c>
      <c r="I84" s="12">
        <f>F84/12*G84</f>
        <v>21535.332000000002</v>
      </c>
    </row>
    <row r="85" spans="1:9" s="35" customFormat="1" ht="15.75" customHeight="1">
      <c r="A85" s="172"/>
      <c r="B85" s="38" t="s">
        <v>77</v>
      </c>
      <c r="C85" s="40"/>
      <c r="D85" s="15"/>
      <c r="E85" s="15"/>
      <c r="F85" s="15"/>
      <c r="G85" s="18"/>
      <c r="H85" s="18"/>
      <c r="I85" s="29">
        <f>I84+I83+I78+I73+I61+I57+I44+I41+I40+I39+I38+I27+I18+I17+I16+I77+I64</f>
        <v>99262.334539999996</v>
      </c>
    </row>
    <row r="86" spans="1:9" s="35" customFormat="1" ht="15.75" customHeight="1">
      <c r="A86" s="228" t="s">
        <v>59</v>
      </c>
      <c r="B86" s="229"/>
      <c r="C86" s="229"/>
      <c r="D86" s="229"/>
      <c r="E86" s="229"/>
      <c r="F86" s="229"/>
      <c r="G86" s="229"/>
      <c r="H86" s="229"/>
      <c r="I86" s="230"/>
    </row>
    <row r="87" spans="1:9" s="35" customFormat="1" ht="15.75" customHeight="1">
      <c r="A87" s="41">
        <v>18</v>
      </c>
      <c r="B87" s="58" t="s">
        <v>184</v>
      </c>
      <c r="C87" s="59" t="s">
        <v>185</v>
      </c>
      <c r="D87" s="57" t="s">
        <v>194</v>
      </c>
      <c r="E87" s="34"/>
      <c r="F87" s="34">
        <v>0.02</v>
      </c>
      <c r="G87" s="34">
        <v>27139.18</v>
      </c>
      <c r="H87" s="41"/>
      <c r="I87" s="205">
        <v>0</v>
      </c>
    </row>
    <row r="88" spans="1:9" s="35" customFormat="1" ht="15.75" customHeight="1">
      <c r="A88" s="41">
        <v>19</v>
      </c>
      <c r="B88" s="58" t="s">
        <v>219</v>
      </c>
      <c r="C88" s="59" t="s">
        <v>29</v>
      </c>
      <c r="D88" s="57" t="s">
        <v>194</v>
      </c>
      <c r="E88" s="34"/>
      <c r="F88" s="34">
        <v>0.06</v>
      </c>
      <c r="G88" s="34">
        <v>1300.1199999999999</v>
      </c>
      <c r="H88" s="41"/>
      <c r="I88" s="205">
        <v>0</v>
      </c>
    </row>
    <row r="89" spans="1:9" s="35" customFormat="1" ht="33.75" customHeight="1">
      <c r="A89" s="26">
        <v>20</v>
      </c>
      <c r="B89" s="58" t="s">
        <v>186</v>
      </c>
      <c r="C89" s="59" t="s">
        <v>37</v>
      </c>
      <c r="D89" s="165" t="s">
        <v>194</v>
      </c>
      <c r="E89" s="34"/>
      <c r="F89" s="34">
        <v>0.02</v>
      </c>
      <c r="G89" s="34">
        <v>4070.89</v>
      </c>
      <c r="H89" s="41"/>
      <c r="I89" s="206">
        <v>0</v>
      </c>
    </row>
    <row r="90" spans="1:9" s="35" customFormat="1" ht="27.75" customHeight="1">
      <c r="A90" s="26">
        <v>21</v>
      </c>
      <c r="B90" s="58" t="s">
        <v>221</v>
      </c>
      <c r="C90" s="59" t="s">
        <v>222</v>
      </c>
      <c r="D90" s="57" t="s">
        <v>226</v>
      </c>
      <c r="E90" s="34"/>
      <c r="F90" s="34">
        <v>0.5</v>
      </c>
      <c r="G90" s="34">
        <v>796</v>
      </c>
      <c r="H90" s="41"/>
      <c r="I90" s="206">
        <f>G90*0.5</f>
        <v>398</v>
      </c>
    </row>
    <row r="91" spans="1:9" s="35" customFormat="1" ht="16.5" customHeight="1">
      <c r="A91" s="26">
        <v>22</v>
      </c>
      <c r="B91" s="58" t="s">
        <v>223</v>
      </c>
      <c r="C91" s="59" t="s">
        <v>114</v>
      </c>
      <c r="D91" s="57"/>
      <c r="E91" s="34"/>
      <c r="F91" s="34">
        <v>2</v>
      </c>
      <c r="G91" s="34">
        <v>49.4</v>
      </c>
      <c r="H91" s="41"/>
      <c r="I91" s="206">
        <f>G91*2</f>
        <v>98.8</v>
      </c>
    </row>
    <row r="92" spans="1:9" s="35" customFormat="1" ht="16.5" customHeight="1">
      <c r="A92" s="26">
        <v>23</v>
      </c>
      <c r="B92" s="58" t="s">
        <v>224</v>
      </c>
      <c r="C92" s="59" t="s">
        <v>114</v>
      </c>
      <c r="D92" s="57"/>
      <c r="E92" s="34"/>
      <c r="F92" s="34">
        <v>1</v>
      </c>
      <c r="G92" s="34">
        <v>28.6</v>
      </c>
      <c r="H92" s="41"/>
      <c r="I92" s="206">
        <f>G92*1</f>
        <v>28.6</v>
      </c>
    </row>
    <row r="93" spans="1:9" s="35" customFormat="1" ht="16.5" customHeight="1">
      <c r="A93" s="26">
        <v>24</v>
      </c>
      <c r="B93" s="58" t="s">
        <v>225</v>
      </c>
      <c r="C93" s="59" t="s">
        <v>114</v>
      </c>
      <c r="D93" s="57"/>
      <c r="E93" s="34"/>
      <c r="F93" s="34">
        <v>1</v>
      </c>
      <c r="G93" s="34">
        <v>50.7</v>
      </c>
      <c r="H93" s="41"/>
      <c r="I93" s="206">
        <f>G93*1</f>
        <v>50.7</v>
      </c>
    </row>
    <row r="94" spans="1:9" s="35" customFormat="1" ht="15.75" customHeight="1">
      <c r="A94" s="26"/>
      <c r="B94" s="45" t="s">
        <v>51</v>
      </c>
      <c r="C94" s="41"/>
      <c r="D94" s="53"/>
      <c r="E94" s="41">
        <v>1</v>
      </c>
      <c r="F94" s="41"/>
      <c r="G94" s="41"/>
      <c r="H94" s="41"/>
      <c r="I94" s="29">
        <f>SUM(I87:I93)</f>
        <v>576.1</v>
      </c>
    </row>
    <row r="95" spans="1:9" s="35" customFormat="1" ht="15.75" customHeight="1">
      <c r="A95" s="26"/>
      <c r="B95" s="51" t="s">
        <v>76</v>
      </c>
      <c r="C95" s="15"/>
      <c r="D95" s="15"/>
      <c r="E95" s="42"/>
      <c r="F95" s="42"/>
      <c r="G95" s="43"/>
      <c r="H95" s="43"/>
      <c r="I95" s="17">
        <v>0</v>
      </c>
    </row>
    <row r="96" spans="1:9" s="35" customFormat="1" ht="15.75" customHeight="1">
      <c r="A96" s="54"/>
      <c r="B96" s="46" t="s">
        <v>141</v>
      </c>
      <c r="C96" s="32"/>
      <c r="D96" s="32"/>
      <c r="E96" s="32"/>
      <c r="F96" s="32"/>
      <c r="G96" s="32"/>
      <c r="H96" s="32"/>
      <c r="I96" s="44">
        <f>I85+I94</f>
        <v>99838.434540000002</v>
      </c>
    </row>
    <row r="97" spans="1:9" ht="15.75" customHeight="1">
      <c r="A97" s="231" t="s">
        <v>327</v>
      </c>
      <c r="B97" s="231"/>
      <c r="C97" s="231"/>
      <c r="D97" s="231"/>
      <c r="E97" s="231"/>
      <c r="F97" s="231"/>
      <c r="G97" s="231"/>
      <c r="H97" s="231"/>
      <c r="I97" s="231"/>
    </row>
    <row r="98" spans="1:9" ht="15.75" customHeight="1">
      <c r="A98" s="71"/>
      <c r="B98" s="232" t="s">
        <v>328</v>
      </c>
      <c r="C98" s="232"/>
      <c r="D98" s="232"/>
      <c r="E98" s="232"/>
      <c r="F98" s="232"/>
      <c r="G98" s="232"/>
      <c r="H98" s="76"/>
      <c r="I98" s="3"/>
    </row>
    <row r="99" spans="1:9" ht="15.75" customHeight="1">
      <c r="A99" s="65"/>
      <c r="B99" s="218" t="s">
        <v>6</v>
      </c>
      <c r="C99" s="218"/>
      <c r="D99" s="218"/>
      <c r="E99" s="218"/>
      <c r="F99" s="218"/>
      <c r="G99" s="218"/>
      <c r="H99" s="21"/>
      <c r="I99" s="5"/>
    </row>
    <row r="100" spans="1:9" ht="15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5.75" customHeight="1">
      <c r="A101" s="2" t="s">
        <v>7</v>
      </c>
      <c r="B101" s="2"/>
      <c r="C101" s="2"/>
      <c r="D101" s="2"/>
      <c r="E101" s="2"/>
      <c r="F101" s="2"/>
      <c r="G101" s="2"/>
      <c r="H101" s="2"/>
      <c r="I101" s="2"/>
    </row>
    <row r="102" spans="1:9" ht="15.75" customHeight="1">
      <c r="A102" s="219" t="s">
        <v>8</v>
      </c>
      <c r="B102" s="219"/>
      <c r="C102" s="219"/>
      <c r="D102" s="219"/>
      <c r="E102" s="219"/>
      <c r="F102" s="219"/>
      <c r="G102" s="219"/>
      <c r="H102" s="219"/>
      <c r="I102" s="219"/>
    </row>
    <row r="103" spans="1:9" ht="15.75" customHeight="1">
      <c r="A103" s="220" t="s">
        <v>60</v>
      </c>
      <c r="B103" s="220"/>
      <c r="C103" s="220"/>
      <c r="D103" s="220"/>
      <c r="E103" s="220"/>
      <c r="F103" s="220"/>
      <c r="G103" s="220"/>
      <c r="H103" s="220"/>
      <c r="I103" s="220"/>
    </row>
    <row r="104" spans="1:9" ht="15.75" customHeight="1">
      <c r="A104" s="10"/>
    </row>
    <row r="105" spans="1:9" ht="15.75" customHeight="1">
      <c r="A105" s="213" t="s">
        <v>9</v>
      </c>
      <c r="B105" s="213"/>
      <c r="C105" s="213"/>
      <c r="D105" s="213"/>
      <c r="E105" s="213"/>
      <c r="F105" s="213"/>
      <c r="G105" s="213"/>
      <c r="H105" s="213"/>
      <c r="I105" s="213"/>
    </row>
    <row r="106" spans="1:9" ht="15.75" customHeight="1">
      <c r="A106" s="4"/>
    </row>
    <row r="107" spans="1:9" ht="15.75" customHeight="1">
      <c r="B107" s="70" t="s">
        <v>10</v>
      </c>
      <c r="C107" s="214" t="s">
        <v>84</v>
      </c>
      <c r="D107" s="214"/>
      <c r="E107" s="214"/>
      <c r="F107" s="74"/>
      <c r="I107" s="67"/>
    </row>
    <row r="108" spans="1:9" ht="15.75" customHeight="1">
      <c r="A108" s="65"/>
      <c r="C108" s="218" t="s">
        <v>11</v>
      </c>
      <c r="D108" s="218"/>
      <c r="E108" s="218"/>
      <c r="F108" s="21"/>
      <c r="I108" s="66" t="s">
        <v>12</v>
      </c>
    </row>
    <row r="109" spans="1:9" ht="15.75" customHeight="1">
      <c r="A109" s="22"/>
      <c r="C109" s="11"/>
      <c r="D109" s="11"/>
      <c r="G109" s="11"/>
      <c r="H109" s="11"/>
    </row>
    <row r="110" spans="1:9" ht="15.75" customHeight="1">
      <c r="B110" s="70" t="s">
        <v>13</v>
      </c>
      <c r="C110" s="215"/>
      <c r="D110" s="215"/>
      <c r="E110" s="215"/>
      <c r="F110" s="75"/>
      <c r="I110" s="67"/>
    </row>
    <row r="111" spans="1:9" ht="15.75" customHeight="1">
      <c r="A111" s="65"/>
      <c r="C111" s="216" t="s">
        <v>11</v>
      </c>
      <c r="D111" s="216"/>
      <c r="E111" s="216"/>
      <c r="F111" s="65"/>
      <c r="I111" s="66" t="s">
        <v>12</v>
      </c>
    </row>
    <row r="112" spans="1:9" ht="15.75" customHeight="1">
      <c r="A112" s="4" t="s">
        <v>14</v>
      </c>
    </row>
    <row r="113" spans="1:9">
      <c r="A113" s="217" t="s">
        <v>15</v>
      </c>
      <c r="B113" s="217"/>
      <c r="C113" s="217"/>
      <c r="D113" s="217"/>
      <c r="E113" s="217"/>
      <c r="F113" s="217"/>
      <c r="G113" s="217"/>
      <c r="H113" s="217"/>
      <c r="I113" s="217"/>
    </row>
    <row r="114" spans="1:9" ht="45" customHeight="1">
      <c r="A114" s="212" t="s">
        <v>16</v>
      </c>
      <c r="B114" s="212"/>
      <c r="C114" s="212"/>
      <c r="D114" s="212"/>
      <c r="E114" s="212"/>
      <c r="F114" s="212"/>
      <c r="G114" s="212"/>
      <c r="H114" s="212"/>
      <c r="I114" s="212"/>
    </row>
    <row r="115" spans="1:9" ht="30" customHeight="1">
      <c r="A115" s="212" t="s">
        <v>17</v>
      </c>
      <c r="B115" s="212"/>
      <c r="C115" s="212"/>
      <c r="D115" s="212"/>
      <c r="E115" s="212"/>
      <c r="F115" s="212"/>
      <c r="G115" s="212"/>
      <c r="H115" s="212"/>
      <c r="I115" s="212"/>
    </row>
    <row r="116" spans="1:9" ht="30" customHeight="1">
      <c r="A116" s="212" t="s">
        <v>21</v>
      </c>
      <c r="B116" s="212"/>
      <c r="C116" s="212"/>
      <c r="D116" s="212"/>
      <c r="E116" s="212"/>
      <c r="F116" s="212"/>
      <c r="G116" s="212"/>
      <c r="H116" s="212"/>
      <c r="I116" s="212"/>
    </row>
    <row r="117" spans="1:9" ht="33" customHeight="1">
      <c r="A117" s="212" t="s">
        <v>20</v>
      </c>
      <c r="B117" s="212"/>
      <c r="C117" s="212"/>
      <c r="D117" s="212"/>
      <c r="E117" s="212"/>
      <c r="F117" s="212"/>
      <c r="G117" s="212"/>
      <c r="H117" s="212"/>
      <c r="I117" s="212"/>
    </row>
  </sheetData>
  <autoFilter ref="I12:I70"/>
  <mergeCells count="27">
    <mergeCell ref="C110:E110"/>
    <mergeCell ref="A3:I3"/>
    <mergeCell ref="A4:I4"/>
    <mergeCell ref="A5:I5"/>
    <mergeCell ref="A8:I8"/>
    <mergeCell ref="A10:I10"/>
    <mergeCell ref="A14:I14"/>
    <mergeCell ref="A15:I15"/>
    <mergeCell ref="A28:I28"/>
    <mergeCell ref="A45:I45"/>
    <mergeCell ref="A55:I55"/>
    <mergeCell ref="A117:I117"/>
    <mergeCell ref="A82:I82"/>
    <mergeCell ref="A113:I113"/>
    <mergeCell ref="A114:I114"/>
    <mergeCell ref="A115:I115"/>
    <mergeCell ref="A116:I116"/>
    <mergeCell ref="C111:E111"/>
    <mergeCell ref="A86:I86"/>
    <mergeCell ref="A97:I97"/>
    <mergeCell ref="B98:G98"/>
    <mergeCell ref="B99:G99"/>
    <mergeCell ref="A102:I102"/>
    <mergeCell ref="A103:I103"/>
    <mergeCell ref="A105:I105"/>
    <mergeCell ref="C107:E107"/>
    <mergeCell ref="C108:E108"/>
  </mergeCells>
  <pageMargins left="0.51181102362204722" right="0.31496062992125984" top="0.27559055118110237" bottom="0.27559055118110237" header="0.31496062992125984" footer="0.31496062992125984"/>
  <pageSetup paperSize="9" scale="57" orientation="portrait" r:id="rId1"/>
  <rowBreaks count="1" manualBreakCount="1">
    <brk id="112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76" workbookViewId="0">
      <selection activeCell="A96" sqref="A96:I9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5703125" hidden="1" customWidth="1"/>
    <col min="7" max="7" width="25.1406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146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227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43951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F18/18*G18</f>
        <v>5820.2881200000002</v>
      </c>
      <c r="J18" s="61"/>
      <c r="K18" s="60"/>
      <c r="L18" s="60"/>
      <c r="M18" s="60"/>
    </row>
    <row r="19" spans="1:13" s="35" customFormat="1" ht="15.75" hidden="1" customHeight="1">
      <c r="A19" s="26"/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4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5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/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/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/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40">
        <v>6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40">
        <v>7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40">
        <v>4</v>
      </c>
      <c r="B27" s="30" t="s">
        <v>191</v>
      </c>
      <c r="C27" s="192" t="s">
        <v>25</v>
      </c>
      <c r="D27" s="191" t="s">
        <v>195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hidden="1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hidden="1" customHeight="1">
      <c r="A30" s="40">
        <v>2</v>
      </c>
      <c r="B30" s="84" t="s">
        <v>104</v>
      </c>
      <c r="C30" s="85" t="s">
        <v>105</v>
      </c>
      <c r="D30" s="84" t="s">
        <v>106</v>
      </c>
      <c r="E30" s="87">
        <v>900.1</v>
      </c>
      <c r="F30" s="87">
        <f>SUM(E30*52/1000)</f>
        <v>46.805200000000006</v>
      </c>
      <c r="G30" s="87">
        <v>155.88999999999999</v>
      </c>
      <c r="H30" s="88">
        <f>SUM(F30*G30/1000)</f>
        <v>7.2964626280000004</v>
      </c>
      <c r="I30" s="12">
        <v>0</v>
      </c>
      <c r="J30" s="61"/>
      <c r="K30" s="60"/>
      <c r="L30" s="60"/>
      <c r="M30" s="60"/>
    </row>
    <row r="31" spans="1:13" s="35" customFormat="1" ht="31.5" hidden="1" customHeight="1">
      <c r="A31" s="40">
        <v>3</v>
      </c>
      <c r="B31" s="84" t="s">
        <v>134</v>
      </c>
      <c r="C31" s="85" t="s">
        <v>105</v>
      </c>
      <c r="D31" s="84" t="s">
        <v>107</v>
      </c>
      <c r="E31" s="87">
        <v>289.39999999999998</v>
      </c>
      <c r="F31" s="87">
        <f>SUM(E31*78/1000)</f>
        <v>22.573199999999996</v>
      </c>
      <c r="G31" s="87">
        <v>258.63</v>
      </c>
      <c r="H31" s="88">
        <f>SUM(F31*G31/1000)</f>
        <v>5.8381067159999995</v>
      </c>
      <c r="I31" s="12">
        <v>0</v>
      </c>
      <c r="J31" s="61"/>
      <c r="K31" s="60"/>
      <c r="L31" s="60"/>
      <c r="M31" s="60"/>
    </row>
    <row r="32" spans="1:13" s="35" customFormat="1" ht="15.75" hidden="1" customHeight="1">
      <c r="A32" s="40">
        <v>4</v>
      </c>
      <c r="B32" s="84" t="s">
        <v>27</v>
      </c>
      <c r="C32" s="85" t="s">
        <v>105</v>
      </c>
      <c r="D32" s="84" t="s">
        <v>53</v>
      </c>
      <c r="E32" s="87">
        <v>900.1</v>
      </c>
      <c r="F32" s="87">
        <f>SUM(E32/1000)</f>
        <v>0.90010000000000001</v>
      </c>
      <c r="G32" s="87">
        <v>3020.33</v>
      </c>
      <c r="H32" s="88">
        <f>SUM(F32*G32/1000)</f>
        <v>2.7185990329999998</v>
      </c>
      <c r="I32" s="12">
        <v>0</v>
      </c>
      <c r="J32" s="61"/>
      <c r="K32" s="60"/>
      <c r="L32" s="60"/>
      <c r="M32" s="60"/>
    </row>
    <row r="33" spans="1:14" s="35" customFormat="1" ht="15.75" hidden="1" customHeight="1">
      <c r="A33" s="40"/>
      <c r="B33" s="84" t="s">
        <v>132</v>
      </c>
      <c r="C33" s="85" t="s">
        <v>39</v>
      </c>
      <c r="D33" s="84" t="s">
        <v>133</v>
      </c>
      <c r="E33" s="87">
        <v>8</v>
      </c>
      <c r="F33" s="87">
        <v>12.4</v>
      </c>
      <c r="G33" s="87">
        <v>1302.02</v>
      </c>
      <c r="H33" s="88">
        <v>16.145</v>
      </c>
      <c r="I33" s="12">
        <v>0</v>
      </c>
      <c r="J33" s="61"/>
      <c r="K33" s="60"/>
      <c r="L33" s="60"/>
      <c r="M33" s="60"/>
    </row>
    <row r="34" spans="1:14" s="35" customFormat="1" ht="15.75" hidden="1" customHeight="1">
      <c r="A34" s="40">
        <v>5</v>
      </c>
      <c r="B34" s="84" t="s">
        <v>108</v>
      </c>
      <c r="C34" s="85" t="s">
        <v>30</v>
      </c>
      <c r="D34" s="84" t="s">
        <v>62</v>
      </c>
      <c r="E34" s="93">
        <v>0.33</v>
      </c>
      <c r="F34" s="87">
        <v>51.666666666666664</v>
      </c>
      <c r="G34" s="87">
        <v>56.69</v>
      </c>
      <c r="H34" s="88">
        <f>SUM(G34*155/3/1000)</f>
        <v>2.9289833333333331</v>
      </c>
      <c r="I34" s="12">
        <v>0</v>
      </c>
      <c r="J34" s="61"/>
      <c r="K34" s="60"/>
      <c r="L34" s="60"/>
      <c r="M34" s="60"/>
    </row>
    <row r="35" spans="1:14" s="35" customFormat="1" ht="15.75" hidden="1" customHeight="1">
      <c r="A35" s="40">
        <v>4</v>
      </c>
      <c r="B35" s="84" t="s">
        <v>63</v>
      </c>
      <c r="C35" s="85" t="s">
        <v>33</v>
      </c>
      <c r="D35" s="84" t="s">
        <v>65</v>
      </c>
      <c r="E35" s="86"/>
      <c r="F35" s="87">
        <v>3</v>
      </c>
      <c r="G35" s="87">
        <v>191.32</v>
      </c>
      <c r="H35" s="88">
        <f>SUM(F35*G35/1000)</f>
        <v>0.57396000000000003</v>
      </c>
      <c r="I35" s="12">
        <v>0</v>
      </c>
      <c r="J35" s="61"/>
      <c r="K35" s="60"/>
    </row>
    <row r="36" spans="1:14" s="35" customFormat="1" ht="15.75" hidden="1" customHeight="1">
      <c r="A36" s="26">
        <v>8</v>
      </c>
      <c r="B36" s="84" t="s">
        <v>64</v>
      </c>
      <c r="C36" s="85" t="s">
        <v>32</v>
      </c>
      <c r="D36" s="84" t="s">
        <v>65</v>
      </c>
      <c r="E36" s="86"/>
      <c r="F36" s="87">
        <v>2</v>
      </c>
      <c r="G36" s="87">
        <v>1136.32</v>
      </c>
      <c r="H36" s="88">
        <f>SUM(F36*G36/1000)</f>
        <v>2.27264</v>
      </c>
      <c r="I36" s="12">
        <v>0</v>
      </c>
      <c r="J36" s="62"/>
    </row>
    <row r="37" spans="1:14" s="35" customFormat="1" ht="15.75" customHeight="1">
      <c r="A37" s="40"/>
      <c r="B37" s="48" t="s">
        <v>5</v>
      </c>
      <c r="C37" s="48"/>
      <c r="D37" s="48"/>
      <c r="E37" s="12"/>
      <c r="F37" s="12"/>
      <c r="G37" s="13"/>
      <c r="H37" s="13"/>
      <c r="I37" s="18"/>
      <c r="J37" s="62"/>
    </row>
    <row r="38" spans="1:14" s="35" customFormat="1" ht="15.75" hidden="1" customHeight="1">
      <c r="A38" s="31">
        <v>5</v>
      </c>
      <c r="B38" s="137" t="s">
        <v>26</v>
      </c>
      <c r="C38" s="39" t="s">
        <v>32</v>
      </c>
      <c r="D38" s="30"/>
      <c r="E38" s="138"/>
      <c r="F38" s="110">
        <v>6</v>
      </c>
      <c r="G38" s="110">
        <v>2083.12</v>
      </c>
      <c r="H38" s="88">
        <f t="shared" ref="H38:H44" si="2">SUM(F38*G38/1000)</f>
        <v>12.498719999999999</v>
      </c>
      <c r="I38" s="12">
        <f>G38*3</f>
        <v>6249.36</v>
      </c>
      <c r="J38" s="62"/>
    </row>
    <row r="39" spans="1:14" s="35" customFormat="1" ht="15.75" customHeight="1">
      <c r="A39" s="31">
        <v>5</v>
      </c>
      <c r="B39" s="137" t="s">
        <v>165</v>
      </c>
      <c r="C39" s="139" t="s">
        <v>29</v>
      </c>
      <c r="D39" s="137" t="s">
        <v>196</v>
      </c>
      <c r="E39" s="140">
        <v>289.39999999999998</v>
      </c>
      <c r="F39" s="140">
        <f>SUM(E39*30/1000)</f>
        <v>8.6820000000000004</v>
      </c>
      <c r="G39" s="140">
        <v>2868.09</v>
      </c>
      <c r="H39" s="88">
        <f t="shared" si="2"/>
        <v>24.900757380000002</v>
      </c>
      <c r="I39" s="12">
        <f>F39/6*G39</f>
        <v>4150.1262300000008</v>
      </c>
      <c r="J39" s="62"/>
    </row>
    <row r="40" spans="1:14" s="35" customFormat="1" ht="15.75" customHeight="1">
      <c r="A40" s="31">
        <v>6</v>
      </c>
      <c r="B40" s="30" t="s">
        <v>66</v>
      </c>
      <c r="C40" s="39" t="s">
        <v>29</v>
      </c>
      <c r="D40" s="30" t="s">
        <v>197</v>
      </c>
      <c r="E40" s="110">
        <v>289.39999999999998</v>
      </c>
      <c r="F40" s="140">
        <f>SUM(E40*155/1000)</f>
        <v>44.856999999999999</v>
      </c>
      <c r="G40" s="110">
        <v>478.42</v>
      </c>
      <c r="H40" s="88">
        <f t="shared" si="2"/>
        <v>21.460485939999998</v>
      </c>
      <c r="I40" s="12">
        <f>F40/6*G40</f>
        <v>3576.7476566666669</v>
      </c>
      <c r="J40" s="62"/>
    </row>
    <row r="41" spans="1:14" s="35" customFormat="1" ht="15.75" hidden="1" customHeight="1">
      <c r="A41" s="31">
        <v>8</v>
      </c>
      <c r="B41" s="30" t="s">
        <v>166</v>
      </c>
      <c r="C41" s="39" t="s">
        <v>167</v>
      </c>
      <c r="D41" s="30" t="s">
        <v>180</v>
      </c>
      <c r="E41" s="110"/>
      <c r="F41" s="140">
        <v>39</v>
      </c>
      <c r="G41" s="110">
        <v>314</v>
      </c>
      <c r="H41" s="88"/>
      <c r="I41" s="12">
        <f>G41*39</f>
        <v>12246</v>
      </c>
      <c r="J41" s="62"/>
    </row>
    <row r="42" spans="1:14" s="35" customFormat="1" ht="15.75" customHeight="1">
      <c r="A42" s="31">
        <v>7</v>
      </c>
      <c r="B42" s="30" t="s">
        <v>79</v>
      </c>
      <c r="C42" s="39" t="s">
        <v>105</v>
      </c>
      <c r="D42" s="30" t="s">
        <v>198</v>
      </c>
      <c r="E42" s="110">
        <v>108</v>
      </c>
      <c r="F42" s="140">
        <f>SUM(E42*24/1000)</f>
        <v>2.5920000000000001</v>
      </c>
      <c r="G42" s="110">
        <v>7915.6</v>
      </c>
      <c r="H42" s="88">
        <f t="shared" si="2"/>
        <v>20.517235200000002</v>
      </c>
      <c r="I42" s="12">
        <f>F42/6*G42</f>
        <v>3419.5392000000002</v>
      </c>
      <c r="J42" s="62"/>
    </row>
    <row r="43" spans="1:14" s="35" customFormat="1" ht="19.5" hidden="1" customHeight="1">
      <c r="A43" s="31">
        <v>10</v>
      </c>
      <c r="B43" s="30" t="s">
        <v>110</v>
      </c>
      <c r="C43" s="39" t="s">
        <v>105</v>
      </c>
      <c r="D43" s="30" t="s">
        <v>199</v>
      </c>
      <c r="E43" s="110">
        <v>108</v>
      </c>
      <c r="F43" s="140">
        <f>SUM(E43*45/1000)</f>
        <v>4.8600000000000003</v>
      </c>
      <c r="G43" s="110">
        <v>584.74</v>
      </c>
      <c r="H43" s="88">
        <f t="shared" si="2"/>
        <v>2.8418364</v>
      </c>
      <c r="I43" s="12">
        <f>F43/7.5*1.5*G43</f>
        <v>568.36728000000005</v>
      </c>
      <c r="J43" s="62"/>
    </row>
    <row r="44" spans="1:14" s="35" customFormat="1" ht="15.75" hidden="1" customHeight="1">
      <c r="A44" s="31">
        <v>11</v>
      </c>
      <c r="B44" s="148" t="s">
        <v>68</v>
      </c>
      <c r="C44" s="149" t="s">
        <v>33</v>
      </c>
      <c r="D44" s="148"/>
      <c r="E44" s="150"/>
      <c r="F44" s="151">
        <v>0.9</v>
      </c>
      <c r="G44" s="151">
        <v>800</v>
      </c>
      <c r="H44" s="99">
        <f t="shared" si="2"/>
        <v>0.72</v>
      </c>
      <c r="I44" s="108">
        <f>F44/7.5*1.5*G44</f>
        <v>144.00000000000003</v>
      </c>
      <c r="J44" s="62"/>
      <c r="L44" s="19"/>
      <c r="M44" s="20"/>
      <c r="N44" s="28"/>
    </row>
    <row r="45" spans="1:14" s="35" customFormat="1" ht="30.75" customHeight="1">
      <c r="A45" s="31">
        <v>8</v>
      </c>
      <c r="B45" s="137" t="s">
        <v>168</v>
      </c>
      <c r="C45" s="139" t="s">
        <v>29</v>
      </c>
      <c r="D45" s="137" t="s">
        <v>200</v>
      </c>
      <c r="E45" s="141">
        <v>3.6</v>
      </c>
      <c r="F45" s="140">
        <v>0.04</v>
      </c>
      <c r="G45" s="140">
        <v>270.61</v>
      </c>
      <c r="H45" s="12"/>
      <c r="I45" s="12">
        <f>G45*F45/6</f>
        <v>1.8040666666666667</v>
      </c>
      <c r="J45" s="62"/>
      <c r="L45" s="19"/>
      <c r="M45" s="20"/>
      <c r="N45" s="28"/>
    </row>
    <row r="46" spans="1:14" s="35" customFormat="1" ht="26.25" hidden="1" customHeight="1">
      <c r="A46" s="109">
        <v>14</v>
      </c>
      <c r="B46" s="95" t="s">
        <v>40</v>
      </c>
      <c r="C46" s="96" t="s">
        <v>114</v>
      </c>
      <c r="D46" s="95" t="s">
        <v>69</v>
      </c>
      <c r="E46" s="97">
        <v>236</v>
      </c>
      <c r="F46" s="98">
        <f>SUM(E46)*3</f>
        <v>708</v>
      </c>
      <c r="G46" s="108">
        <v>65.67</v>
      </c>
      <c r="H46" s="99">
        <f>SUM(F46*G46/1000)</f>
        <v>46.49436</v>
      </c>
      <c r="I46" s="108">
        <f>E46*G46</f>
        <v>15498.12</v>
      </c>
      <c r="J46" s="62"/>
      <c r="L46" s="19"/>
      <c r="M46" s="20"/>
      <c r="N46" s="28"/>
    </row>
    <row r="47" spans="1:14" s="35" customFormat="1" ht="21" hidden="1" customHeight="1">
      <c r="A47" s="222" t="s">
        <v>138</v>
      </c>
      <c r="B47" s="223"/>
      <c r="C47" s="223"/>
      <c r="D47" s="223"/>
      <c r="E47" s="223"/>
      <c r="F47" s="223"/>
      <c r="G47" s="223"/>
      <c r="H47" s="223"/>
      <c r="I47" s="224"/>
      <c r="J47" s="62"/>
      <c r="L47" s="19"/>
      <c r="M47" s="20"/>
      <c r="N47" s="28"/>
    </row>
    <row r="48" spans="1:14" s="35" customFormat="1" ht="35.25" hidden="1" customHeight="1">
      <c r="A48" s="40">
        <v>13</v>
      </c>
      <c r="B48" s="30" t="s">
        <v>112</v>
      </c>
      <c r="C48" s="39" t="s">
        <v>105</v>
      </c>
      <c r="D48" s="30" t="s">
        <v>41</v>
      </c>
      <c r="E48" s="18"/>
      <c r="F48" s="110">
        <f>SUM(E48*2/1000)</f>
        <v>0</v>
      </c>
      <c r="G48" s="34">
        <v>1213.55</v>
      </c>
      <c r="H48" s="12"/>
      <c r="I48" s="12">
        <f>3.305/2*G48</f>
        <v>2005.3913749999999</v>
      </c>
      <c r="J48" s="62"/>
      <c r="L48" s="19"/>
      <c r="M48" s="20"/>
      <c r="N48" s="28"/>
    </row>
    <row r="49" spans="1:14" s="35" customFormat="1" ht="32.25" hidden="1" customHeight="1">
      <c r="A49" s="40">
        <v>14</v>
      </c>
      <c r="B49" s="30" t="s">
        <v>113</v>
      </c>
      <c r="C49" s="39" t="s">
        <v>37</v>
      </c>
      <c r="D49" s="30" t="s">
        <v>41</v>
      </c>
      <c r="E49" s="18"/>
      <c r="F49" s="110">
        <f>SUM(E49*2/100)</f>
        <v>0</v>
      </c>
      <c r="G49" s="34">
        <v>2730.49</v>
      </c>
      <c r="H49" s="12"/>
      <c r="I49" s="12">
        <f>0.8/2*G49</f>
        <v>1092.1959999999999</v>
      </c>
      <c r="J49" s="62"/>
      <c r="L49" s="19"/>
      <c r="M49" s="20"/>
      <c r="N49" s="28"/>
    </row>
    <row r="50" spans="1:14" s="35" customFormat="1" ht="16.5" hidden="1" customHeight="1">
      <c r="A50" s="40">
        <v>15</v>
      </c>
      <c r="B50" s="30" t="s">
        <v>38</v>
      </c>
      <c r="C50" s="39" t="s">
        <v>39</v>
      </c>
      <c r="D50" s="30" t="s">
        <v>41</v>
      </c>
      <c r="E50" s="18"/>
      <c r="F50" s="110">
        <v>0.02</v>
      </c>
      <c r="G50" s="34">
        <v>5652.13</v>
      </c>
      <c r="H50" s="12"/>
      <c r="I50" s="12">
        <f>F50/2*G50</f>
        <v>56.521300000000004</v>
      </c>
      <c r="J50" s="62"/>
      <c r="L50" s="19"/>
      <c r="M50" s="20"/>
      <c r="N50" s="28"/>
    </row>
    <row r="51" spans="1:14" s="35" customFormat="1" ht="15.75" customHeight="1">
      <c r="A51" s="222" t="s">
        <v>181</v>
      </c>
      <c r="B51" s="223"/>
      <c r="C51" s="223"/>
      <c r="D51" s="223"/>
      <c r="E51" s="223"/>
      <c r="F51" s="223"/>
      <c r="G51" s="223"/>
      <c r="H51" s="223"/>
      <c r="I51" s="224"/>
      <c r="J51" s="62"/>
      <c r="L51" s="19"/>
      <c r="M51" s="20"/>
      <c r="N51" s="28"/>
    </row>
    <row r="52" spans="1:14" s="35" customFormat="1" ht="15.75" customHeight="1">
      <c r="A52" s="173"/>
      <c r="B52" s="47" t="s">
        <v>42</v>
      </c>
      <c r="C52" s="16"/>
      <c r="D52" s="15"/>
      <c r="E52" s="15"/>
      <c r="F52" s="15"/>
      <c r="G52" s="26"/>
      <c r="H52" s="26"/>
      <c r="I52" s="18"/>
      <c r="J52" s="62"/>
      <c r="L52" s="19"/>
      <c r="M52" s="20"/>
      <c r="N52" s="28"/>
    </row>
    <row r="53" spans="1:14" s="35" customFormat="1" ht="31.5" customHeight="1">
      <c r="A53" s="40">
        <v>9</v>
      </c>
      <c r="B53" s="30" t="s">
        <v>128</v>
      </c>
      <c r="C53" s="39" t="s">
        <v>98</v>
      </c>
      <c r="D53" s="30"/>
      <c r="E53" s="138">
        <v>128.1</v>
      </c>
      <c r="F53" s="110">
        <f>E53*6/100</f>
        <v>7.6859999999999991</v>
      </c>
      <c r="G53" s="136">
        <v>2110.4699999999998</v>
      </c>
      <c r="H53" s="88">
        <f>F53*G53/1000</f>
        <v>16.221072419999995</v>
      </c>
      <c r="I53" s="12">
        <f>G53*0.1</f>
        <v>211.047</v>
      </c>
      <c r="J53" s="62"/>
      <c r="L53" s="19"/>
      <c r="M53" s="20"/>
      <c r="N53" s="28"/>
    </row>
    <row r="54" spans="1:14" s="35" customFormat="1" ht="15.75" hidden="1" customHeight="1">
      <c r="A54" s="40">
        <v>14</v>
      </c>
      <c r="B54" s="113" t="s">
        <v>88</v>
      </c>
      <c r="C54" s="114" t="s">
        <v>98</v>
      </c>
      <c r="D54" s="113" t="s">
        <v>129</v>
      </c>
      <c r="E54" s="134">
        <v>56</v>
      </c>
      <c r="F54" s="135">
        <f>E54*6/100</f>
        <v>3.36</v>
      </c>
      <c r="G54" s="136">
        <v>2110.4699999999998</v>
      </c>
      <c r="H54" s="99">
        <f>F54*G54/1000</f>
        <v>7.0911791999999982</v>
      </c>
      <c r="I54" s="12">
        <f>F54/6*G54</f>
        <v>1181.8631999999998</v>
      </c>
      <c r="J54" s="62"/>
      <c r="L54" s="19"/>
      <c r="M54" s="20"/>
      <c r="N54" s="28"/>
    </row>
    <row r="55" spans="1:14" s="35" customFormat="1" ht="15.75" hidden="1" customHeight="1">
      <c r="A55" s="40"/>
      <c r="B55" s="95" t="s">
        <v>92</v>
      </c>
      <c r="C55" s="96" t="s">
        <v>93</v>
      </c>
      <c r="D55" s="95" t="s">
        <v>41</v>
      </c>
      <c r="E55" s="97">
        <v>8</v>
      </c>
      <c r="F55" s="98">
        <v>16</v>
      </c>
      <c r="G55" s="100">
        <v>180.78</v>
      </c>
      <c r="H55" s="99">
        <f>F55*G55/1000</f>
        <v>2.8924799999999999</v>
      </c>
      <c r="I55" s="12">
        <v>0</v>
      </c>
      <c r="J55" s="62"/>
      <c r="L55" s="19"/>
      <c r="M55" s="20"/>
      <c r="N55" s="28"/>
    </row>
    <row r="56" spans="1:14" s="35" customFormat="1" ht="15.75" customHeight="1">
      <c r="A56" s="40"/>
      <c r="B56" s="174" t="s">
        <v>43</v>
      </c>
      <c r="C56" s="174"/>
      <c r="D56" s="174"/>
      <c r="E56" s="174"/>
      <c r="F56" s="174"/>
      <c r="G56" s="174"/>
      <c r="H56" s="174"/>
      <c r="I56" s="33"/>
      <c r="J56" s="62"/>
      <c r="L56" s="19"/>
      <c r="M56" s="20"/>
      <c r="N56" s="28"/>
    </row>
    <row r="57" spans="1:14" s="35" customFormat="1" ht="15.75" customHeight="1">
      <c r="A57" s="40">
        <v>10</v>
      </c>
      <c r="B57" s="113" t="s">
        <v>89</v>
      </c>
      <c r="C57" s="114" t="s">
        <v>25</v>
      </c>
      <c r="D57" s="113" t="s">
        <v>136</v>
      </c>
      <c r="E57" s="134">
        <v>200</v>
      </c>
      <c r="F57" s="135">
        <f>E57*12</f>
        <v>2400</v>
      </c>
      <c r="G57" s="147">
        <v>1.4</v>
      </c>
      <c r="H57" s="99">
        <f>G57*F57/1000</f>
        <v>3.36</v>
      </c>
      <c r="I57" s="12">
        <f>2400/12*G57</f>
        <v>280</v>
      </c>
      <c r="J57" s="62"/>
      <c r="L57" s="19"/>
      <c r="M57" s="20"/>
      <c r="N57" s="28"/>
    </row>
    <row r="58" spans="1:14" s="35" customFormat="1" ht="21.75" hidden="1" customHeight="1">
      <c r="A58" s="40"/>
      <c r="B58" s="95" t="s">
        <v>44</v>
      </c>
      <c r="C58" s="96" t="s">
        <v>25</v>
      </c>
      <c r="D58" s="95" t="s">
        <v>53</v>
      </c>
      <c r="E58" s="97">
        <v>1652.5</v>
      </c>
      <c r="F58" s="98">
        <f>E58/100</f>
        <v>16.524999999999999</v>
      </c>
      <c r="G58" s="102">
        <v>793.61</v>
      </c>
      <c r="H58" s="99">
        <f>G58*F58/1000</f>
        <v>13.114405249999999</v>
      </c>
      <c r="I58" s="12">
        <v>0</v>
      </c>
      <c r="J58" s="62"/>
      <c r="L58" s="19"/>
      <c r="M58" s="20"/>
      <c r="N58" s="28"/>
    </row>
    <row r="59" spans="1:14" s="35" customFormat="1" ht="21.75" hidden="1" customHeight="1">
      <c r="A59" s="40"/>
      <c r="B59" s="182" t="s">
        <v>45</v>
      </c>
      <c r="C59" s="114"/>
      <c r="D59" s="113"/>
      <c r="E59" s="134"/>
      <c r="F59" s="135"/>
      <c r="G59" s="135"/>
      <c r="H59" s="72"/>
      <c r="I59" s="12"/>
      <c r="J59" s="62"/>
      <c r="L59" s="19"/>
      <c r="M59" s="20"/>
      <c r="N59" s="28"/>
    </row>
    <row r="60" spans="1:14" s="35" customFormat="1" ht="18" hidden="1" customHeight="1">
      <c r="A60" s="40">
        <v>16</v>
      </c>
      <c r="B60" s="142" t="s">
        <v>46</v>
      </c>
      <c r="C60" s="37" t="s">
        <v>114</v>
      </c>
      <c r="D60" s="36" t="s">
        <v>169</v>
      </c>
      <c r="E60" s="17">
        <v>12</v>
      </c>
      <c r="F60" s="110">
        <f>E60*1</f>
        <v>12</v>
      </c>
      <c r="G60" s="34">
        <v>303.35000000000002</v>
      </c>
      <c r="H60" s="72"/>
      <c r="I60" s="12">
        <f>G60*1</f>
        <v>303.35000000000002</v>
      </c>
      <c r="J60" s="62"/>
      <c r="L60" s="19"/>
      <c r="M60" s="20"/>
      <c r="N60" s="28"/>
    </row>
    <row r="61" spans="1:14" s="35" customFormat="1" ht="26.25" hidden="1" customHeight="1">
      <c r="A61" s="26">
        <v>29</v>
      </c>
      <c r="B61" s="177" t="s">
        <v>47</v>
      </c>
      <c r="C61" s="178" t="s">
        <v>114</v>
      </c>
      <c r="D61" s="177" t="s">
        <v>65</v>
      </c>
      <c r="E61" s="179">
        <v>8</v>
      </c>
      <c r="F61" s="180">
        <v>8</v>
      </c>
      <c r="G61" s="181">
        <v>76.25</v>
      </c>
      <c r="H61" s="77">
        <f t="shared" ref="H61:H67" si="3">SUM(F61*G61/1000)</f>
        <v>0.61</v>
      </c>
      <c r="I61" s="12">
        <v>0</v>
      </c>
      <c r="J61" s="62"/>
      <c r="L61" s="19"/>
      <c r="M61" s="20"/>
      <c r="N61" s="28"/>
    </row>
    <row r="62" spans="1:14" s="35" customFormat="1" ht="25.5" hidden="1" customHeight="1">
      <c r="A62" s="26">
        <v>8</v>
      </c>
      <c r="B62" s="14" t="s">
        <v>48</v>
      </c>
      <c r="C62" s="16" t="s">
        <v>115</v>
      </c>
      <c r="D62" s="14" t="s">
        <v>53</v>
      </c>
      <c r="E62" s="86">
        <v>23267</v>
      </c>
      <c r="F62" s="12">
        <f>SUM(E62/100)</f>
        <v>232.67</v>
      </c>
      <c r="G62" s="12">
        <v>212.15</v>
      </c>
      <c r="H62" s="77">
        <f t="shared" si="3"/>
        <v>49.360940499999998</v>
      </c>
      <c r="I62" s="12">
        <v>0</v>
      </c>
      <c r="J62" s="62"/>
      <c r="L62" s="19"/>
      <c r="M62" s="20"/>
      <c r="N62" s="28"/>
    </row>
    <row r="63" spans="1:14" s="35" customFormat="1" ht="23.25" hidden="1" customHeight="1">
      <c r="A63" s="26">
        <v>9</v>
      </c>
      <c r="B63" s="14" t="s">
        <v>49</v>
      </c>
      <c r="C63" s="16" t="s">
        <v>116</v>
      </c>
      <c r="D63" s="14"/>
      <c r="E63" s="86">
        <v>23267</v>
      </c>
      <c r="F63" s="12">
        <f>SUM(E63/1000)</f>
        <v>23.266999999999999</v>
      </c>
      <c r="G63" s="12">
        <v>165.21</v>
      </c>
      <c r="H63" s="77">
        <f t="shared" si="3"/>
        <v>3.8439410700000005</v>
      </c>
      <c r="I63" s="12">
        <v>0</v>
      </c>
      <c r="J63" s="62"/>
      <c r="L63" s="19"/>
      <c r="M63" s="20"/>
      <c r="N63" s="28"/>
    </row>
    <row r="64" spans="1:14" s="35" customFormat="1" ht="24" hidden="1" customHeight="1">
      <c r="A64" s="26">
        <v>10</v>
      </c>
      <c r="B64" s="14" t="s">
        <v>50</v>
      </c>
      <c r="C64" s="16" t="s">
        <v>74</v>
      </c>
      <c r="D64" s="14" t="s">
        <v>53</v>
      </c>
      <c r="E64" s="86">
        <v>3145</v>
      </c>
      <c r="F64" s="12">
        <f>SUM(E64/100)</f>
        <v>31.45</v>
      </c>
      <c r="G64" s="12">
        <v>2074.63</v>
      </c>
      <c r="H64" s="77">
        <f t="shared" si="3"/>
        <v>65.247113499999998</v>
      </c>
      <c r="I64" s="12">
        <v>0</v>
      </c>
      <c r="J64" s="62"/>
      <c r="L64" s="19"/>
    </row>
    <row r="65" spans="1:22" s="35" customFormat="1" ht="20.25" hidden="1" customHeight="1">
      <c r="A65" s="26">
        <v>11</v>
      </c>
      <c r="B65" s="104" t="s">
        <v>117</v>
      </c>
      <c r="C65" s="16" t="s">
        <v>33</v>
      </c>
      <c r="D65" s="14"/>
      <c r="E65" s="86">
        <v>20.66</v>
      </c>
      <c r="F65" s="12">
        <f>SUM(E65)</f>
        <v>20.66</v>
      </c>
      <c r="G65" s="12">
        <v>42.67</v>
      </c>
      <c r="H65" s="77">
        <f t="shared" si="3"/>
        <v>0.88156220000000007</v>
      </c>
      <c r="I65" s="12">
        <v>0</v>
      </c>
    </row>
    <row r="66" spans="1:22" s="35" customFormat="1" ht="21.75" hidden="1" customHeight="1">
      <c r="A66" s="26">
        <v>12</v>
      </c>
      <c r="B66" s="104" t="s">
        <v>137</v>
      </c>
      <c r="C66" s="16" t="s">
        <v>33</v>
      </c>
      <c r="D66" s="14"/>
      <c r="E66" s="86">
        <v>20.66</v>
      </c>
      <c r="F66" s="12">
        <f>SUM(E66)</f>
        <v>20.66</v>
      </c>
      <c r="G66" s="12">
        <v>39.81</v>
      </c>
      <c r="H66" s="77">
        <f t="shared" si="3"/>
        <v>0.82247460000000006</v>
      </c>
      <c r="I66" s="12">
        <v>0</v>
      </c>
    </row>
    <row r="67" spans="1:22" s="35" customFormat="1" ht="17.25" hidden="1" customHeight="1">
      <c r="A67" s="26">
        <v>13</v>
      </c>
      <c r="B67" s="14" t="s">
        <v>56</v>
      </c>
      <c r="C67" s="16" t="s">
        <v>57</v>
      </c>
      <c r="D67" s="14" t="s">
        <v>53</v>
      </c>
      <c r="E67" s="18">
        <v>5</v>
      </c>
      <c r="F67" s="87">
        <f>SUM(E67)</f>
        <v>5</v>
      </c>
      <c r="G67" s="12">
        <v>49.88</v>
      </c>
      <c r="H67" s="77">
        <f t="shared" si="3"/>
        <v>0.24940000000000001</v>
      </c>
      <c r="I67" s="12">
        <v>0</v>
      </c>
    </row>
    <row r="68" spans="1:22" s="35" customFormat="1" ht="15.75" customHeight="1">
      <c r="A68" s="26"/>
      <c r="B68" s="129" t="s">
        <v>160</v>
      </c>
      <c r="C68" s="159"/>
      <c r="D68" s="129"/>
      <c r="E68" s="160"/>
      <c r="F68" s="161"/>
      <c r="G68" s="162"/>
      <c r="H68" s="77"/>
      <c r="I68" s="12"/>
    </row>
    <row r="69" spans="1:22" s="35" customFormat="1" ht="30.75" customHeight="1">
      <c r="A69" s="26">
        <v>11</v>
      </c>
      <c r="B69" s="36" t="s">
        <v>161</v>
      </c>
      <c r="C69" s="40" t="s">
        <v>162</v>
      </c>
      <c r="D69" s="36"/>
      <c r="E69" s="17">
        <v>5916.3</v>
      </c>
      <c r="F69" s="34">
        <f>E69*12</f>
        <v>70995.600000000006</v>
      </c>
      <c r="G69" s="34">
        <v>2.37</v>
      </c>
      <c r="H69" s="77"/>
      <c r="I69" s="12">
        <f>G69*F69/12</f>
        <v>14021.631000000001</v>
      </c>
    </row>
    <row r="70" spans="1:22" s="35" customFormat="1" ht="18" hidden="1" customHeight="1">
      <c r="A70" s="173"/>
      <c r="B70" s="174" t="s">
        <v>118</v>
      </c>
      <c r="C70" s="174"/>
      <c r="D70" s="174"/>
      <c r="E70" s="174"/>
      <c r="F70" s="174"/>
      <c r="G70" s="174"/>
      <c r="H70" s="174"/>
      <c r="I70" s="18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63"/>
    </row>
    <row r="71" spans="1:22" s="35" customFormat="1" ht="26.25" hidden="1" customHeight="1">
      <c r="A71" s="26">
        <v>18</v>
      </c>
      <c r="B71" s="84" t="s">
        <v>119</v>
      </c>
      <c r="C71" s="16"/>
      <c r="D71" s="14"/>
      <c r="E71" s="73"/>
      <c r="F71" s="12">
        <v>1</v>
      </c>
      <c r="G71" s="12">
        <v>27750</v>
      </c>
      <c r="H71" s="77">
        <f>G71*F71/1000</f>
        <v>27.75</v>
      </c>
      <c r="I71" s="12">
        <f>G71</f>
        <v>27750</v>
      </c>
      <c r="J71" s="64"/>
      <c r="K71" s="64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2" s="35" customFormat="1" ht="18" customHeight="1">
      <c r="A72" s="26"/>
      <c r="B72" s="48" t="s">
        <v>70</v>
      </c>
      <c r="C72" s="48"/>
      <c r="D72" s="48"/>
      <c r="E72" s="18"/>
      <c r="F72" s="18"/>
      <c r="G72" s="26"/>
      <c r="H72" s="26"/>
      <c r="I72" s="18"/>
      <c r="J72" s="55"/>
      <c r="K72" s="55"/>
      <c r="L72" s="55"/>
      <c r="M72" s="55"/>
      <c r="N72" s="55"/>
      <c r="O72" s="55"/>
      <c r="P72" s="55"/>
      <c r="Q72" s="55"/>
      <c r="S72" s="55"/>
      <c r="T72" s="55"/>
      <c r="U72" s="55"/>
    </row>
    <row r="73" spans="1:22" s="35" customFormat="1" ht="16.5" hidden="1" customHeight="1">
      <c r="A73" s="26">
        <v>19</v>
      </c>
      <c r="B73" s="14" t="s">
        <v>71</v>
      </c>
      <c r="C73" s="16" t="s">
        <v>31</v>
      </c>
      <c r="D73" s="14"/>
      <c r="E73" s="18">
        <v>10</v>
      </c>
      <c r="F73" s="72">
        <v>1</v>
      </c>
      <c r="G73" s="12">
        <v>501.62</v>
      </c>
      <c r="H73" s="77">
        <f>F73*G73/1000</f>
        <v>0.50161999999999995</v>
      </c>
      <c r="I73" s="12">
        <f>G73*0.2</f>
        <v>100.32400000000001</v>
      </c>
      <c r="J73" s="55"/>
      <c r="K73" s="55"/>
      <c r="L73" s="55"/>
      <c r="M73" s="55"/>
      <c r="N73" s="55"/>
      <c r="O73" s="55"/>
      <c r="P73" s="55"/>
      <c r="Q73" s="55"/>
      <c r="S73" s="55"/>
      <c r="T73" s="55"/>
      <c r="U73" s="55"/>
    </row>
    <row r="74" spans="1:22" s="35" customFormat="1" ht="22.5" hidden="1" customHeight="1">
      <c r="A74" s="26">
        <v>20</v>
      </c>
      <c r="B74" s="14" t="s">
        <v>83</v>
      </c>
      <c r="C74" s="16" t="s">
        <v>30</v>
      </c>
      <c r="D74" s="14"/>
      <c r="E74" s="18">
        <v>1</v>
      </c>
      <c r="F74" s="87">
        <v>1</v>
      </c>
      <c r="G74" s="12">
        <v>358.51</v>
      </c>
      <c r="H74" s="77">
        <f>F74*G74/1000</f>
        <v>0.35851</v>
      </c>
      <c r="I74" s="12">
        <f>G74</f>
        <v>358.51</v>
      </c>
      <c r="J74" s="56"/>
      <c r="K74" s="56"/>
      <c r="L74" s="56"/>
      <c r="M74" s="56"/>
      <c r="N74" s="56"/>
      <c r="O74" s="56"/>
      <c r="P74" s="56"/>
      <c r="Q74" s="56"/>
      <c r="R74" s="233"/>
      <c r="S74" s="233"/>
      <c r="T74" s="233"/>
      <c r="U74" s="233"/>
    </row>
    <row r="75" spans="1:22" s="35" customFormat="1" ht="19.5" hidden="1" customHeight="1">
      <c r="A75" s="26">
        <v>20</v>
      </c>
      <c r="B75" s="14" t="s">
        <v>72</v>
      </c>
      <c r="C75" s="16" t="s">
        <v>30</v>
      </c>
      <c r="D75" s="14"/>
      <c r="E75" s="18">
        <v>1</v>
      </c>
      <c r="F75" s="12">
        <v>1</v>
      </c>
      <c r="G75" s="12">
        <v>852.99</v>
      </c>
      <c r="H75" s="77">
        <f>F75*G75/1000</f>
        <v>0.85299000000000003</v>
      </c>
      <c r="I75" s="12">
        <v>0</v>
      </c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</row>
    <row r="76" spans="1:22" s="35" customFormat="1" ht="30" customHeight="1">
      <c r="A76" s="26">
        <v>12</v>
      </c>
      <c r="B76" s="36" t="s">
        <v>164</v>
      </c>
      <c r="C76" s="37" t="s">
        <v>114</v>
      </c>
      <c r="D76" s="36" t="s">
        <v>194</v>
      </c>
      <c r="E76" s="17">
        <v>1</v>
      </c>
      <c r="F76" s="34">
        <f>E76*12</f>
        <v>12</v>
      </c>
      <c r="G76" s="34">
        <v>55.55</v>
      </c>
      <c r="H76" s="77"/>
      <c r="I76" s="12">
        <f>G76*F76/12</f>
        <v>55.54999999999999</v>
      </c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1:22" s="35" customFormat="1" ht="21" hidden="1" customHeight="1">
      <c r="A77" s="26"/>
      <c r="B77" s="49" t="s">
        <v>73</v>
      </c>
      <c r="C77" s="37"/>
      <c r="D77" s="26"/>
      <c r="E77" s="18"/>
      <c r="F77" s="18"/>
      <c r="G77" s="34" t="s">
        <v>130</v>
      </c>
      <c r="H77" s="34"/>
      <c r="I77" s="18"/>
    </row>
    <row r="78" spans="1:22" s="35" customFormat="1" ht="18" hidden="1" customHeight="1">
      <c r="A78" s="26">
        <v>39</v>
      </c>
      <c r="B78" s="51" t="s">
        <v>120</v>
      </c>
      <c r="C78" s="16" t="s">
        <v>74</v>
      </c>
      <c r="D78" s="14"/>
      <c r="E78" s="18"/>
      <c r="F78" s="12">
        <v>1.35</v>
      </c>
      <c r="G78" s="12">
        <v>2759.44</v>
      </c>
      <c r="H78" s="77">
        <f>SUM(F78*G78/1000)</f>
        <v>3.725244</v>
      </c>
      <c r="I78" s="12">
        <v>0</v>
      </c>
    </row>
    <row r="79" spans="1:22" s="35" customFormat="1" ht="15.75" customHeight="1">
      <c r="A79" s="225" t="s">
        <v>145</v>
      </c>
      <c r="B79" s="226"/>
      <c r="C79" s="226"/>
      <c r="D79" s="226"/>
      <c r="E79" s="226"/>
      <c r="F79" s="226"/>
      <c r="G79" s="226"/>
      <c r="H79" s="226"/>
      <c r="I79" s="227"/>
    </row>
    <row r="80" spans="1:22" s="35" customFormat="1" ht="15.75" customHeight="1">
      <c r="A80" s="26">
        <v>13</v>
      </c>
      <c r="B80" s="30" t="s">
        <v>121</v>
      </c>
      <c r="C80" s="37" t="s">
        <v>54</v>
      </c>
      <c r="D80" s="167"/>
      <c r="E80" s="34">
        <v>5916.3</v>
      </c>
      <c r="F80" s="34">
        <f>SUM(E80*12)</f>
        <v>70995.600000000006</v>
      </c>
      <c r="G80" s="34">
        <v>3.22</v>
      </c>
      <c r="H80" s="77">
        <f>SUM(F80*G80/1000)</f>
        <v>228.60583200000002</v>
      </c>
      <c r="I80" s="12">
        <f>F80/12*G80</f>
        <v>19050.486000000001</v>
      </c>
    </row>
    <row r="81" spans="1:9" s="35" customFormat="1" ht="31.5" customHeight="1">
      <c r="A81" s="26">
        <v>14</v>
      </c>
      <c r="B81" s="36" t="s">
        <v>75</v>
      </c>
      <c r="C81" s="37"/>
      <c r="D81" s="57"/>
      <c r="E81" s="138">
        <f>E80</f>
        <v>5916.3</v>
      </c>
      <c r="F81" s="34">
        <f>E81*12</f>
        <v>70995.600000000006</v>
      </c>
      <c r="G81" s="34">
        <v>3.64</v>
      </c>
      <c r="H81" s="77">
        <f>F81*G81/1000</f>
        <v>258.42398400000002</v>
      </c>
      <c r="I81" s="12">
        <f>F81/12*G81</f>
        <v>21535.332000000002</v>
      </c>
    </row>
    <row r="82" spans="1:9" s="35" customFormat="1" ht="15.75" customHeight="1">
      <c r="A82" s="173"/>
      <c r="B82" s="38" t="s">
        <v>77</v>
      </c>
      <c r="C82" s="40"/>
      <c r="D82" s="15"/>
      <c r="E82" s="15"/>
      <c r="F82" s="15"/>
      <c r="G82" s="18"/>
      <c r="H82" s="18"/>
      <c r="I82" s="29">
        <f>I81+I80+I76+I69+I57+I53+I45+I42+I40+I39+I27+I18+I17+I16</f>
        <v>92661.319539999997</v>
      </c>
    </row>
    <row r="83" spans="1:9" s="35" customFormat="1" ht="15.75" customHeight="1">
      <c r="A83" s="228" t="s">
        <v>59</v>
      </c>
      <c r="B83" s="229"/>
      <c r="C83" s="229"/>
      <c r="D83" s="229"/>
      <c r="E83" s="229"/>
      <c r="F83" s="229"/>
      <c r="G83" s="229"/>
      <c r="H83" s="229"/>
      <c r="I83" s="230"/>
    </row>
    <row r="84" spans="1:9" s="35" customFormat="1" ht="29.25" customHeight="1">
      <c r="A84" s="26">
        <v>15</v>
      </c>
      <c r="B84" s="36" t="s">
        <v>209</v>
      </c>
      <c r="C84" s="37" t="s">
        <v>170</v>
      </c>
      <c r="D84" s="36" t="s">
        <v>229</v>
      </c>
      <c r="E84" s="34"/>
      <c r="F84" s="34">
        <v>4</v>
      </c>
      <c r="G84" s="34">
        <v>1327.8</v>
      </c>
      <c r="H84" s="12">
        <f>G84*F84/1000</f>
        <v>5.3111999999999995</v>
      </c>
      <c r="I84" s="12">
        <f>G84*4</f>
        <v>5311.2</v>
      </c>
    </row>
    <row r="85" spans="1:9" s="35" customFormat="1" ht="27.75" customHeight="1">
      <c r="A85" s="26">
        <v>16</v>
      </c>
      <c r="B85" s="36" t="s">
        <v>179</v>
      </c>
      <c r="C85" s="37" t="s">
        <v>170</v>
      </c>
      <c r="D85" s="36" t="s">
        <v>230</v>
      </c>
      <c r="E85" s="34"/>
      <c r="F85" s="34">
        <v>4</v>
      </c>
      <c r="G85" s="34">
        <v>1421.68</v>
      </c>
      <c r="H85" s="12"/>
      <c r="I85" s="12">
        <f>G85*4</f>
        <v>5686.72</v>
      </c>
    </row>
    <row r="86" spans="1:9" s="35" customFormat="1" ht="18" customHeight="1">
      <c r="A86" s="26">
        <v>17</v>
      </c>
      <c r="B86" s="58" t="s">
        <v>156</v>
      </c>
      <c r="C86" s="59" t="s">
        <v>170</v>
      </c>
      <c r="D86" s="57" t="s">
        <v>329</v>
      </c>
      <c r="E86" s="34"/>
      <c r="F86" s="34">
        <v>12</v>
      </c>
      <c r="G86" s="34">
        <v>284</v>
      </c>
      <c r="H86" s="12"/>
      <c r="I86" s="12">
        <v>0</v>
      </c>
    </row>
    <row r="87" spans="1:9" s="35" customFormat="1" ht="18" customHeight="1">
      <c r="A87" s="26">
        <v>18</v>
      </c>
      <c r="B87" s="58" t="s">
        <v>158</v>
      </c>
      <c r="C87" s="59" t="s">
        <v>80</v>
      </c>
      <c r="D87" s="57" t="s">
        <v>228</v>
      </c>
      <c r="E87" s="34"/>
      <c r="F87" s="34">
        <v>1</v>
      </c>
      <c r="G87" s="34">
        <v>222.63</v>
      </c>
      <c r="H87" s="12"/>
      <c r="I87" s="12">
        <f>G87*1</f>
        <v>222.63</v>
      </c>
    </row>
    <row r="88" spans="1:9" s="35" customFormat="1" ht="18" customHeight="1">
      <c r="A88" s="26">
        <v>19</v>
      </c>
      <c r="B88" s="58" t="s">
        <v>231</v>
      </c>
      <c r="C88" s="59" t="s">
        <v>85</v>
      </c>
      <c r="D88" s="57"/>
      <c r="E88" s="34"/>
      <c r="F88" s="34">
        <v>2</v>
      </c>
      <c r="G88" s="34">
        <v>331.57</v>
      </c>
      <c r="H88" s="12"/>
      <c r="I88" s="12">
        <f>G88*2</f>
        <v>663.14</v>
      </c>
    </row>
    <row r="89" spans="1:9" s="35" customFormat="1" ht="15.75" customHeight="1">
      <c r="A89" s="26"/>
      <c r="B89" s="45" t="s">
        <v>51</v>
      </c>
      <c r="C89" s="41"/>
      <c r="D89" s="53"/>
      <c r="E89" s="41">
        <v>1</v>
      </c>
      <c r="F89" s="41"/>
      <c r="G89" s="41"/>
      <c r="H89" s="41"/>
      <c r="I89" s="29">
        <f>SUM(I84:I88)</f>
        <v>11883.689999999999</v>
      </c>
    </row>
    <row r="90" spans="1:9" s="35" customFormat="1" ht="15.75" customHeight="1">
      <c r="A90" s="26"/>
      <c r="B90" s="51" t="s">
        <v>76</v>
      </c>
      <c r="C90" s="15"/>
      <c r="D90" s="15"/>
      <c r="E90" s="42"/>
      <c r="F90" s="42"/>
      <c r="G90" s="43"/>
      <c r="H90" s="43"/>
      <c r="I90" s="17">
        <v>0</v>
      </c>
    </row>
    <row r="91" spans="1:9" s="35" customFormat="1" ht="15.75" customHeight="1">
      <c r="A91" s="54"/>
      <c r="B91" s="46" t="s">
        <v>141</v>
      </c>
      <c r="C91" s="32"/>
      <c r="D91" s="32"/>
      <c r="E91" s="32"/>
      <c r="F91" s="32"/>
      <c r="G91" s="32"/>
      <c r="H91" s="32"/>
      <c r="I91" s="44">
        <f>I82+I89</f>
        <v>104545.00954</v>
      </c>
    </row>
    <row r="92" spans="1:9" ht="15.75" customHeight="1">
      <c r="A92" s="231" t="s">
        <v>330</v>
      </c>
      <c r="B92" s="231"/>
      <c r="C92" s="231"/>
      <c r="D92" s="231"/>
      <c r="E92" s="231"/>
      <c r="F92" s="231"/>
      <c r="G92" s="231"/>
      <c r="H92" s="231"/>
      <c r="I92" s="231"/>
    </row>
    <row r="93" spans="1:9" ht="15.75" customHeight="1">
      <c r="A93" s="71"/>
      <c r="B93" s="232" t="s">
        <v>331</v>
      </c>
      <c r="C93" s="232"/>
      <c r="D93" s="232"/>
      <c r="E93" s="232"/>
      <c r="F93" s="232"/>
      <c r="G93" s="232"/>
      <c r="H93" s="76"/>
      <c r="I93" s="3"/>
    </row>
    <row r="94" spans="1:9" ht="15.75" customHeight="1">
      <c r="A94" s="65"/>
      <c r="B94" s="218" t="s">
        <v>6</v>
      </c>
      <c r="C94" s="218"/>
      <c r="D94" s="218"/>
      <c r="E94" s="218"/>
      <c r="F94" s="218"/>
      <c r="G94" s="218"/>
      <c r="H94" s="21"/>
      <c r="I94" s="5"/>
    </row>
    <row r="95" spans="1:9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spans="1:9" ht="15.75" customHeight="1">
      <c r="A96" s="219" t="s">
        <v>7</v>
      </c>
      <c r="B96" s="219"/>
      <c r="C96" s="219"/>
      <c r="D96" s="219"/>
      <c r="E96" s="219"/>
      <c r="F96" s="219"/>
      <c r="G96" s="219"/>
      <c r="H96" s="219"/>
      <c r="I96" s="219"/>
    </row>
    <row r="97" spans="1:9" ht="15.75" customHeight="1">
      <c r="A97" s="219" t="s">
        <v>8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220" t="s">
        <v>60</v>
      </c>
      <c r="B98" s="220"/>
      <c r="C98" s="220"/>
      <c r="D98" s="220"/>
      <c r="E98" s="220"/>
      <c r="F98" s="220"/>
      <c r="G98" s="220"/>
      <c r="H98" s="220"/>
      <c r="I98" s="220"/>
    </row>
    <row r="99" spans="1:9" ht="15.75" customHeight="1">
      <c r="A99" s="10"/>
    </row>
    <row r="100" spans="1:9" ht="15.75" customHeight="1">
      <c r="A100" s="213" t="s">
        <v>9</v>
      </c>
      <c r="B100" s="213"/>
      <c r="C100" s="213"/>
      <c r="D100" s="213"/>
      <c r="E100" s="213"/>
      <c r="F100" s="213"/>
      <c r="G100" s="213"/>
      <c r="H100" s="213"/>
      <c r="I100" s="213"/>
    </row>
    <row r="101" spans="1:9" ht="15.75" customHeight="1">
      <c r="A101" s="4"/>
    </row>
    <row r="102" spans="1:9" ht="15.75" customHeight="1">
      <c r="B102" s="70" t="s">
        <v>10</v>
      </c>
      <c r="C102" s="214" t="s">
        <v>84</v>
      </c>
      <c r="D102" s="214"/>
      <c r="E102" s="214"/>
      <c r="F102" s="74"/>
      <c r="I102" s="67"/>
    </row>
    <row r="103" spans="1:9" ht="15.75" customHeight="1">
      <c r="A103" s="65"/>
      <c r="C103" s="218" t="s">
        <v>11</v>
      </c>
      <c r="D103" s="218"/>
      <c r="E103" s="218"/>
      <c r="F103" s="21"/>
      <c r="I103" s="66" t="s">
        <v>12</v>
      </c>
    </row>
    <row r="104" spans="1:9" ht="15.75" customHeight="1">
      <c r="A104" s="22"/>
      <c r="C104" s="11"/>
      <c r="D104" s="11"/>
      <c r="G104" s="11"/>
      <c r="H104" s="11"/>
    </row>
    <row r="105" spans="1:9" ht="15.75" customHeight="1">
      <c r="B105" s="70" t="s">
        <v>13</v>
      </c>
      <c r="C105" s="215"/>
      <c r="D105" s="215"/>
      <c r="E105" s="215"/>
      <c r="F105" s="75"/>
      <c r="I105" s="67"/>
    </row>
    <row r="106" spans="1:9" ht="15.75" customHeight="1">
      <c r="A106" s="65"/>
      <c r="C106" s="216" t="s">
        <v>11</v>
      </c>
      <c r="D106" s="216"/>
      <c r="E106" s="216"/>
      <c r="F106" s="65"/>
      <c r="I106" s="66" t="s">
        <v>12</v>
      </c>
    </row>
    <row r="107" spans="1:9" ht="15.75" customHeight="1">
      <c r="A107" s="4" t="s">
        <v>14</v>
      </c>
    </row>
    <row r="108" spans="1:9">
      <c r="A108" s="217" t="s">
        <v>15</v>
      </c>
      <c r="B108" s="217"/>
      <c r="C108" s="217"/>
      <c r="D108" s="217"/>
      <c r="E108" s="217"/>
      <c r="F108" s="217"/>
      <c r="G108" s="217"/>
      <c r="H108" s="217"/>
      <c r="I108" s="217"/>
    </row>
    <row r="109" spans="1:9" ht="45" customHeight="1">
      <c r="A109" s="212" t="s">
        <v>16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30" customHeight="1">
      <c r="A110" s="212" t="s">
        <v>17</v>
      </c>
      <c r="B110" s="212"/>
      <c r="C110" s="212"/>
      <c r="D110" s="212"/>
      <c r="E110" s="212"/>
      <c r="F110" s="212"/>
      <c r="G110" s="212"/>
      <c r="H110" s="212"/>
      <c r="I110" s="212"/>
    </row>
    <row r="111" spans="1:9" ht="30" customHeight="1">
      <c r="A111" s="212" t="s">
        <v>21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4.25" customHeight="1">
      <c r="A112" s="212" t="s">
        <v>20</v>
      </c>
      <c r="B112" s="212"/>
      <c r="C112" s="212"/>
      <c r="D112" s="212"/>
      <c r="E112" s="212"/>
      <c r="F112" s="212"/>
      <c r="G112" s="212"/>
      <c r="H112" s="212"/>
      <c r="I112" s="212"/>
    </row>
  </sheetData>
  <autoFilter ref="I12:I66"/>
  <mergeCells count="29">
    <mergeCell ref="A14:I14"/>
    <mergeCell ref="A15:I15"/>
    <mergeCell ref="A28:I28"/>
    <mergeCell ref="A51:I51"/>
    <mergeCell ref="A47:I47"/>
    <mergeCell ref="A3:I3"/>
    <mergeCell ref="A4:I4"/>
    <mergeCell ref="A5:I5"/>
    <mergeCell ref="A8:I8"/>
    <mergeCell ref="A10:I10"/>
    <mergeCell ref="R74:U74"/>
    <mergeCell ref="C106:E106"/>
    <mergeCell ref="A83:I83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79:I79"/>
    <mergeCell ref="A108:I108"/>
    <mergeCell ref="A109:I109"/>
    <mergeCell ref="A110:I110"/>
    <mergeCell ref="A111:I111"/>
    <mergeCell ref="A112:I112"/>
  </mergeCells>
  <pageMargins left="0.51181102362204722" right="0.31496062992125984" top="0.27559055118110237" bottom="0.27559055118110237" header="0.31496062992125984" footer="0.31496062992125984"/>
  <pageSetup paperSize="9" scale="62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view="pageBreakPreview" topLeftCell="A79" zoomScale="60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147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182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43616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8.2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>SUM(F17*G17/1000)</f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194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>SUM(F18*G18/1000)</f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30" t="s">
        <v>99</v>
      </c>
      <c r="C19" s="39" t="s">
        <v>100</v>
      </c>
      <c r="D19" s="30" t="s">
        <v>203</v>
      </c>
      <c r="E19" s="138">
        <v>51.2</v>
      </c>
      <c r="F19" s="110">
        <f>SUM(E19/10)</f>
        <v>5.12</v>
      </c>
      <c r="G19" s="110">
        <v>232.1</v>
      </c>
      <c r="H19" s="88">
        <f t="shared" ref="H19:H26" si="0">SUM(F19*G19/1000)</f>
        <v>1.1883520000000001</v>
      </c>
      <c r="I19" s="12">
        <f>F19*G19</f>
        <v>1188.3520000000001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30" t="s">
        <v>90</v>
      </c>
      <c r="C20" s="39" t="s">
        <v>98</v>
      </c>
      <c r="D20" s="30" t="s">
        <v>201</v>
      </c>
      <c r="E20" s="138">
        <v>57.5</v>
      </c>
      <c r="F20" s="110">
        <f>SUM(E20/100)</f>
        <v>0.57499999999999996</v>
      </c>
      <c r="G20" s="110">
        <v>297.19</v>
      </c>
      <c r="H20" s="88">
        <f t="shared" si="0"/>
        <v>0.17088424999999999</v>
      </c>
      <c r="I20" s="12">
        <f>F20*G20</f>
        <v>170.88424999999998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30" t="s">
        <v>91</v>
      </c>
      <c r="C21" s="39" t="s">
        <v>98</v>
      </c>
      <c r="D21" s="30" t="s">
        <v>194</v>
      </c>
      <c r="E21" s="138">
        <v>13.41</v>
      </c>
      <c r="F21" s="110">
        <f>SUM(E21/100)</f>
        <v>0.1341</v>
      </c>
      <c r="G21" s="110">
        <v>294.77999999999997</v>
      </c>
      <c r="H21" s="88">
        <f t="shared" si="0"/>
        <v>3.952999799999999E-2</v>
      </c>
      <c r="I21" s="12">
        <f t="shared" ref="I21:I26" si="1">F21*G21</f>
        <v>39.529997999999992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30" t="s">
        <v>102</v>
      </c>
      <c r="C22" s="39" t="s">
        <v>52</v>
      </c>
      <c r="D22" s="30" t="s">
        <v>204</v>
      </c>
      <c r="E22" s="138">
        <v>1025.5999999999999</v>
      </c>
      <c r="F22" s="110">
        <f>SUM(E22/100)</f>
        <v>10.255999999999998</v>
      </c>
      <c r="G22" s="110">
        <v>367.27</v>
      </c>
      <c r="H22" s="88">
        <f t="shared" si="0"/>
        <v>3.7667211199999993</v>
      </c>
      <c r="I22" s="12">
        <f t="shared" si="1"/>
        <v>3766.7211199999992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30" t="s">
        <v>103</v>
      </c>
      <c r="C23" s="39" t="s">
        <v>52</v>
      </c>
      <c r="D23" s="30" t="s">
        <v>204</v>
      </c>
      <c r="E23" s="183">
        <v>60.5</v>
      </c>
      <c r="F23" s="110">
        <f>SUM(E23/100)</f>
        <v>0.60499999999999998</v>
      </c>
      <c r="G23" s="110">
        <v>60.41</v>
      </c>
      <c r="H23" s="88">
        <f t="shared" si="0"/>
        <v>3.6548049999999999E-2</v>
      </c>
      <c r="I23" s="12">
        <f t="shared" si="1"/>
        <v>36.548049999999996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30" t="s">
        <v>94</v>
      </c>
      <c r="C24" s="39" t="s">
        <v>52</v>
      </c>
      <c r="D24" s="30" t="s">
        <v>194</v>
      </c>
      <c r="E24" s="184">
        <v>19.149999999999999</v>
      </c>
      <c r="F24" s="110">
        <f>E24/100</f>
        <v>0.19149999999999998</v>
      </c>
      <c r="G24" s="110">
        <v>531.55999999999995</v>
      </c>
      <c r="H24" s="88">
        <f>G24*F24/100</f>
        <v>1.0179373999999997</v>
      </c>
      <c r="I24" s="12">
        <f t="shared" si="1"/>
        <v>101.79373999999997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30" t="s">
        <v>123</v>
      </c>
      <c r="C25" s="39" t="s">
        <v>52</v>
      </c>
      <c r="D25" s="30" t="s">
        <v>201</v>
      </c>
      <c r="E25" s="185">
        <v>31.5</v>
      </c>
      <c r="F25" s="110">
        <f>E25/100</f>
        <v>0.315</v>
      </c>
      <c r="G25" s="110">
        <v>294.77999999999997</v>
      </c>
      <c r="H25" s="88">
        <f>G25*F25/1000</f>
        <v>9.2855699999999999E-2</v>
      </c>
      <c r="I25" s="12">
        <f t="shared" si="1"/>
        <v>92.855699999999999</v>
      </c>
      <c r="J25" s="61"/>
      <c r="K25" s="60"/>
      <c r="L25" s="60"/>
      <c r="M25" s="60"/>
    </row>
    <row r="26" spans="1:13" s="35" customFormat="1" ht="18" hidden="1" customHeight="1">
      <c r="A26" s="26">
        <v>11</v>
      </c>
      <c r="B26" s="30" t="s">
        <v>95</v>
      </c>
      <c r="C26" s="39" t="s">
        <v>52</v>
      </c>
      <c r="D26" s="30" t="s">
        <v>201</v>
      </c>
      <c r="E26" s="138">
        <v>37.5</v>
      </c>
      <c r="F26" s="110">
        <f>SUM(E26/100)</f>
        <v>0.375</v>
      </c>
      <c r="G26" s="110">
        <v>710.37</v>
      </c>
      <c r="H26" s="88">
        <f t="shared" si="0"/>
        <v>0.26638875000000001</v>
      </c>
      <c r="I26" s="12">
        <f t="shared" si="1"/>
        <v>266.38875000000002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192" t="s">
        <v>25</v>
      </c>
      <c r="D27" s="191" t="s">
        <v>195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193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193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customHeight="1">
      <c r="A32" s="40">
        <v>7</v>
      </c>
      <c r="B32" s="30" t="s">
        <v>27</v>
      </c>
      <c r="C32" s="39" t="s">
        <v>105</v>
      </c>
      <c r="D32" s="30" t="s">
        <v>201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8</v>
      </c>
      <c r="B33" s="30" t="s">
        <v>132</v>
      </c>
      <c r="C33" s="39" t="s">
        <v>39</v>
      </c>
      <c r="D33" s="30" t="s">
        <v>197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2" t="s">
        <v>138</v>
      </c>
      <c r="B44" s="223"/>
      <c r="C44" s="223"/>
      <c r="D44" s="223"/>
      <c r="E44" s="223"/>
      <c r="F44" s="223"/>
      <c r="G44" s="223"/>
      <c r="H44" s="223"/>
      <c r="I44" s="224"/>
      <c r="J44" s="62"/>
      <c r="L44" s="19"/>
      <c r="M44" s="20"/>
      <c r="N44" s="28"/>
    </row>
    <row r="45" spans="1:14" s="35" customFormat="1" ht="15.75" customHeight="1">
      <c r="A45" s="40">
        <v>9</v>
      </c>
      <c r="B45" s="30" t="s">
        <v>111</v>
      </c>
      <c r="C45" s="39" t="s">
        <v>105</v>
      </c>
      <c r="D45" s="30" t="s">
        <v>194</v>
      </c>
      <c r="E45" s="138">
        <v>1662.5</v>
      </c>
      <c r="F45" s="110">
        <f>SUM(E45*2/1000)</f>
        <v>3.3250000000000002</v>
      </c>
      <c r="G45" s="34">
        <v>1158.7</v>
      </c>
      <c r="H45" s="88">
        <f t="shared" ref="H45:H53" si="4">SUM(F45*G45/1000)</f>
        <v>3.8526775000000004</v>
      </c>
      <c r="I45" s="12">
        <f>F45/2*G45</f>
        <v>1926.3387500000001</v>
      </c>
      <c r="J45" s="62"/>
      <c r="L45" s="19"/>
      <c r="M45" s="20"/>
      <c r="N45" s="28"/>
    </row>
    <row r="46" spans="1:14" s="35" customFormat="1" ht="15.75" customHeight="1">
      <c r="A46" s="40">
        <v>10</v>
      </c>
      <c r="B46" s="30" t="s">
        <v>183</v>
      </c>
      <c r="C46" s="39" t="s">
        <v>105</v>
      </c>
      <c r="D46" s="30" t="s">
        <v>194</v>
      </c>
      <c r="E46" s="138">
        <v>92.8</v>
      </c>
      <c r="F46" s="110">
        <f>SUM(E46*2/1000)</f>
        <v>0.18559999999999999</v>
      </c>
      <c r="G46" s="34">
        <v>790.38</v>
      </c>
      <c r="H46" s="88">
        <f t="shared" si="4"/>
        <v>0.14669452799999999</v>
      </c>
      <c r="I46" s="12">
        <f>F46/2*G46</f>
        <v>73.347263999999996</v>
      </c>
      <c r="J46" s="62"/>
      <c r="L46" s="19"/>
      <c r="M46" s="20"/>
      <c r="N46" s="28"/>
    </row>
    <row r="47" spans="1:14" s="35" customFormat="1" ht="15.75" customHeight="1">
      <c r="A47" s="40">
        <v>11</v>
      </c>
      <c r="B47" s="30" t="s">
        <v>35</v>
      </c>
      <c r="C47" s="39" t="s">
        <v>105</v>
      </c>
      <c r="D47" s="30" t="s">
        <v>194</v>
      </c>
      <c r="E47" s="138">
        <v>4750.7</v>
      </c>
      <c r="F47" s="110">
        <f>SUM(E47*2/1000)</f>
        <v>9.5014000000000003</v>
      </c>
      <c r="G47" s="34">
        <v>790.38</v>
      </c>
      <c r="H47" s="88">
        <f t="shared" si="4"/>
        <v>7.5097165320000006</v>
      </c>
      <c r="I47" s="12">
        <f>F47/2*G47</f>
        <v>3754.8582660000002</v>
      </c>
      <c r="J47" s="62"/>
      <c r="L47" s="19"/>
      <c r="M47" s="20"/>
      <c r="N47" s="28"/>
    </row>
    <row r="48" spans="1:14" s="35" customFormat="1" ht="15.75" customHeight="1">
      <c r="A48" s="40">
        <v>12</v>
      </c>
      <c r="B48" s="30" t="s">
        <v>36</v>
      </c>
      <c r="C48" s="39" t="s">
        <v>105</v>
      </c>
      <c r="D48" s="30" t="s">
        <v>194</v>
      </c>
      <c r="E48" s="138">
        <v>2840.99</v>
      </c>
      <c r="F48" s="110">
        <f>SUM(E48*2/1000)</f>
        <v>5.6819799999999994</v>
      </c>
      <c r="G48" s="34">
        <v>827.65</v>
      </c>
      <c r="H48" s="88">
        <f t="shared" si="4"/>
        <v>4.7026907469999992</v>
      </c>
      <c r="I48" s="12">
        <f>F48/2*G48</f>
        <v>2351.3453734999998</v>
      </c>
      <c r="J48" s="62"/>
      <c r="L48" s="19"/>
      <c r="M48" s="20"/>
      <c r="N48" s="28"/>
    </row>
    <row r="49" spans="1:14" s="35" customFormat="1" ht="15.75" customHeight="1">
      <c r="A49" s="40">
        <v>13</v>
      </c>
      <c r="B49" s="30" t="s">
        <v>55</v>
      </c>
      <c r="C49" s="39" t="s">
        <v>105</v>
      </c>
      <c r="D49" s="30" t="s">
        <v>194</v>
      </c>
      <c r="E49" s="138">
        <v>1652.5</v>
      </c>
      <c r="F49" s="110">
        <f>SUM(E49*5/1000)</f>
        <v>8.2624999999999993</v>
      </c>
      <c r="G49" s="34">
        <v>1655.27</v>
      </c>
      <c r="H49" s="88">
        <f t="shared" si="4"/>
        <v>13.676668374999998</v>
      </c>
      <c r="I49" s="12">
        <f>F49/5*G49</f>
        <v>2735.3336749999999</v>
      </c>
      <c r="J49" s="62"/>
      <c r="L49" s="19"/>
      <c r="M49" s="20"/>
      <c r="N49" s="28"/>
    </row>
    <row r="50" spans="1:14" s="35" customFormat="1" ht="34.5" customHeight="1">
      <c r="A50" s="40">
        <v>14</v>
      </c>
      <c r="B50" s="30" t="s">
        <v>112</v>
      </c>
      <c r="C50" s="39" t="s">
        <v>105</v>
      </c>
      <c r="D50" s="30" t="s">
        <v>194</v>
      </c>
      <c r="E50" s="138">
        <v>1652.5</v>
      </c>
      <c r="F50" s="110">
        <f>SUM(E50*2/1000)</f>
        <v>3.3050000000000002</v>
      </c>
      <c r="G50" s="34">
        <v>1655.27</v>
      </c>
      <c r="H50" s="88">
        <f t="shared" si="4"/>
        <v>5.4706673500000003</v>
      </c>
      <c r="I50" s="12">
        <f>F50/2*G50</f>
        <v>2735.3336750000003</v>
      </c>
      <c r="J50" s="62"/>
      <c r="L50" s="19"/>
      <c r="M50" s="20"/>
      <c r="N50" s="28"/>
    </row>
    <row r="51" spans="1:14" s="35" customFormat="1" ht="29.25" customHeight="1">
      <c r="A51" s="40">
        <v>15</v>
      </c>
      <c r="B51" s="30" t="s">
        <v>113</v>
      </c>
      <c r="C51" s="39" t="s">
        <v>37</v>
      </c>
      <c r="D51" s="30" t="s">
        <v>194</v>
      </c>
      <c r="E51" s="138">
        <v>25</v>
      </c>
      <c r="F51" s="110">
        <f>SUM(E51*2/100)</f>
        <v>0.5</v>
      </c>
      <c r="G51" s="34">
        <v>3724.37</v>
      </c>
      <c r="H51" s="88">
        <f t="shared" si="4"/>
        <v>1.862185</v>
      </c>
      <c r="I51" s="12">
        <f>F51/2*G51</f>
        <v>931.09249999999997</v>
      </c>
      <c r="J51" s="62"/>
      <c r="L51" s="19"/>
      <c r="M51" s="20"/>
      <c r="N51" s="28"/>
    </row>
    <row r="52" spans="1:14" s="35" customFormat="1" ht="18" customHeight="1">
      <c r="A52" s="40">
        <v>16</v>
      </c>
      <c r="B52" s="30" t="s">
        <v>38</v>
      </c>
      <c r="C52" s="39" t="s">
        <v>39</v>
      </c>
      <c r="D52" s="30" t="s">
        <v>194</v>
      </c>
      <c r="E52" s="138">
        <v>1</v>
      </c>
      <c r="F52" s="110">
        <v>0.02</v>
      </c>
      <c r="G52" s="34">
        <v>7709.44</v>
      </c>
      <c r="H52" s="88">
        <f t="shared" si="4"/>
        <v>0.15418879999999999</v>
      </c>
      <c r="I52" s="12">
        <f>F52/2*G52</f>
        <v>77.094399999999993</v>
      </c>
      <c r="J52" s="62"/>
      <c r="L52" s="19"/>
      <c r="M52" s="20"/>
      <c r="N52" s="28"/>
    </row>
    <row r="53" spans="1:14" s="35" customFormat="1" ht="15.75" hidden="1" customHeight="1">
      <c r="A53" s="40">
        <v>14</v>
      </c>
      <c r="B53" s="84" t="s">
        <v>40</v>
      </c>
      <c r="C53" s="85" t="s">
        <v>114</v>
      </c>
      <c r="D53" s="84" t="s">
        <v>69</v>
      </c>
      <c r="E53" s="86">
        <v>236</v>
      </c>
      <c r="F53" s="87">
        <f>SUM(E53)*3</f>
        <v>708</v>
      </c>
      <c r="G53" s="12">
        <v>65.67</v>
      </c>
      <c r="H53" s="88">
        <f t="shared" si="4"/>
        <v>46.49436</v>
      </c>
      <c r="I53" s="12">
        <f>E53*G53</f>
        <v>15498.12</v>
      </c>
      <c r="J53" s="62"/>
      <c r="L53" s="19"/>
      <c r="M53" s="20"/>
      <c r="N53" s="28"/>
    </row>
    <row r="54" spans="1:14" s="35" customFormat="1" ht="15.75" customHeight="1">
      <c r="A54" s="222" t="s">
        <v>139</v>
      </c>
      <c r="B54" s="223"/>
      <c r="C54" s="223"/>
      <c r="D54" s="223"/>
      <c r="E54" s="223"/>
      <c r="F54" s="223"/>
      <c r="G54" s="223"/>
      <c r="H54" s="223"/>
      <c r="I54" s="224"/>
      <c r="J54" s="62"/>
      <c r="L54" s="19"/>
      <c r="M54" s="20"/>
      <c r="N54" s="28"/>
    </row>
    <row r="55" spans="1:14" s="35" customFormat="1" ht="15.75" hidden="1" customHeight="1">
      <c r="A55" s="176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128</v>
      </c>
      <c r="C56" s="85" t="s">
        <v>98</v>
      </c>
      <c r="D56" s="84" t="s">
        <v>129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88</v>
      </c>
      <c r="C57" s="96" t="s">
        <v>98</v>
      </c>
      <c r="D57" s="95" t="s">
        <v>129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92</v>
      </c>
      <c r="C58" s="96" t="s">
        <v>93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customHeight="1">
      <c r="A59" s="40"/>
      <c r="B59" s="175" t="s">
        <v>43</v>
      </c>
      <c r="C59" s="175"/>
      <c r="D59" s="175"/>
      <c r="E59" s="175"/>
      <c r="F59" s="175"/>
      <c r="G59" s="175"/>
      <c r="H59" s="175"/>
      <c r="I59" s="33"/>
      <c r="J59" s="62"/>
      <c r="L59" s="19"/>
      <c r="M59" s="20"/>
      <c r="N59" s="28"/>
    </row>
    <row r="60" spans="1:14" s="35" customFormat="1" ht="15.75" customHeight="1">
      <c r="A60" s="40">
        <v>17</v>
      </c>
      <c r="B60" s="95" t="s">
        <v>89</v>
      </c>
      <c r="C60" s="96" t="s">
        <v>25</v>
      </c>
      <c r="D60" s="95" t="s">
        <v>194</v>
      </c>
      <c r="E60" s="97">
        <v>330.5</v>
      </c>
      <c r="F60" s="98">
        <f>E60*12</f>
        <v>3966</v>
      </c>
      <c r="G60" s="101">
        <v>1.4</v>
      </c>
      <c r="H60" s="99">
        <f>G60*F60/1000</f>
        <v>5.5523999999999996</v>
      </c>
      <c r="I60" s="12">
        <f>2400/12*G60</f>
        <v>280</v>
      </c>
      <c r="J60" s="62"/>
      <c r="L60" s="19"/>
      <c r="M60" s="20"/>
      <c r="N60" s="28"/>
    </row>
    <row r="61" spans="1:14" s="35" customFormat="1" ht="15.75" hidden="1" customHeight="1">
      <c r="A61" s="40"/>
      <c r="B61" s="95" t="s">
        <v>44</v>
      </c>
      <c r="C61" s="96" t="s">
        <v>25</v>
      </c>
      <c r="D61" s="95" t="s">
        <v>53</v>
      </c>
      <c r="E61" s="97">
        <v>1652.5</v>
      </c>
      <c r="F61" s="98">
        <f>E61/100</f>
        <v>16.524999999999999</v>
      </c>
      <c r="G61" s="102">
        <v>793.61</v>
      </c>
      <c r="H61" s="99">
        <f>G61*F61/1000</f>
        <v>13.114405249999999</v>
      </c>
      <c r="I61" s="12">
        <v>0</v>
      </c>
      <c r="J61" s="62"/>
      <c r="L61" s="19"/>
      <c r="M61" s="20"/>
      <c r="N61" s="28"/>
    </row>
    <row r="62" spans="1:14" s="35" customFormat="1" ht="15.75" customHeight="1">
      <c r="A62" s="40"/>
      <c r="B62" s="175" t="s">
        <v>45</v>
      </c>
      <c r="C62" s="16"/>
      <c r="D62" s="36"/>
      <c r="E62" s="15"/>
      <c r="F62" s="15"/>
      <c r="G62" s="26"/>
      <c r="H62" s="26"/>
      <c r="I62" s="18"/>
      <c r="J62" s="62"/>
      <c r="L62" s="19"/>
      <c r="M62" s="20"/>
      <c r="N62" s="28"/>
    </row>
    <row r="63" spans="1:14" s="35" customFormat="1" ht="16.5" hidden="1" customHeight="1">
      <c r="A63" s="40">
        <v>26</v>
      </c>
      <c r="B63" s="142" t="s">
        <v>46</v>
      </c>
      <c r="C63" s="37" t="s">
        <v>114</v>
      </c>
      <c r="D63" s="36" t="s">
        <v>194</v>
      </c>
      <c r="E63" s="17">
        <v>12</v>
      </c>
      <c r="F63" s="110">
        <f>E63*1</f>
        <v>12</v>
      </c>
      <c r="G63" s="34">
        <v>303.35000000000002</v>
      </c>
      <c r="H63" s="77">
        <f t="shared" ref="H63:H70" si="5">SUM(F63*G63/1000)</f>
        <v>3.6402000000000001</v>
      </c>
      <c r="I63" s="12">
        <f>G63</f>
        <v>303.35000000000002</v>
      </c>
      <c r="J63" s="62"/>
      <c r="L63" s="19"/>
      <c r="M63" s="20"/>
      <c r="N63" s="28"/>
    </row>
    <row r="64" spans="1:14" s="35" customFormat="1" ht="20.25" hidden="1" customHeight="1">
      <c r="B64" s="14" t="s">
        <v>47</v>
      </c>
      <c r="C64" s="16" t="s">
        <v>114</v>
      </c>
      <c r="D64" s="14" t="s">
        <v>65</v>
      </c>
      <c r="E64" s="18">
        <v>8</v>
      </c>
      <c r="F64" s="87">
        <v>8</v>
      </c>
      <c r="G64" s="12">
        <v>76.25</v>
      </c>
      <c r="H64" s="77">
        <f t="shared" si="5"/>
        <v>0.61</v>
      </c>
      <c r="I64" s="12">
        <v>0</v>
      </c>
      <c r="J64" s="62"/>
      <c r="L64" s="19"/>
      <c r="M64" s="20"/>
      <c r="N64" s="28"/>
    </row>
    <row r="65" spans="1:22" s="35" customFormat="1" ht="15.75" hidden="1" customHeight="1">
      <c r="A65" s="26">
        <v>28</v>
      </c>
      <c r="B65" s="142" t="s">
        <v>48</v>
      </c>
      <c r="C65" s="186" t="s">
        <v>115</v>
      </c>
      <c r="D65" s="36" t="s">
        <v>53</v>
      </c>
      <c r="E65" s="138">
        <v>23267</v>
      </c>
      <c r="F65" s="168">
        <f>SUM(E65/100)</f>
        <v>232.67</v>
      </c>
      <c r="G65" s="34">
        <v>289.37</v>
      </c>
      <c r="H65" s="77">
        <f t="shared" si="5"/>
        <v>67.32771790000001</v>
      </c>
      <c r="I65" s="12">
        <f>F65*G65</f>
        <v>67327.717900000003</v>
      </c>
      <c r="J65" s="62"/>
      <c r="L65" s="19"/>
      <c r="M65" s="20"/>
      <c r="N65" s="28"/>
    </row>
    <row r="66" spans="1:22" s="35" customFormat="1" ht="15.75" hidden="1" customHeight="1">
      <c r="A66" s="26">
        <v>29</v>
      </c>
      <c r="B66" s="142" t="s">
        <v>49</v>
      </c>
      <c r="C66" s="37" t="s">
        <v>116</v>
      </c>
      <c r="D66" s="36"/>
      <c r="E66" s="138">
        <v>23267</v>
      </c>
      <c r="F66" s="34">
        <f>SUM(E66/1000)</f>
        <v>23.266999999999999</v>
      </c>
      <c r="G66" s="34">
        <v>225.35</v>
      </c>
      <c r="H66" s="77">
        <f t="shared" si="5"/>
        <v>5.2432184499999996</v>
      </c>
      <c r="I66" s="12">
        <f>F66*G66</f>
        <v>5243.2184499999994</v>
      </c>
      <c r="J66" s="62"/>
      <c r="L66" s="19"/>
      <c r="M66" s="20"/>
      <c r="N66" s="28"/>
    </row>
    <row r="67" spans="1:22" s="35" customFormat="1" ht="15.75" hidden="1" customHeight="1">
      <c r="A67" s="26">
        <v>30</v>
      </c>
      <c r="B67" s="142" t="s">
        <v>50</v>
      </c>
      <c r="C67" s="37" t="s">
        <v>74</v>
      </c>
      <c r="D67" s="36" t="s">
        <v>53</v>
      </c>
      <c r="E67" s="138">
        <v>3145</v>
      </c>
      <c r="F67" s="34">
        <f>SUM(E67/100)</f>
        <v>31.45</v>
      </c>
      <c r="G67" s="34">
        <v>2829.78</v>
      </c>
      <c r="H67" s="77">
        <f t="shared" si="5"/>
        <v>88.996581000000006</v>
      </c>
      <c r="I67" s="12">
        <f>F67*G67</f>
        <v>88996.581000000006</v>
      </c>
      <c r="J67" s="62"/>
      <c r="L67" s="19"/>
    </row>
    <row r="68" spans="1:22" s="35" customFormat="1" ht="15.75" hidden="1" customHeight="1">
      <c r="A68" s="26">
        <v>31</v>
      </c>
      <c r="B68" s="187" t="s">
        <v>117</v>
      </c>
      <c r="C68" s="37" t="s">
        <v>33</v>
      </c>
      <c r="D68" s="36"/>
      <c r="E68" s="138">
        <v>20.3</v>
      </c>
      <c r="F68" s="34">
        <f>SUM(E68)</f>
        <v>20.3</v>
      </c>
      <c r="G68" s="34">
        <v>44.31</v>
      </c>
      <c r="H68" s="77">
        <f t="shared" si="5"/>
        <v>0.8994930000000001</v>
      </c>
      <c r="I68" s="12">
        <f>F68*G68</f>
        <v>899.49300000000005</v>
      </c>
    </row>
    <row r="69" spans="1:22" s="35" customFormat="1" ht="15.75" hidden="1" customHeight="1">
      <c r="A69" s="26">
        <v>32</v>
      </c>
      <c r="B69" s="187" t="s">
        <v>137</v>
      </c>
      <c r="C69" s="37" t="s">
        <v>33</v>
      </c>
      <c r="D69" s="36"/>
      <c r="E69" s="138">
        <v>20.3</v>
      </c>
      <c r="F69" s="34">
        <f>SUM(E69)</f>
        <v>20.3</v>
      </c>
      <c r="G69" s="34">
        <v>47.79</v>
      </c>
      <c r="H69" s="77">
        <f t="shared" si="5"/>
        <v>0.97013700000000003</v>
      </c>
      <c r="I69" s="12">
        <f>F69*G69</f>
        <v>970.13700000000006</v>
      </c>
    </row>
    <row r="70" spans="1:22" s="35" customFormat="1" ht="14.25" hidden="1" customHeight="1">
      <c r="A70" s="26">
        <v>13</v>
      </c>
      <c r="B70" s="14" t="s">
        <v>56</v>
      </c>
      <c r="C70" s="16" t="s">
        <v>57</v>
      </c>
      <c r="D70" s="14" t="s">
        <v>53</v>
      </c>
      <c r="E70" s="18">
        <v>5</v>
      </c>
      <c r="F70" s="87">
        <f>SUM(E70)</f>
        <v>5</v>
      </c>
      <c r="G70" s="12">
        <v>49.88</v>
      </c>
      <c r="H70" s="77">
        <f t="shared" si="5"/>
        <v>0.24940000000000001</v>
      </c>
      <c r="I70" s="12">
        <v>0</v>
      </c>
    </row>
    <row r="71" spans="1:22" s="35" customFormat="1" ht="14.25" customHeight="1">
      <c r="A71" s="26"/>
      <c r="B71" s="129" t="s">
        <v>160</v>
      </c>
      <c r="C71" s="159"/>
      <c r="D71" s="129"/>
      <c r="E71" s="160"/>
      <c r="F71" s="161"/>
      <c r="G71" s="162"/>
      <c r="H71" s="77"/>
      <c r="I71" s="12"/>
    </row>
    <row r="72" spans="1:22" s="35" customFormat="1" ht="30.75" customHeight="1">
      <c r="A72" s="26">
        <v>18</v>
      </c>
      <c r="B72" s="36" t="s">
        <v>161</v>
      </c>
      <c r="C72" s="40" t="s">
        <v>162</v>
      </c>
      <c r="D72" s="36"/>
      <c r="E72" s="17">
        <v>5916.3</v>
      </c>
      <c r="F72" s="34">
        <f>E72*12</f>
        <v>70995.600000000006</v>
      </c>
      <c r="G72" s="34">
        <v>2.37</v>
      </c>
      <c r="H72" s="77"/>
      <c r="I72" s="12">
        <f>G72*F72/12</f>
        <v>14021.631000000001</v>
      </c>
    </row>
    <row r="73" spans="1:22" s="35" customFormat="1" ht="15" hidden="1" customHeight="1">
      <c r="A73" s="52"/>
      <c r="B73" s="69" t="s">
        <v>118</v>
      </c>
      <c r="C73" s="69"/>
      <c r="D73" s="69"/>
      <c r="E73" s="69"/>
      <c r="F73" s="69"/>
      <c r="G73" s="69"/>
      <c r="H73" s="69"/>
      <c r="I73" s="18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63"/>
    </row>
    <row r="74" spans="1:22" s="35" customFormat="1" ht="15" hidden="1" customHeight="1">
      <c r="A74" s="26">
        <v>18</v>
      </c>
      <c r="B74" s="84" t="s">
        <v>119</v>
      </c>
      <c r="C74" s="16"/>
      <c r="D74" s="14"/>
      <c r="E74" s="73"/>
      <c r="F74" s="12">
        <v>1</v>
      </c>
      <c r="G74" s="12">
        <v>27750</v>
      </c>
      <c r="H74" s="77">
        <f>G74*F74/1000</f>
        <v>27.75</v>
      </c>
      <c r="I74" s="12">
        <f>G74</f>
        <v>27750</v>
      </c>
      <c r="J74" s="64"/>
      <c r="K74" s="64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8.75" customHeight="1">
      <c r="A75" s="26"/>
      <c r="B75" s="48" t="s">
        <v>70</v>
      </c>
      <c r="C75" s="48"/>
      <c r="D75" s="48"/>
      <c r="E75" s="18"/>
      <c r="F75" s="18"/>
      <c r="G75" s="26"/>
      <c r="H75" s="26"/>
      <c r="I75" s="18"/>
      <c r="J75" s="55"/>
      <c r="K75" s="55"/>
      <c r="L75" s="55"/>
      <c r="M75" s="55"/>
      <c r="N75" s="55"/>
      <c r="O75" s="55"/>
      <c r="P75" s="55"/>
      <c r="Q75" s="55"/>
      <c r="S75" s="55"/>
      <c r="T75" s="55"/>
      <c r="U75" s="55"/>
    </row>
    <row r="76" spans="1:22" s="35" customFormat="1" ht="21.75" hidden="1" customHeight="1">
      <c r="A76" s="26">
        <v>19</v>
      </c>
      <c r="B76" s="14" t="s">
        <v>71</v>
      </c>
      <c r="C76" s="16" t="s">
        <v>31</v>
      </c>
      <c r="D76" s="14"/>
      <c r="E76" s="18">
        <v>10</v>
      </c>
      <c r="F76" s="72">
        <v>1</v>
      </c>
      <c r="G76" s="12">
        <v>501.62</v>
      </c>
      <c r="H76" s="77">
        <f>F76*G76/1000</f>
        <v>0.50161999999999995</v>
      </c>
      <c r="I76" s="12">
        <f>G76*0.2</f>
        <v>100.32400000000001</v>
      </c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1.75" hidden="1" customHeight="1">
      <c r="A77" s="26">
        <v>20</v>
      </c>
      <c r="B77" s="14" t="s">
        <v>83</v>
      </c>
      <c r="C77" s="16" t="s">
        <v>30</v>
      </c>
      <c r="D77" s="14"/>
      <c r="E77" s="18">
        <v>1</v>
      </c>
      <c r="F77" s="87">
        <v>1</v>
      </c>
      <c r="G77" s="12">
        <v>358.51</v>
      </c>
      <c r="H77" s="77">
        <f>F77*G77/1000</f>
        <v>0.35851</v>
      </c>
      <c r="I77" s="12">
        <f>G77</f>
        <v>358.51</v>
      </c>
      <c r="J77" s="56"/>
      <c r="K77" s="56"/>
      <c r="L77" s="56"/>
      <c r="M77" s="56"/>
      <c r="N77" s="56"/>
      <c r="O77" s="56"/>
      <c r="P77" s="56"/>
      <c r="Q77" s="56"/>
      <c r="R77" s="233"/>
      <c r="S77" s="233"/>
      <c r="T77" s="233"/>
      <c r="U77" s="233"/>
    </row>
    <row r="78" spans="1:22" s="35" customFormat="1" ht="23.25" hidden="1" customHeight="1">
      <c r="A78" s="26">
        <v>20</v>
      </c>
      <c r="B78" s="14" t="s">
        <v>72</v>
      </c>
      <c r="C78" s="16" t="s">
        <v>30</v>
      </c>
      <c r="D78" s="14"/>
      <c r="E78" s="18">
        <v>1</v>
      </c>
      <c r="F78" s="12">
        <v>1</v>
      </c>
      <c r="G78" s="12">
        <v>852.99</v>
      </c>
      <c r="H78" s="77">
        <f>F78*G78/1000</f>
        <v>0.85299000000000003</v>
      </c>
      <c r="I78" s="12">
        <v>0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1:22" s="35" customFormat="1" ht="30" customHeight="1">
      <c r="A79" s="26">
        <v>19</v>
      </c>
      <c r="B79" s="36" t="s">
        <v>164</v>
      </c>
      <c r="C79" s="37" t="s">
        <v>114</v>
      </c>
      <c r="D79" s="36" t="s">
        <v>201</v>
      </c>
      <c r="E79" s="17">
        <v>1</v>
      </c>
      <c r="F79" s="34">
        <f>E79*12</f>
        <v>12</v>
      </c>
      <c r="G79" s="34">
        <v>55.55</v>
      </c>
      <c r="H79" s="77"/>
      <c r="I79" s="12">
        <f>G79*F79/12</f>
        <v>55.54999999999999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21.75" hidden="1" customHeight="1">
      <c r="A80" s="26"/>
      <c r="B80" s="49" t="s">
        <v>73</v>
      </c>
      <c r="C80" s="37"/>
      <c r="D80" s="26"/>
      <c r="E80" s="18"/>
      <c r="F80" s="18"/>
      <c r="G80" s="34" t="s">
        <v>130</v>
      </c>
      <c r="H80" s="34"/>
      <c r="I80" s="18"/>
    </row>
    <row r="81" spans="1:9" s="35" customFormat="1" ht="15.75" hidden="1" customHeight="1">
      <c r="A81" s="26">
        <v>39</v>
      </c>
      <c r="B81" s="51" t="s">
        <v>120</v>
      </c>
      <c r="C81" s="16" t="s">
        <v>74</v>
      </c>
      <c r="D81" s="14"/>
      <c r="E81" s="18"/>
      <c r="F81" s="12">
        <v>1.35</v>
      </c>
      <c r="G81" s="12">
        <v>2759.44</v>
      </c>
      <c r="H81" s="77">
        <f>SUM(F81*G81/1000)</f>
        <v>3.725244</v>
      </c>
      <c r="I81" s="12">
        <v>0</v>
      </c>
    </row>
    <row r="82" spans="1:9" s="35" customFormat="1" ht="15.75" customHeight="1">
      <c r="A82" s="225" t="s">
        <v>140</v>
      </c>
      <c r="B82" s="226"/>
      <c r="C82" s="226"/>
      <c r="D82" s="226"/>
      <c r="E82" s="226"/>
      <c r="F82" s="226"/>
      <c r="G82" s="226"/>
      <c r="H82" s="226"/>
      <c r="I82" s="227"/>
    </row>
    <row r="83" spans="1:9" s="35" customFormat="1" ht="15.75" customHeight="1">
      <c r="A83" s="26">
        <v>20</v>
      </c>
      <c r="B83" s="30" t="s">
        <v>121</v>
      </c>
      <c r="C83" s="37" t="s">
        <v>54</v>
      </c>
      <c r="D83" s="167"/>
      <c r="E83" s="34">
        <v>5916.3</v>
      </c>
      <c r="F83" s="34">
        <f>SUM(E83*12)</f>
        <v>70995.600000000006</v>
      </c>
      <c r="G83" s="34">
        <v>3.22</v>
      </c>
      <c r="H83" s="77">
        <f>SUM(F83*G83/1000)</f>
        <v>228.60583200000002</v>
      </c>
      <c r="I83" s="12">
        <f>F83/12*G83</f>
        <v>19050.486000000001</v>
      </c>
    </row>
    <row r="84" spans="1:9" s="35" customFormat="1" ht="31.5" customHeight="1">
      <c r="A84" s="26">
        <v>21</v>
      </c>
      <c r="B84" s="36" t="s">
        <v>75</v>
      </c>
      <c r="C84" s="37"/>
      <c r="D84" s="57"/>
      <c r="E84" s="138">
        <f>E83</f>
        <v>5916.3</v>
      </c>
      <c r="F84" s="34">
        <f>E84*12</f>
        <v>70995.600000000006</v>
      </c>
      <c r="G84" s="34">
        <v>3.64</v>
      </c>
      <c r="H84" s="77">
        <f>F84*G84/1000</f>
        <v>258.42398400000002</v>
      </c>
      <c r="I84" s="12">
        <f>F84/12*G84</f>
        <v>21535.332000000002</v>
      </c>
    </row>
    <row r="85" spans="1:9" s="35" customFormat="1" ht="15.75" customHeight="1">
      <c r="A85" s="52"/>
      <c r="B85" s="38" t="s">
        <v>77</v>
      </c>
      <c r="C85" s="40"/>
      <c r="D85" s="15"/>
      <c r="E85" s="15"/>
      <c r="F85" s="15"/>
      <c r="G85" s="18"/>
      <c r="H85" s="18"/>
      <c r="I85" s="29">
        <f>I84+I83+I79+I72+I60+I52+I51+I50+I49+I48+I47+I46+I45+I33+I32+I31+I30+I27+I18+I17+I16</f>
        <v>108784.24716616665</v>
      </c>
    </row>
    <row r="86" spans="1:9" s="35" customFormat="1" ht="15.75" customHeight="1">
      <c r="A86" s="228" t="s">
        <v>59</v>
      </c>
      <c r="B86" s="229"/>
      <c r="C86" s="229"/>
      <c r="D86" s="229"/>
      <c r="E86" s="229"/>
      <c r="F86" s="229"/>
      <c r="G86" s="229"/>
      <c r="H86" s="229"/>
      <c r="I86" s="230"/>
    </row>
    <row r="87" spans="1:9" s="35" customFormat="1" ht="15.75" customHeight="1">
      <c r="A87" s="26">
        <v>22</v>
      </c>
      <c r="B87" s="58" t="s">
        <v>156</v>
      </c>
      <c r="C87" s="59" t="s">
        <v>170</v>
      </c>
      <c r="D87" s="57" t="s">
        <v>332</v>
      </c>
      <c r="E87" s="34"/>
      <c r="F87" s="34">
        <v>18</v>
      </c>
      <c r="G87" s="34">
        <v>284</v>
      </c>
      <c r="H87" s="77">
        <f>G87*F87/1000</f>
        <v>5.1120000000000001</v>
      </c>
      <c r="I87" s="12">
        <v>0</v>
      </c>
    </row>
    <row r="88" spans="1:9" s="35" customFormat="1" ht="15.75" customHeight="1">
      <c r="A88" s="26">
        <v>23</v>
      </c>
      <c r="B88" s="58" t="s">
        <v>158</v>
      </c>
      <c r="C88" s="59" t="s">
        <v>80</v>
      </c>
      <c r="D88" s="57" t="s">
        <v>233</v>
      </c>
      <c r="E88" s="34"/>
      <c r="F88" s="34">
        <v>2</v>
      </c>
      <c r="G88" s="34">
        <v>222.63</v>
      </c>
      <c r="H88" s="77"/>
      <c r="I88" s="12">
        <f>G88*1</f>
        <v>222.63</v>
      </c>
    </row>
    <row r="89" spans="1:9" s="35" customFormat="1" ht="15.75" customHeight="1">
      <c r="A89" s="26">
        <v>24</v>
      </c>
      <c r="B89" s="58" t="s">
        <v>184</v>
      </c>
      <c r="C89" s="59" t="s">
        <v>185</v>
      </c>
      <c r="D89" s="57" t="s">
        <v>194</v>
      </c>
      <c r="E89" s="34"/>
      <c r="F89" s="34">
        <v>0.03</v>
      </c>
      <c r="G89" s="34">
        <v>27139.18</v>
      </c>
      <c r="H89" s="77"/>
      <c r="I89" s="12">
        <v>0</v>
      </c>
    </row>
    <row r="90" spans="1:9" s="35" customFormat="1" ht="36.75" customHeight="1">
      <c r="A90" s="26">
        <v>25</v>
      </c>
      <c r="B90" s="58" t="s">
        <v>171</v>
      </c>
      <c r="C90" s="59" t="s">
        <v>172</v>
      </c>
      <c r="D90" s="57" t="s">
        <v>234</v>
      </c>
      <c r="E90" s="34"/>
      <c r="F90" s="34">
        <v>1</v>
      </c>
      <c r="G90" s="34">
        <v>61.58</v>
      </c>
      <c r="H90" s="77"/>
      <c r="I90" s="12">
        <f>G90*1</f>
        <v>61.58</v>
      </c>
    </row>
    <row r="91" spans="1:9" s="35" customFormat="1" ht="15.75" customHeight="1">
      <c r="A91" s="26"/>
      <c r="B91" s="45" t="s">
        <v>51</v>
      </c>
      <c r="C91" s="41"/>
      <c r="D91" s="53"/>
      <c r="E91" s="41">
        <v>1</v>
      </c>
      <c r="F91" s="41"/>
      <c r="G91" s="41"/>
      <c r="H91" s="41"/>
      <c r="I91" s="29">
        <f>SUM(I87:I90)</f>
        <v>284.20999999999998</v>
      </c>
    </row>
    <row r="92" spans="1:9" s="35" customFormat="1" ht="15.75" customHeight="1">
      <c r="A92" s="26"/>
      <c r="B92" s="51" t="s">
        <v>76</v>
      </c>
      <c r="C92" s="15"/>
      <c r="D92" s="15"/>
      <c r="E92" s="42"/>
      <c r="F92" s="42"/>
      <c r="G92" s="43"/>
      <c r="H92" s="43"/>
      <c r="I92" s="17">
        <v>0</v>
      </c>
    </row>
    <row r="93" spans="1:9" s="35" customFormat="1" ht="15.75" customHeight="1">
      <c r="A93" s="54"/>
      <c r="B93" s="46" t="s">
        <v>141</v>
      </c>
      <c r="C93" s="32"/>
      <c r="D93" s="32"/>
      <c r="E93" s="32"/>
      <c r="F93" s="32"/>
      <c r="G93" s="32"/>
      <c r="H93" s="32"/>
      <c r="I93" s="44">
        <f>I85+I91</f>
        <v>109068.45716616666</v>
      </c>
    </row>
    <row r="94" spans="1:9" ht="15.75" customHeight="1">
      <c r="A94" s="231" t="s">
        <v>333</v>
      </c>
      <c r="B94" s="231"/>
      <c r="C94" s="231"/>
      <c r="D94" s="231"/>
      <c r="E94" s="231"/>
      <c r="F94" s="231"/>
      <c r="G94" s="231"/>
      <c r="H94" s="231"/>
      <c r="I94" s="231"/>
    </row>
    <row r="95" spans="1:9" ht="15.75" customHeight="1">
      <c r="A95" s="71"/>
      <c r="B95" s="232" t="s">
        <v>334</v>
      </c>
      <c r="C95" s="232"/>
      <c r="D95" s="232"/>
      <c r="E95" s="232"/>
      <c r="F95" s="232"/>
      <c r="G95" s="232"/>
      <c r="H95" s="76"/>
      <c r="I95" s="3"/>
    </row>
    <row r="96" spans="1:9" ht="15.75" customHeight="1">
      <c r="A96" s="65"/>
      <c r="B96" s="218" t="s">
        <v>6</v>
      </c>
      <c r="C96" s="218"/>
      <c r="D96" s="218"/>
      <c r="E96" s="218"/>
      <c r="F96" s="218"/>
      <c r="G96" s="218"/>
      <c r="H96" s="21"/>
      <c r="I96" s="5"/>
    </row>
    <row r="97" spans="1:9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spans="1:9" ht="15.75" customHeight="1">
      <c r="A98" s="219" t="s">
        <v>7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9" t="s">
        <v>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20" t="s">
        <v>60</v>
      </c>
      <c r="B100" s="220"/>
      <c r="C100" s="220"/>
      <c r="D100" s="220"/>
      <c r="E100" s="220"/>
      <c r="F100" s="220"/>
      <c r="G100" s="220"/>
      <c r="H100" s="220"/>
      <c r="I100" s="220"/>
    </row>
    <row r="101" spans="1:9" ht="15.75" customHeight="1">
      <c r="A101" s="10"/>
    </row>
    <row r="102" spans="1:9" ht="15.75" customHeight="1">
      <c r="A102" s="213" t="s">
        <v>9</v>
      </c>
      <c r="B102" s="213"/>
      <c r="C102" s="213"/>
      <c r="D102" s="213"/>
      <c r="E102" s="213"/>
      <c r="F102" s="213"/>
      <c r="G102" s="213"/>
      <c r="H102" s="213"/>
      <c r="I102" s="213"/>
    </row>
    <row r="103" spans="1:9" ht="15.75" customHeight="1">
      <c r="A103" s="4"/>
    </row>
    <row r="104" spans="1:9" ht="15.75" customHeight="1">
      <c r="B104" s="70" t="s">
        <v>10</v>
      </c>
      <c r="C104" s="214" t="s">
        <v>84</v>
      </c>
      <c r="D104" s="214"/>
      <c r="E104" s="214"/>
      <c r="F104" s="74"/>
      <c r="I104" s="67"/>
    </row>
    <row r="105" spans="1:9" ht="15.75" customHeight="1">
      <c r="A105" s="65"/>
      <c r="C105" s="218" t="s">
        <v>11</v>
      </c>
      <c r="D105" s="218"/>
      <c r="E105" s="218"/>
      <c r="F105" s="21"/>
      <c r="I105" s="66" t="s">
        <v>12</v>
      </c>
    </row>
    <row r="106" spans="1:9" ht="15.75" customHeight="1">
      <c r="A106" s="22"/>
      <c r="C106" s="11"/>
      <c r="D106" s="11"/>
      <c r="G106" s="11"/>
      <c r="H106" s="11"/>
    </row>
    <row r="107" spans="1:9" ht="15.75" customHeight="1">
      <c r="B107" s="70" t="s">
        <v>13</v>
      </c>
      <c r="C107" s="215"/>
      <c r="D107" s="215"/>
      <c r="E107" s="215"/>
      <c r="F107" s="75"/>
      <c r="I107" s="67"/>
    </row>
    <row r="108" spans="1:9" ht="15.75" customHeight="1">
      <c r="A108" s="65"/>
      <c r="C108" s="216" t="s">
        <v>11</v>
      </c>
      <c r="D108" s="216"/>
      <c r="E108" s="216"/>
      <c r="F108" s="65"/>
      <c r="I108" s="66" t="s">
        <v>12</v>
      </c>
    </row>
    <row r="109" spans="1:9" ht="15.75" customHeight="1">
      <c r="A109" s="4" t="s">
        <v>14</v>
      </c>
    </row>
    <row r="110" spans="1:9">
      <c r="A110" s="217" t="s">
        <v>15</v>
      </c>
      <c r="B110" s="217"/>
      <c r="C110" s="217"/>
      <c r="D110" s="217"/>
      <c r="E110" s="217"/>
      <c r="F110" s="217"/>
      <c r="G110" s="217"/>
      <c r="H110" s="217"/>
      <c r="I110" s="217"/>
    </row>
    <row r="111" spans="1:9" ht="45" customHeight="1">
      <c r="A111" s="212" t="s">
        <v>16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30" customHeight="1">
      <c r="A112" s="212" t="s">
        <v>17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0" customHeight="1">
      <c r="A113" s="212" t="s">
        <v>21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14.25" customHeight="1">
      <c r="A114" s="212" t="s">
        <v>20</v>
      </c>
      <c r="B114" s="212"/>
      <c r="C114" s="212"/>
      <c r="D114" s="212"/>
      <c r="E114" s="212"/>
      <c r="F114" s="212"/>
      <c r="G114" s="212"/>
      <c r="H114" s="212"/>
      <c r="I114" s="212"/>
    </row>
  </sheetData>
  <autoFilter ref="I12:I69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7:U77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5"/>
  <sheetViews>
    <sheetView view="pageBreakPreview" topLeftCell="A83" zoomScale="60" workbookViewId="0">
      <selection activeCell="I89" sqref="I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148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235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44012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200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customHeight="1">
      <c r="A19" s="26">
        <v>4</v>
      </c>
      <c r="B19" s="30" t="s">
        <v>99</v>
      </c>
      <c r="C19" s="39" t="s">
        <v>100</v>
      </c>
      <c r="D19" s="30" t="s">
        <v>203</v>
      </c>
      <c r="E19" s="138">
        <v>51.2</v>
      </c>
      <c r="F19" s="110">
        <f>SUM(E19/10)</f>
        <v>5.12</v>
      </c>
      <c r="G19" s="110">
        <v>232.1</v>
      </c>
      <c r="H19" s="88">
        <f t="shared" si="0"/>
        <v>1.1883520000000001</v>
      </c>
      <c r="I19" s="12">
        <f>F19/1*G19</f>
        <v>1188.3520000000001</v>
      </c>
      <c r="J19" s="61"/>
      <c r="K19" s="60"/>
      <c r="L19" s="60"/>
      <c r="M19" s="60"/>
    </row>
    <row r="20" spans="1:13" s="35" customFormat="1" ht="15.75" customHeight="1">
      <c r="A20" s="26">
        <v>5</v>
      </c>
      <c r="B20" s="30" t="s">
        <v>90</v>
      </c>
      <c r="C20" s="39" t="s">
        <v>98</v>
      </c>
      <c r="D20" s="30" t="s">
        <v>194</v>
      </c>
      <c r="E20" s="138">
        <v>57.5</v>
      </c>
      <c r="F20" s="110">
        <f>SUM(E20/100)</f>
        <v>0.57499999999999996</v>
      </c>
      <c r="G20" s="110">
        <v>297.19</v>
      </c>
      <c r="H20" s="88">
        <f t="shared" si="0"/>
        <v>0.17088424999999999</v>
      </c>
      <c r="I20" s="12">
        <f>F20*G20</f>
        <v>170.88424999999998</v>
      </c>
      <c r="J20" s="61"/>
      <c r="K20" s="60"/>
      <c r="L20" s="60"/>
      <c r="M20" s="60"/>
    </row>
    <row r="21" spans="1:13" s="35" customFormat="1" ht="15.75" customHeight="1">
      <c r="A21" s="26">
        <v>6</v>
      </c>
      <c r="B21" s="30" t="s">
        <v>91</v>
      </c>
      <c r="C21" s="39" t="s">
        <v>98</v>
      </c>
      <c r="D21" s="30" t="s">
        <v>201</v>
      </c>
      <c r="E21" s="138">
        <v>13.41</v>
      </c>
      <c r="F21" s="110">
        <f>SUM(E21/100)</f>
        <v>0.1341</v>
      </c>
      <c r="G21" s="110">
        <v>294.77999999999997</v>
      </c>
      <c r="H21" s="88">
        <f t="shared" si="0"/>
        <v>3.952999799999999E-2</v>
      </c>
      <c r="I21" s="12">
        <f t="shared" ref="I21:I26" si="1">F21*G21</f>
        <v>39.529997999999992</v>
      </c>
      <c r="J21" s="61"/>
      <c r="K21" s="60"/>
      <c r="L21" s="60"/>
      <c r="M21" s="60"/>
    </row>
    <row r="22" spans="1:13" s="35" customFormat="1" ht="15.75" customHeight="1">
      <c r="A22" s="26">
        <v>7</v>
      </c>
      <c r="B22" s="30" t="s">
        <v>102</v>
      </c>
      <c r="C22" s="39" t="s">
        <v>52</v>
      </c>
      <c r="D22" s="30" t="s">
        <v>204</v>
      </c>
      <c r="E22" s="138">
        <v>1025.5999999999999</v>
      </c>
      <c r="F22" s="110">
        <f>SUM(E22/100)</f>
        <v>10.255999999999998</v>
      </c>
      <c r="G22" s="110">
        <v>367.27</v>
      </c>
      <c r="H22" s="88">
        <f t="shared" si="0"/>
        <v>3.7667211199999993</v>
      </c>
      <c r="I22" s="12">
        <f t="shared" si="1"/>
        <v>3766.7211199999992</v>
      </c>
      <c r="J22" s="61"/>
      <c r="K22" s="60"/>
      <c r="L22" s="60"/>
      <c r="M22" s="60"/>
    </row>
    <row r="23" spans="1:13" s="35" customFormat="1" ht="15.75" customHeight="1">
      <c r="A23" s="26">
        <v>8</v>
      </c>
      <c r="B23" s="30" t="s">
        <v>103</v>
      </c>
      <c r="C23" s="39" t="s">
        <v>52</v>
      </c>
      <c r="D23" s="30" t="s">
        <v>204</v>
      </c>
      <c r="E23" s="183">
        <v>60.5</v>
      </c>
      <c r="F23" s="110">
        <f>SUM(E23/100)</f>
        <v>0.60499999999999998</v>
      </c>
      <c r="G23" s="110">
        <v>60.41</v>
      </c>
      <c r="H23" s="88">
        <f t="shared" si="0"/>
        <v>3.6548049999999999E-2</v>
      </c>
      <c r="I23" s="12">
        <f t="shared" si="1"/>
        <v>36.548049999999996</v>
      </c>
      <c r="J23" s="61"/>
      <c r="K23" s="60"/>
      <c r="L23" s="60"/>
      <c r="M23" s="60"/>
    </row>
    <row r="24" spans="1:13" s="35" customFormat="1" ht="15.75" customHeight="1">
      <c r="A24" s="26">
        <v>9</v>
      </c>
      <c r="B24" s="30" t="s">
        <v>94</v>
      </c>
      <c r="C24" s="39" t="s">
        <v>52</v>
      </c>
      <c r="D24" s="30" t="s">
        <v>194</v>
      </c>
      <c r="E24" s="184">
        <v>19.149999999999999</v>
      </c>
      <c r="F24" s="110">
        <f>E24/100</f>
        <v>0.19149999999999998</v>
      </c>
      <c r="G24" s="110">
        <v>531.55999999999995</v>
      </c>
      <c r="H24" s="88">
        <f>G24*F24/100</f>
        <v>1.0179373999999997</v>
      </c>
      <c r="I24" s="12">
        <f t="shared" si="1"/>
        <v>101.79373999999997</v>
      </c>
      <c r="J24" s="61"/>
      <c r="K24" s="60"/>
      <c r="L24" s="60"/>
      <c r="M24" s="60"/>
    </row>
    <row r="25" spans="1:13" s="35" customFormat="1" ht="31.5" customHeight="1">
      <c r="A25" s="26">
        <v>10</v>
      </c>
      <c r="B25" s="30" t="s">
        <v>123</v>
      </c>
      <c r="C25" s="39" t="s">
        <v>52</v>
      </c>
      <c r="D25" s="30" t="s">
        <v>201</v>
      </c>
      <c r="E25" s="185">
        <v>31.5</v>
      </c>
      <c r="F25" s="110">
        <f>E25/100</f>
        <v>0.315</v>
      </c>
      <c r="G25" s="110">
        <v>294.77999999999997</v>
      </c>
      <c r="H25" s="88">
        <f>G25*F25/1000</f>
        <v>9.2855699999999999E-2</v>
      </c>
      <c r="I25" s="12">
        <f t="shared" si="1"/>
        <v>92.855699999999999</v>
      </c>
      <c r="J25" s="61"/>
      <c r="K25" s="60"/>
      <c r="L25" s="60"/>
      <c r="M25" s="60"/>
    </row>
    <row r="26" spans="1:13" s="35" customFormat="1" ht="15.75" customHeight="1">
      <c r="A26" s="26">
        <v>11</v>
      </c>
      <c r="B26" s="30" t="s">
        <v>95</v>
      </c>
      <c r="C26" s="39" t="s">
        <v>52</v>
      </c>
      <c r="D26" s="30" t="s">
        <v>201</v>
      </c>
      <c r="E26" s="138">
        <v>37.5</v>
      </c>
      <c r="F26" s="110">
        <f>SUM(E26/100)</f>
        <v>0.375</v>
      </c>
      <c r="G26" s="110">
        <v>710.37</v>
      </c>
      <c r="H26" s="88">
        <f t="shared" si="0"/>
        <v>0.26638875000000001</v>
      </c>
      <c r="I26" s="12">
        <f t="shared" si="1"/>
        <v>266.38875000000002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193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193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105</v>
      </c>
      <c r="D32" s="30" t="s">
        <v>53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132</v>
      </c>
      <c r="C33" s="39" t="s">
        <v>39</v>
      </c>
      <c r="D33" s="30" t="s">
        <v>197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2" t="s">
        <v>138</v>
      </c>
      <c r="B44" s="223"/>
      <c r="C44" s="223"/>
      <c r="D44" s="223"/>
      <c r="E44" s="223"/>
      <c r="F44" s="223"/>
      <c r="G44" s="223"/>
      <c r="H44" s="223"/>
      <c r="I44" s="224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111</v>
      </c>
      <c r="C45" s="85" t="s">
        <v>105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105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105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105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105</v>
      </c>
      <c r="D49" s="84" t="s">
        <v>135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112</v>
      </c>
      <c r="C50" s="85" t="s">
        <v>105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113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customHeight="1">
      <c r="A53" s="40">
        <v>8</v>
      </c>
      <c r="B53" s="30" t="s">
        <v>40</v>
      </c>
      <c r="C53" s="39" t="s">
        <v>114</v>
      </c>
      <c r="D53" s="193">
        <v>43987</v>
      </c>
      <c r="E53" s="138">
        <v>198</v>
      </c>
      <c r="F53" s="110">
        <f>SUM(E53)*3</f>
        <v>594</v>
      </c>
      <c r="G53" s="168">
        <v>89.59</v>
      </c>
      <c r="H53" s="88">
        <f t="shared" si="4"/>
        <v>53.216459999999998</v>
      </c>
      <c r="I53" s="12">
        <f>E53*G53</f>
        <v>17738.82</v>
      </c>
      <c r="J53" s="62"/>
      <c r="L53" s="19"/>
      <c r="M53" s="20"/>
      <c r="N53" s="28"/>
    </row>
    <row r="54" spans="1:14" s="35" customFormat="1" ht="15.75" customHeight="1">
      <c r="A54" s="222" t="s">
        <v>139</v>
      </c>
      <c r="B54" s="223"/>
      <c r="C54" s="223"/>
      <c r="D54" s="223"/>
      <c r="E54" s="223"/>
      <c r="F54" s="223"/>
      <c r="G54" s="223"/>
      <c r="H54" s="223"/>
      <c r="I54" s="224"/>
      <c r="J54" s="62"/>
      <c r="L54" s="19"/>
      <c r="M54" s="20"/>
      <c r="N54" s="28"/>
    </row>
    <row r="55" spans="1:14" s="35" customFormat="1" ht="16.5" hidden="1" customHeight="1">
      <c r="A55" s="189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15" hidden="1" customHeight="1">
      <c r="A56" s="40">
        <v>16</v>
      </c>
      <c r="B56" s="84" t="s">
        <v>128</v>
      </c>
      <c r="C56" s="85" t="s">
        <v>98</v>
      </c>
      <c r="D56" s="84" t="s">
        <v>129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88</v>
      </c>
      <c r="C57" s="96" t="s">
        <v>98</v>
      </c>
      <c r="D57" s="95" t="s">
        <v>129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4.25" hidden="1" customHeight="1">
      <c r="A58" s="40"/>
      <c r="B58" s="95" t="s">
        <v>92</v>
      </c>
      <c r="C58" s="96" t="s">
        <v>93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4.25" hidden="1" customHeight="1">
      <c r="A59" s="40">
        <v>9</v>
      </c>
      <c r="B59" s="113" t="s">
        <v>187</v>
      </c>
      <c r="C59" s="114" t="s">
        <v>188</v>
      </c>
      <c r="D59" s="113" t="s">
        <v>205</v>
      </c>
      <c r="E59" s="134"/>
      <c r="F59" s="190">
        <v>5</v>
      </c>
      <c r="G59" s="34">
        <v>1645</v>
      </c>
      <c r="H59" s="72"/>
      <c r="I59" s="12">
        <f>G59*3</f>
        <v>4935</v>
      </c>
      <c r="J59" s="62"/>
      <c r="L59" s="19"/>
      <c r="M59" s="20"/>
      <c r="N59" s="28"/>
    </row>
    <row r="60" spans="1:14" s="35" customFormat="1" ht="15.75" customHeight="1">
      <c r="A60" s="40"/>
      <c r="B60" s="188" t="s">
        <v>43</v>
      </c>
      <c r="C60" s="188"/>
      <c r="D60" s="188"/>
      <c r="E60" s="188"/>
      <c r="F60" s="188"/>
      <c r="G60" s="188"/>
      <c r="H60" s="188"/>
      <c r="I60" s="33"/>
      <c r="J60" s="62"/>
      <c r="L60" s="19"/>
      <c r="M60" s="20"/>
      <c r="N60" s="28"/>
    </row>
    <row r="61" spans="1:14" s="35" customFormat="1" ht="15.75" customHeight="1">
      <c r="A61" s="40">
        <v>9</v>
      </c>
      <c r="B61" s="95" t="s">
        <v>89</v>
      </c>
      <c r="C61" s="96" t="s">
        <v>25</v>
      </c>
      <c r="D61" s="95" t="s">
        <v>194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88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12</v>
      </c>
      <c r="B64" s="14" t="s">
        <v>46</v>
      </c>
      <c r="C64" s="16" t="s">
        <v>114</v>
      </c>
      <c r="D64" s="14" t="s">
        <v>194</v>
      </c>
      <c r="E64" s="18">
        <v>10</v>
      </c>
      <c r="F64" s="87">
        <v>10</v>
      </c>
      <c r="G64" s="111">
        <v>303.35000000000002</v>
      </c>
      <c r="H64" s="77">
        <f t="shared" ref="H64:H71" si="5">SUM(F64*G64/1000)</f>
        <v>3.0335000000000001</v>
      </c>
      <c r="I64" s="12">
        <f>G64*1</f>
        <v>303.35000000000002</v>
      </c>
      <c r="J64" s="62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>F66*G66</f>
        <v>49360.940499999997</v>
      </c>
      <c r="J66" s="62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>F67*G67</f>
        <v>3843.9410700000003</v>
      </c>
      <c r="J67" s="62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>F68*G68</f>
        <v>65247.113499999999</v>
      </c>
      <c r="J68" s="62"/>
      <c r="L68" s="19"/>
    </row>
    <row r="69" spans="1:22" s="35" customFormat="1" ht="15.75" hidden="1" customHeight="1">
      <c r="A69" s="26">
        <v>28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>F69*G69</f>
        <v>881.56220000000008</v>
      </c>
    </row>
    <row r="70" spans="1:22" s="35" customFormat="1" ht="17.25" hidden="1" customHeight="1">
      <c r="A70" s="26">
        <v>29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>F70*G70</f>
        <v>822.47460000000001</v>
      </c>
    </row>
    <row r="71" spans="1:22" s="35" customFormat="1" ht="1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16.5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2" s="35" customFormat="1" ht="30.75" customHeight="1">
      <c r="A73" s="26">
        <v>10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20.25" hidden="1" customHeight="1">
      <c r="A74" s="189"/>
      <c r="B74" s="188" t="s">
        <v>118</v>
      </c>
      <c r="C74" s="188"/>
      <c r="D74" s="188"/>
      <c r="E74" s="188"/>
      <c r="F74" s="188"/>
      <c r="G74" s="188"/>
      <c r="H74" s="188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27" hidden="1" customHeight="1">
      <c r="A75" s="26">
        <v>18</v>
      </c>
      <c r="B75" s="84" t="s">
        <v>119</v>
      </c>
      <c r="C75" s="16"/>
      <c r="D75" s="14"/>
      <c r="E75" s="73"/>
      <c r="F75" s="12">
        <v>1</v>
      </c>
      <c r="G75" s="12">
        <v>27750</v>
      </c>
      <c r="H75" s="77">
        <f>G75*F75/1000</f>
        <v>27.75</v>
      </c>
      <c r="I75" s="12">
        <f>G75</f>
        <v>27750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5.5" hidden="1" customHeight="1">
      <c r="A77" s="26">
        <v>19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G77*0.2</f>
        <v>100.32400000000001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0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3"/>
      <c r="S78" s="233"/>
      <c r="T78" s="233"/>
      <c r="U78" s="233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3" customHeight="1">
      <c r="A80" s="26">
        <v>11</v>
      </c>
      <c r="B80" s="36" t="s">
        <v>164</v>
      </c>
      <c r="C80" s="37" t="s">
        <v>114</v>
      </c>
      <c r="D80" s="36" t="s">
        <v>201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13.5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17.25" hidden="1" customHeight="1">
      <c r="A82" s="26">
        <v>39</v>
      </c>
      <c r="B82" s="51" t="s">
        <v>120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5" t="s">
        <v>140</v>
      </c>
      <c r="B83" s="226"/>
      <c r="C83" s="226"/>
      <c r="D83" s="226"/>
      <c r="E83" s="226"/>
      <c r="F83" s="226"/>
      <c r="G83" s="226"/>
      <c r="H83" s="226"/>
      <c r="I83" s="227"/>
    </row>
    <row r="84" spans="1:9" s="35" customFormat="1" ht="15.75" customHeight="1">
      <c r="A84" s="26">
        <v>12</v>
      </c>
      <c r="B84" s="30" t="s">
        <v>121</v>
      </c>
      <c r="C84" s="37" t="s">
        <v>54</v>
      </c>
      <c r="D84" s="167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13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89"/>
      <c r="B86" s="38" t="s">
        <v>77</v>
      </c>
      <c r="C86" s="40"/>
      <c r="D86" s="15"/>
      <c r="E86" s="15"/>
      <c r="F86" s="15"/>
      <c r="G86" s="18"/>
      <c r="H86" s="18"/>
      <c r="I86" s="29">
        <f>I85+I84+I80+I73+I64+I61+I53+I33+I31+I30+I27+I26+I25+I24+I23+I22+I21+I20+I19+I18+I17+I16</f>
        <v>116162.12223066665</v>
      </c>
    </row>
    <row r="87" spans="1:9" s="35" customFormat="1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s="35" customFormat="1" ht="30.75" customHeight="1">
      <c r="A88" s="26">
        <v>14</v>
      </c>
      <c r="B88" s="36" t="s">
        <v>236</v>
      </c>
      <c r="C88" s="37" t="s">
        <v>170</v>
      </c>
      <c r="D88" s="57" t="s">
        <v>238</v>
      </c>
      <c r="E88" s="34"/>
      <c r="F88" s="34">
        <v>2</v>
      </c>
      <c r="G88" s="34">
        <v>1446.64</v>
      </c>
      <c r="H88" s="77">
        <f>G88*F88/1000</f>
        <v>2.8932800000000003</v>
      </c>
      <c r="I88" s="12">
        <f>G88*2</f>
        <v>2893.28</v>
      </c>
    </row>
    <row r="89" spans="1:9" s="35" customFormat="1" ht="15.75" customHeight="1">
      <c r="A89" s="26">
        <v>15</v>
      </c>
      <c r="B89" s="58" t="s">
        <v>156</v>
      </c>
      <c r="C89" s="59" t="s">
        <v>170</v>
      </c>
      <c r="D89" s="57" t="s">
        <v>332</v>
      </c>
      <c r="E89" s="34"/>
      <c r="F89" s="34">
        <v>24</v>
      </c>
      <c r="G89" s="34">
        <v>284</v>
      </c>
      <c r="H89" s="77"/>
      <c r="I89" s="12">
        <v>0</v>
      </c>
    </row>
    <row r="90" spans="1:9" s="35" customFormat="1" ht="46.5" customHeight="1">
      <c r="A90" s="26">
        <v>16</v>
      </c>
      <c r="B90" s="58" t="s">
        <v>158</v>
      </c>
      <c r="C90" s="59" t="s">
        <v>80</v>
      </c>
      <c r="D90" s="36" t="s">
        <v>239</v>
      </c>
      <c r="E90" s="34"/>
      <c r="F90" s="34">
        <v>5</v>
      </c>
      <c r="G90" s="34">
        <v>222.63</v>
      </c>
      <c r="H90" s="77"/>
      <c r="I90" s="12">
        <f>G90*2</f>
        <v>445.26</v>
      </c>
    </row>
    <row r="91" spans="1:9" s="35" customFormat="1" ht="15.75" customHeight="1">
      <c r="A91" s="26">
        <v>17</v>
      </c>
      <c r="B91" s="133" t="s">
        <v>237</v>
      </c>
      <c r="C91" s="40" t="s">
        <v>100</v>
      </c>
      <c r="D91" s="57"/>
      <c r="E91" s="34"/>
      <c r="F91" s="34">
        <v>0.05</v>
      </c>
      <c r="G91" s="34">
        <v>3426.59</v>
      </c>
      <c r="H91" s="77"/>
      <c r="I91" s="12">
        <f>G91*0.05</f>
        <v>171.32950000000002</v>
      </c>
    </row>
    <row r="92" spans="1:9" s="35" customFormat="1" ht="15.75" customHeight="1">
      <c r="A92" s="26"/>
      <c r="B92" s="45" t="s">
        <v>51</v>
      </c>
      <c r="C92" s="41"/>
      <c r="D92" s="53"/>
      <c r="E92" s="41">
        <v>1</v>
      </c>
      <c r="F92" s="41"/>
      <c r="G92" s="41"/>
      <c r="H92" s="41"/>
      <c r="I92" s="29">
        <f>SUM(I88:I91)</f>
        <v>3509.8694999999998</v>
      </c>
    </row>
    <row r="93" spans="1:9" s="35" customFormat="1" ht="15.75" customHeight="1">
      <c r="A93" s="26"/>
      <c r="B93" s="51" t="s">
        <v>76</v>
      </c>
      <c r="C93" s="15"/>
      <c r="D93" s="15"/>
      <c r="E93" s="42"/>
      <c r="F93" s="42"/>
      <c r="G93" s="43"/>
      <c r="H93" s="43"/>
      <c r="I93" s="17">
        <v>0</v>
      </c>
    </row>
    <row r="94" spans="1:9" s="35" customFormat="1" ht="15.75" customHeight="1">
      <c r="A94" s="54"/>
      <c r="B94" s="46" t="s">
        <v>141</v>
      </c>
      <c r="C94" s="32"/>
      <c r="D94" s="32"/>
      <c r="E94" s="32"/>
      <c r="F94" s="32"/>
      <c r="G94" s="32"/>
      <c r="H94" s="32"/>
      <c r="I94" s="44">
        <f>I86+I92</f>
        <v>119671.99173066665</v>
      </c>
    </row>
    <row r="95" spans="1:9" ht="15.75" customHeight="1">
      <c r="A95" s="231" t="s">
        <v>335</v>
      </c>
      <c r="B95" s="231"/>
      <c r="C95" s="231"/>
      <c r="D95" s="231"/>
      <c r="E95" s="231"/>
      <c r="F95" s="231"/>
      <c r="G95" s="231"/>
      <c r="H95" s="231"/>
      <c r="I95" s="231"/>
    </row>
    <row r="96" spans="1:9" ht="15.75" customHeight="1">
      <c r="A96" s="71"/>
      <c r="B96" s="232" t="s">
        <v>336</v>
      </c>
      <c r="C96" s="232"/>
      <c r="D96" s="232"/>
      <c r="E96" s="232"/>
      <c r="F96" s="232"/>
      <c r="G96" s="232"/>
      <c r="H96" s="76"/>
      <c r="I96" s="3"/>
    </row>
    <row r="97" spans="1:9" ht="15.75" customHeight="1">
      <c r="A97" s="65"/>
      <c r="B97" s="218" t="s">
        <v>6</v>
      </c>
      <c r="C97" s="218"/>
      <c r="D97" s="218"/>
      <c r="E97" s="218"/>
      <c r="F97" s="218"/>
      <c r="G97" s="218"/>
      <c r="H97" s="21"/>
      <c r="I97" s="5"/>
    </row>
    <row r="98" spans="1:9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spans="1:9" ht="15.75" customHeight="1">
      <c r="A99" s="219" t="s">
        <v>7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19" t="s">
        <v>8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220" t="s">
        <v>60</v>
      </c>
      <c r="B101" s="220"/>
      <c r="C101" s="220"/>
      <c r="D101" s="220"/>
      <c r="E101" s="220"/>
      <c r="F101" s="220"/>
      <c r="G101" s="220"/>
      <c r="H101" s="220"/>
      <c r="I101" s="220"/>
    </row>
    <row r="102" spans="1:9" ht="15.75" customHeight="1">
      <c r="A102" s="10"/>
    </row>
    <row r="103" spans="1:9" ht="15.75" customHeight="1">
      <c r="A103" s="213" t="s">
        <v>9</v>
      </c>
      <c r="B103" s="213"/>
      <c r="C103" s="213"/>
      <c r="D103" s="213"/>
      <c r="E103" s="213"/>
      <c r="F103" s="213"/>
      <c r="G103" s="213"/>
      <c r="H103" s="213"/>
      <c r="I103" s="213"/>
    </row>
    <row r="104" spans="1:9" ht="15.75" customHeight="1">
      <c r="A104" s="4"/>
    </row>
    <row r="105" spans="1:9" ht="15.75" customHeight="1">
      <c r="B105" s="70" t="s">
        <v>10</v>
      </c>
      <c r="C105" s="214" t="s">
        <v>84</v>
      </c>
      <c r="D105" s="214"/>
      <c r="E105" s="214"/>
      <c r="F105" s="74"/>
      <c r="I105" s="67"/>
    </row>
    <row r="106" spans="1:9" ht="15.75" customHeight="1">
      <c r="A106" s="65"/>
      <c r="C106" s="218" t="s">
        <v>11</v>
      </c>
      <c r="D106" s="218"/>
      <c r="E106" s="218"/>
      <c r="F106" s="21"/>
      <c r="I106" s="66" t="s">
        <v>12</v>
      </c>
    </row>
    <row r="107" spans="1:9" ht="15.75" customHeight="1">
      <c r="A107" s="22"/>
      <c r="C107" s="11"/>
      <c r="D107" s="11"/>
      <c r="G107" s="11"/>
      <c r="H107" s="11"/>
    </row>
    <row r="108" spans="1:9" ht="15.75" customHeight="1">
      <c r="B108" s="70" t="s">
        <v>13</v>
      </c>
      <c r="C108" s="215"/>
      <c r="D108" s="215"/>
      <c r="E108" s="215"/>
      <c r="F108" s="75"/>
      <c r="I108" s="67"/>
    </row>
    <row r="109" spans="1:9" ht="15.75" customHeight="1">
      <c r="A109" s="65"/>
      <c r="C109" s="216" t="s">
        <v>11</v>
      </c>
      <c r="D109" s="216"/>
      <c r="E109" s="216"/>
      <c r="F109" s="65"/>
      <c r="I109" s="66" t="s">
        <v>12</v>
      </c>
    </row>
    <row r="110" spans="1:9" ht="15.75" customHeight="1">
      <c r="A110" s="4" t="s">
        <v>14</v>
      </c>
    </row>
    <row r="111" spans="1:9">
      <c r="A111" s="217" t="s">
        <v>15</v>
      </c>
      <c r="B111" s="217"/>
      <c r="C111" s="217"/>
      <c r="D111" s="217"/>
      <c r="E111" s="217"/>
      <c r="F111" s="217"/>
      <c r="G111" s="217"/>
      <c r="H111" s="217"/>
      <c r="I111" s="217"/>
    </row>
    <row r="112" spans="1:9" ht="45" customHeight="1">
      <c r="A112" s="212" t="s">
        <v>16</v>
      </c>
      <c r="B112" s="212"/>
      <c r="C112" s="212"/>
      <c r="D112" s="212"/>
      <c r="E112" s="212"/>
      <c r="F112" s="212"/>
      <c r="G112" s="212"/>
      <c r="H112" s="212"/>
      <c r="I112" s="212"/>
    </row>
    <row r="113" spans="1:9" ht="30" customHeight="1">
      <c r="A113" s="212" t="s">
        <v>17</v>
      </c>
      <c r="B113" s="212"/>
      <c r="C113" s="212"/>
      <c r="D113" s="212"/>
      <c r="E113" s="212"/>
      <c r="F113" s="212"/>
      <c r="G113" s="212"/>
      <c r="H113" s="212"/>
      <c r="I113" s="212"/>
    </row>
    <row r="114" spans="1:9" ht="30" customHeight="1">
      <c r="A114" s="212" t="s">
        <v>21</v>
      </c>
      <c r="B114" s="212"/>
      <c r="C114" s="212"/>
      <c r="D114" s="212"/>
      <c r="E114" s="212"/>
      <c r="F114" s="212"/>
      <c r="G114" s="212"/>
      <c r="H114" s="212"/>
      <c r="I114" s="212"/>
    </row>
    <row r="115" spans="1:9" ht="14.25" customHeight="1">
      <c r="A115" s="212" t="s">
        <v>20</v>
      </c>
      <c r="B115" s="212"/>
      <c r="C115" s="212"/>
      <c r="D115" s="212"/>
      <c r="E115" s="212"/>
      <c r="F115" s="212"/>
      <c r="G115" s="212"/>
      <c r="H115" s="212"/>
      <c r="I115" s="212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09:E109"/>
    <mergeCell ref="A87:I87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3:I83"/>
    <mergeCell ref="A111:I111"/>
    <mergeCell ref="A112:I112"/>
    <mergeCell ref="A113:I113"/>
    <mergeCell ref="A114:I114"/>
    <mergeCell ref="A115:I115"/>
  </mergeCells>
  <pageMargins left="0.51181102362204722" right="0.31496062992125984" top="0.27559055118110237" bottom="0.27559055118110237" header="0.31496062992125984" footer="0.31496062992125984"/>
  <pageSetup paperSize="9" scale="64" orientation="portrait" r:id="rId1"/>
  <rowBreaks count="1" manualBreakCount="1">
    <brk id="102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4"/>
  <sheetViews>
    <sheetView topLeftCell="A92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149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240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44043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200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192" t="s">
        <v>25</v>
      </c>
      <c r="D27" s="191" t="s">
        <v>195</v>
      </c>
      <c r="E27" s="127">
        <v>5.6</v>
      </c>
      <c r="F27" s="122">
        <f>E27*258</f>
        <v>1444.8</v>
      </c>
      <c r="G27" s="122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193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193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105</v>
      </c>
      <c r="D32" s="30" t="s">
        <v>201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132</v>
      </c>
      <c r="C33" s="39" t="s">
        <v>39</v>
      </c>
      <c r="D33" s="30" t="s">
        <v>197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8</v>
      </c>
      <c r="B34" s="84" t="s">
        <v>63</v>
      </c>
      <c r="C34" s="85" t="s">
        <v>33</v>
      </c>
      <c r="D34" s="84" t="s">
        <v>194</v>
      </c>
      <c r="E34" s="86"/>
      <c r="F34" s="87">
        <v>3</v>
      </c>
      <c r="G34" s="122">
        <v>260.95</v>
      </c>
      <c r="H34" s="88">
        <f>SUM(F34*G34/1000)</f>
        <v>0.78284999999999993</v>
      </c>
      <c r="I34" s="12">
        <f>G34*1</f>
        <v>260.95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hidden="1" customHeight="1">
      <c r="A44" s="222" t="s">
        <v>138</v>
      </c>
      <c r="B44" s="223"/>
      <c r="C44" s="223"/>
      <c r="D44" s="223"/>
      <c r="E44" s="223"/>
      <c r="F44" s="223"/>
      <c r="G44" s="223"/>
      <c r="H44" s="223"/>
      <c r="I44" s="224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111</v>
      </c>
      <c r="C45" s="85" t="s">
        <v>105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105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105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105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105</v>
      </c>
      <c r="D49" s="84" t="s">
        <v>135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112</v>
      </c>
      <c r="C50" s="85" t="s">
        <v>105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113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hidden="1" customHeight="1">
      <c r="A53" s="40">
        <v>10</v>
      </c>
      <c r="B53" s="84" t="s">
        <v>40</v>
      </c>
      <c r="C53" s="85" t="s">
        <v>114</v>
      </c>
      <c r="D53" s="84" t="s">
        <v>69</v>
      </c>
      <c r="E53" s="86">
        <v>236</v>
      </c>
      <c r="F53" s="87">
        <f>SUM(E53)*3</f>
        <v>708</v>
      </c>
      <c r="G53" s="12">
        <v>65.67</v>
      </c>
      <c r="H53" s="88">
        <f t="shared" si="4"/>
        <v>46.49436</v>
      </c>
      <c r="I53" s="12">
        <f>E53*G53</f>
        <v>15498.12</v>
      </c>
      <c r="J53" s="62"/>
      <c r="L53" s="19"/>
      <c r="M53" s="20"/>
      <c r="N53" s="28"/>
    </row>
    <row r="54" spans="1:14" s="35" customFormat="1" ht="15.75" customHeight="1">
      <c r="A54" s="222" t="s">
        <v>144</v>
      </c>
      <c r="B54" s="223"/>
      <c r="C54" s="223"/>
      <c r="D54" s="223"/>
      <c r="E54" s="223"/>
      <c r="F54" s="223"/>
      <c r="G54" s="223"/>
      <c r="H54" s="223"/>
      <c r="I54" s="224"/>
      <c r="J54" s="62"/>
      <c r="L54" s="19"/>
      <c r="M54" s="20"/>
      <c r="N54" s="28"/>
    </row>
    <row r="55" spans="1:14" s="35" customFormat="1" ht="14.25" hidden="1" customHeight="1">
      <c r="A55" s="52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15" hidden="1" customHeight="1">
      <c r="A56" s="40">
        <v>16</v>
      </c>
      <c r="B56" s="84" t="s">
        <v>128</v>
      </c>
      <c r="C56" s="85" t="s">
        <v>98</v>
      </c>
      <c r="D56" s="84" t="s">
        <v>129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7.25" hidden="1" customHeight="1">
      <c r="A57" s="40">
        <v>17</v>
      </c>
      <c r="B57" s="95" t="s">
        <v>88</v>
      </c>
      <c r="C57" s="96" t="s">
        <v>98</v>
      </c>
      <c r="D57" s="95" t="s">
        <v>129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21.75" hidden="1" customHeight="1">
      <c r="A58" s="40"/>
      <c r="B58" s="95" t="s">
        <v>92</v>
      </c>
      <c r="C58" s="96" t="s">
        <v>93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21.75" hidden="1" customHeight="1">
      <c r="A59" s="40">
        <v>9</v>
      </c>
      <c r="B59" s="113" t="s">
        <v>187</v>
      </c>
      <c r="C59" s="114" t="s">
        <v>188</v>
      </c>
      <c r="D59" s="113" t="s">
        <v>206</v>
      </c>
      <c r="E59" s="134"/>
      <c r="F59" s="190">
        <v>5</v>
      </c>
      <c r="G59" s="34">
        <v>1645</v>
      </c>
      <c r="H59" s="72"/>
      <c r="I59" s="12">
        <f>G59*10</f>
        <v>16450</v>
      </c>
      <c r="J59" s="62"/>
      <c r="L59" s="19"/>
      <c r="M59" s="20"/>
      <c r="N59" s="28"/>
    </row>
    <row r="60" spans="1:14" s="35" customFormat="1" ht="15.75" customHeight="1">
      <c r="A60" s="40"/>
      <c r="B60" s="69" t="s">
        <v>43</v>
      </c>
      <c r="C60" s="69"/>
      <c r="D60" s="69"/>
      <c r="E60" s="69"/>
      <c r="F60" s="69"/>
      <c r="G60" s="69"/>
      <c r="H60" s="69"/>
      <c r="I60" s="33"/>
      <c r="J60" s="62"/>
      <c r="L60" s="19"/>
      <c r="M60" s="20"/>
      <c r="N60" s="28"/>
    </row>
    <row r="61" spans="1:14" s="35" customFormat="1" ht="15.75" customHeight="1">
      <c r="A61" s="40">
        <v>8</v>
      </c>
      <c r="B61" s="95" t="s">
        <v>89</v>
      </c>
      <c r="C61" s="96" t="s">
        <v>25</v>
      </c>
      <c r="D61" s="95" t="s">
        <v>194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69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8" customHeight="1">
      <c r="A64" s="40">
        <v>9</v>
      </c>
      <c r="B64" s="14" t="s">
        <v>46</v>
      </c>
      <c r="C64" s="16" t="s">
        <v>114</v>
      </c>
      <c r="D64" s="14" t="s">
        <v>198</v>
      </c>
      <c r="E64" s="18">
        <v>10</v>
      </c>
      <c r="F64" s="87">
        <v>10</v>
      </c>
      <c r="G64" s="111">
        <v>303.35000000000002</v>
      </c>
      <c r="H64" s="77">
        <f t="shared" ref="H64:H71" si="5">SUM(F64*G64/1000)</f>
        <v>3.0335000000000001</v>
      </c>
      <c r="I64" s="12">
        <f>G64*4</f>
        <v>1213.4000000000001</v>
      </c>
      <c r="J64" s="62"/>
      <c r="L64" s="19"/>
      <c r="M64" s="20"/>
      <c r="N64" s="28"/>
    </row>
    <row r="65" spans="1:22" s="35" customFormat="1" ht="12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customHeight="1">
      <c r="A66" s="26">
        <v>10</v>
      </c>
      <c r="B66" s="142" t="s">
        <v>48</v>
      </c>
      <c r="C66" s="186" t="s">
        <v>115</v>
      </c>
      <c r="D66" s="36"/>
      <c r="E66" s="138">
        <v>23267</v>
      </c>
      <c r="F66" s="168">
        <f>SUM(E66/100)</f>
        <v>232.67</v>
      </c>
      <c r="G66" s="34">
        <v>289.37</v>
      </c>
      <c r="H66" s="77">
        <f t="shared" si="5"/>
        <v>67.32771790000001</v>
      </c>
      <c r="I66" s="12">
        <f>F66*G66</f>
        <v>67327.717900000003</v>
      </c>
      <c r="J66" s="62"/>
      <c r="L66" s="19"/>
      <c r="M66" s="20"/>
      <c r="N66" s="28"/>
    </row>
    <row r="67" spans="1:22" s="35" customFormat="1" ht="15.75" customHeight="1">
      <c r="A67" s="26">
        <v>11</v>
      </c>
      <c r="B67" s="142" t="s">
        <v>49</v>
      </c>
      <c r="C67" s="37" t="s">
        <v>116</v>
      </c>
      <c r="D67" s="36"/>
      <c r="E67" s="138">
        <v>23267</v>
      </c>
      <c r="F67" s="34">
        <f>SUM(E67/1000)</f>
        <v>23.266999999999999</v>
      </c>
      <c r="G67" s="34">
        <v>225.35</v>
      </c>
      <c r="H67" s="77">
        <f t="shared" si="5"/>
        <v>5.2432184499999996</v>
      </c>
      <c r="I67" s="12">
        <f>F67*G67</f>
        <v>5243.2184499999994</v>
      </c>
      <c r="J67" s="62"/>
      <c r="L67" s="19"/>
      <c r="M67" s="20"/>
      <c r="N67" s="28"/>
    </row>
    <row r="68" spans="1:22" s="35" customFormat="1" ht="15.75" customHeight="1">
      <c r="A68" s="26">
        <v>12</v>
      </c>
      <c r="B68" s="142" t="s">
        <v>50</v>
      </c>
      <c r="C68" s="37" t="s">
        <v>74</v>
      </c>
      <c r="D68" s="36"/>
      <c r="E68" s="138">
        <v>3145</v>
      </c>
      <c r="F68" s="34">
        <f>SUM(E68/100)</f>
        <v>31.45</v>
      </c>
      <c r="G68" s="34">
        <v>2829.78</v>
      </c>
      <c r="H68" s="77">
        <f t="shared" si="5"/>
        <v>88.996581000000006</v>
      </c>
      <c r="I68" s="12">
        <f>F68*G68</f>
        <v>88996.581000000006</v>
      </c>
      <c r="J68" s="62"/>
      <c r="L68" s="19"/>
    </row>
    <row r="69" spans="1:22" s="35" customFormat="1" ht="15.75" customHeight="1">
      <c r="A69" s="26">
        <v>13</v>
      </c>
      <c r="B69" s="187" t="s">
        <v>117</v>
      </c>
      <c r="C69" s="37" t="s">
        <v>33</v>
      </c>
      <c r="D69" s="36"/>
      <c r="E69" s="138">
        <v>20.3</v>
      </c>
      <c r="F69" s="34">
        <f>SUM(E69)</f>
        <v>20.3</v>
      </c>
      <c r="G69" s="34">
        <v>44.31</v>
      </c>
      <c r="H69" s="77">
        <f t="shared" si="5"/>
        <v>0.8994930000000001</v>
      </c>
      <c r="I69" s="12">
        <f>F69*G69</f>
        <v>899.49300000000005</v>
      </c>
    </row>
    <row r="70" spans="1:22" s="35" customFormat="1" ht="15.75" customHeight="1">
      <c r="A70" s="26">
        <v>14</v>
      </c>
      <c r="B70" s="187" t="s">
        <v>137</v>
      </c>
      <c r="C70" s="37" t="s">
        <v>33</v>
      </c>
      <c r="D70" s="36"/>
      <c r="E70" s="138">
        <v>20.3</v>
      </c>
      <c r="F70" s="34">
        <f>SUM(E70)</f>
        <v>20.3</v>
      </c>
      <c r="G70" s="34">
        <v>47.79</v>
      </c>
      <c r="H70" s="77">
        <f t="shared" si="5"/>
        <v>0.97013700000000003</v>
      </c>
      <c r="I70" s="12">
        <f>F70*G70</f>
        <v>970.13700000000006</v>
      </c>
    </row>
    <row r="71" spans="1:22" s="35" customFormat="1" ht="22.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22.5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2" s="35" customFormat="1" ht="30.75" customHeight="1">
      <c r="A73" s="26">
        <v>15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6.5" customHeight="1">
      <c r="A74" s="52"/>
      <c r="B74" s="69" t="s">
        <v>118</v>
      </c>
      <c r="C74" s="69"/>
      <c r="D74" s="69"/>
      <c r="E74" s="69"/>
      <c r="F74" s="69"/>
      <c r="G74" s="69"/>
      <c r="H74" s="69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5.75" customHeight="1">
      <c r="A75" s="26">
        <v>16</v>
      </c>
      <c r="B75" s="84" t="s">
        <v>119</v>
      </c>
      <c r="C75" s="16"/>
      <c r="D75" s="14"/>
      <c r="E75" s="73"/>
      <c r="F75" s="12">
        <v>1</v>
      </c>
      <c r="G75" s="12">
        <v>1229.8</v>
      </c>
      <c r="H75" s="77">
        <f>G75*F75/1000</f>
        <v>1.2298</v>
      </c>
      <c r="I75" s="12">
        <f>G75</f>
        <v>1229.8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4.2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14.25" hidden="1" customHeight="1">
      <c r="A77" s="26">
        <v>17</v>
      </c>
      <c r="B77" s="36" t="s">
        <v>71</v>
      </c>
      <c r="C77" s="37" t="s">
        <v>31</v>
      </c>
      <c r="D77" s="36"/>
      <c r="E77" s="196">
        <v>6</v>
      </c>
      <c r="F77" s="197">
        <f>E77/10</f>
        <v>0.6</v>
      </c>
      <c r="G77" s="34">
        <v>684.19</v>
      </c>
      <c r="H77" s="77">
        <f>F77*G77/1000</f>
        <v>0.41051399999999999</v>
      </c>
      <c r="I77" s="12">
        <f>G77*0.1</f>
        <v>68.419000000000011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5.7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3"/>
      <c r="S78" s="233"/>
      <c r="T78" s="233"/>
      <c r="U78" s="233"/>
    </row>
    <row r="79" spans="1:22" s="35" customFormat="1" ht="21.75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" customHeight="1">
      <c r="A80" s="26">
        <v>17</v>
      </c>
      <c r="B80" s="36" t="s">
        <v>164</v>
      </c>
      <c r="C80" s="37" t="s">
        <v>114</v>
      </c>
      <c r="D80" s="36" t="s">
        <v>201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19.5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19.5" hidden="1" customHeight="1">
      <c r="A82" s="26">
        <v>19</v>
      </c>
      <c r="B82" s="194" t="s">
        <v>120</v>
      </c>
      <c r="C82" s="186" t="s">
        <v>74</v>
      </c>
      <c r="D82" s="142"/>
      <c r="E82" s="195"/>
      <c r="F82" s="168">
        <v>1.35</v>
      </c>
      <c r="G82" s="168">
        <v>4144.28</v>
      </c>
      <c r="H82" s="77">
        <f>SUM(F82*G82/1000)</f>
        <v>5.5947779999999998</v>
      </c>
      <c r="I82" s="12">
        <f>G82*0.03</f>
        <v>124.32839999999999</v>
      </c>
    </row>
    <row r="83" spans="1:9" s="35" customFormat="1" ht="15.75" customHeight="1">
      <c r="A83" s="225" t="s">
        <v>145</v>
      </c>
      <c r="B83" s="226"/>
      <c r="C83" s="226"/>
      <c r="D83" s="226"/>
      <c r="E83" s="226"/>
      <c r="F83" s="226"/>
      <c r="G83" s="226"/>
      <c r="H83" s="226"/>
      <c r="I83" s="227"/>
    </row>
    <row r="84" spans="1:9" s="35" customFormat="1" ht="15.75" customHeight="1">
      <c r="A84" s="26">
        <v>18</v>
      </c>
      <c r="B84" s="30" t="s">
        <v>121</v>
      </c>
      <c r="C84" s="37" t="s">
        <v>54</v>
      </c>
      <c r="D84" s="167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19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52"/>
      <c r="B86" s="38" t="s">
        <v>77</v>
      </c>
      <c r="C86" s="40"/>
      <c r="D86" s="15"/>
      <c r="E86" s="15"/>
      <c r="F86" s="15"/>
      <c r="G86" s="18"/>
      <c r="H86" s="18"/>
      <c r="I86" s="29">
        <f>I85+I84+I80+I73+I70+I69+I68+I67+I66+I61+I33+I31+I30+I27+I18+I17+I16+I64+I75</f>
        <v>258337.22597266667</v>
      </c>
    </row>
    <row r="87" spans="1:9" s="35" customFormat="1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s="35" customFormat="1" ht="15.75" customHeight="1">
      <c r="A88" s="26">
        <v>20</v>
      </c>
      <c r="B88" s="58" t="s">
        <v>156</v>
      </c>
      <c r="C88" s="59" t="s">
        <v>170</v>
      </c>
      <c r="D88" s="57" t="s">
        <v>337</v>
      </c>
      <c r="E88" s="34"/>
      <c r="F88" s="34">
        <v>32</v>
      </c>
      <c r="G88" s="34">
        <v>284</v>
      </c>
      <c r="H88" s="77">
        <f>G88*F88/1000</f>
        <v>9.0879999999999992</v>
      </c>
      <c r="I88" s="12">
        <v>0</v>
      </c>
    </row>
    <row r="89" spans="1:9" s="35" customFormat="1" ht="15.75" customHeight="1">
      <c r="A89" s="26">
        <v>21</v>
      </c>
      <c r="B89" s="58" t="s">
        <v>96</v>
      </c>
      <c r="C89" s="59" t="s">
        <v>114</v>
      </c>
      <c r="D89" s="57" t="s">
        <v>242</v>
      </c>
      <c r="E89" s="34"/>
      <c r="F89" s="34">
        <v>1</v>
      </c>
      <c r="G89" s="34">
        <v>90</v>
      </c>
      <c r="H89" s="77"/>
      <c r="I89" s="12">
        <v>0</v>
      </c>
    </row>
    <row r="90" spans="1:9" s="35" customFormat="1" ht="15.75" customHeight="1">
      <c r="A90" s="26">
        <v>22</v>
      </c>
      <c r="B90" s="58" t="s">
        <v>241</v>
      </c>
      <c r="C90" s="59" t="s">
        <v>114</v>
      </c>
      <c r="D90" s="57" t="s">
        <v>242</v>
      </c>
      <c r="E90" s="34"/>
      <c r="F90" s="34">
        <v>1</v>
      </c>
      <c r="G90" s="34">
        <v>290.39999999999998</v>
      </c>
      <c r="H90" s="77"/>
      <c r="I90" s="12">
        <v>0</v>
      </c>
    </row>
    <row r="91" spans="1:9" s="35" customFormat="1" ht="15.75" customHeight="1">
      <c r="A91" s="26">
        <v>23</v>
      </c>
      <c r="B91" s="58" t="s">
        <v>78</v>
      </c>
      <c r="C91" s="59" t="s">
        <v>114</v>
      </c>
      <c r="D91" s="57"/>
      <c r="E91" s="34"/>
      <c r="F91" s="34">
        <v>3</v>
      </c>
      <c r="G91" s="34">
        <v>215.85</v>
      </c>
      <c r="H91" s="77"/>
      <c r="I91" s="12">
        <f>G91*1</f>
        <v>215.85</v>
      </c>
    </row>
    <row r="92" spans="1:9" s="35" customFormat="1" ht="36" customHeight="1">
      <c r="A92" s="26">
        <v>24</v>
      </c>
      <c r="B92" s="58" t="s">
        <v>186</v>
      </c>
      <c r="C92" s="59" t="s">
        <v>37</v>
      </c>
      <c r="D92" s="165" t="s">
        <v>194</v>
      </c>
      <c r="E92" s="34"/>
      <c r="F92" s="34">
        <v>0.03</v>
      </c>
      <c r="G92" s="34">
        <v>4070.89</v>
      </c>
      <c r="H92" s="77"/>
      <c r="I92" s="12">
        <v>0</v>
      </c>
    </row>
    <row r="93" spans="1:9" s="35" customFormat="1" ht="19.5" customHeight="1">
      <c r="A93" s="26">
        <v>25</v>
      </c>
      <c r="B93" s="36" t="s">
        <v>243</v>
      </c>
      <c r="C93" s="37" t="s">
        <v>114</v>
      </c>
      <c r="D93" s="57" t="s">
        <v>244</v>
      </c>
      <c r="E93" s="34"/>
      <c r="F93" s="34">
        <v>1</v>
      </c>
      <c r="G93" s="34">
        <v>1179.28</v>
      </c>
      <c r="H93" s="77"/>
      <c r="I93" s="12">
        <f t="shared" ref="I93:I98" si="6">G93*1</f>
        <v>1179.28</v>
      </c>
    </row>
    <row r="94" spans="1:9" s="35" customFormat="1" ht="19.5" customHeight="1">
      <c r="A94" s="26">
        <v>26</v>
      </c>
      <c r="B94" s="58" t="s">
        <v>245</v>
      </c>
      <c r="C94" s="59" t="s">
        <v>114</v>
      </c>
      <c r="D94" s="57"/>
      <c r="E94" s="34"/>
      <c r="F94" s="34">
        <v>1</v>
      </c>
      <c r="G94" s="34">
        <v>235</v>
      </c>
      <c r="H94" s="77"/>
      <c r="I94" s="12">
        <f t="shared" si="6"/>
        <v>235</v>
      </c>
    </row>
    <row r="95" spans="1:9" s="35" customFormat="1" ht="19.5" customHeight="1">
      <c r="A95" s="26">
        <v>27</v>
      </c>
      <c r="B95" s="58" t="s">
        <v>246</v>
      </c>
      <c r="C95" s="59" t="s">
        <v>114</v>
      </c>
      <c r="D95" s="57"/>
      <c r="E95" s="34"/>
      <c r="F95" s="34">
        <v>1</v>
      </c>
      <c r="G95" s="34">
        <v>125</v>
      </c>
      <c r="H95" s="77"/>
      <c r="I95" s="12">
        <f t="shared" si="6"/>
        <v>125</v>
      </c>
    </row>
    <row r="96" spans="1:9" s="35" customFormat="1" ht="19.5" customHeight="1">
      <c r="A96" s="26">
        <v>28</v>
      </c>
      <c r="B96" s="58" t="s">
        <v>247</v>
      </c>
      <c r="C96" s="59" t="s">
        <v>114</v>
      </c>
      <c r="D96" s="57"/>
      <c r="E96" s="34"/>
      <c r="F96" s="34">
        <v>1</v>
      </c>
      <c r="G96" s="34">
        <v>98</v>
      </c>
      <c r="H96" s="77"/>
      <c r="I96" s="12">
        <f t="shared" si="6"/>
        <v>98</v>
      </c>
    </row>
    <row r="97" spans="1:9" s="35" customFormat="1" ht="19.5" customHeight="1">
      <c r="A97" s="26">
        <v>29</v>
      </c>
      <c r="B97" s="58" t="s">
        <v>248</v>
      </c>
      <c r="C97" s="59" t="s">
        <v>114</v>
      </c>
      <c r="D97" s="57"/>
      <c r="E97" s="34"/>
      <c r="F97" s="34">
        <v>1</v>
      </c>
      <c r="G97" s="34">
        <v>56</v>
      </c>
      <c r="H97" s="77"/>
      <c r="I97" s="12">
        <f t="shared" si="6"/>
        <v>56</v>
      </c>
    </row>
    <row r="98" spans="1:9" s="35" customFormat="1" ht="28.5" customHeight="1">
      <c r="A98" s="26">
        <v>30</v>
      </c>
      <c r="B98" s="36" t="s">
        <v>178</v>
      </c>
      <c r="C98" s="37" t="s">
        <v>170</v>
      </c>
      <c r="D98" s="57"/>
      <c r="E98" s="34"/>
      <c r="F98" s="34">
        <v>1.5</v>
      </c>
      <c r="G98" s="34">
        <v>1523.6</v>
      </c>
      <c r="H98" s="77"/>
      <c r="I98" s="12">
        <f t="shared" si="6"/>
        <v>1523.6</v>
      </c>
    </row>
    <row r="99" spans="1:9" s="35" customFormat="1" ht="28.5" customHeight="1">
      <c r="A99" s="26">
        <v>31</v>
      </c>
      <c r="B99" s="58" t="s">
        <v>249</v>
      </c>
      <c r="C99" s="59" t="s">
        <v>85</v>
      </c>
      <c r="D99" s="57" t="s">
        <v>250</v>
      </c>
      <c r="E99" s="34"/>
      <c r="F99" s="34">
        <v>3</v>
      </c>
      <c r="G99" s="34">
        <v>913.43</v>
      </c>
      <c r="H99" s="77"/>
      <c r="I99" s="12">
        <f>G99*3</f>
        <v>2740.29</v>
      </c>
    </row>
    <row r="100" spans="1:9" s="35" customFormat="1" ht="16.5" customHeight="1">
      <c r="A100" s="26">
        <v>32</v>
      </c>
      <c r="B100" s="58" t="s">
        <v>158</v>
      </c>
      <c r="C100" s="59" t="s">
        <v>80</v>
      </c>
      <c r="D100" s="57" t="s">
        <v>280</v>
      </c>
      <c r="E100" s="34"/>
      <c r="F100" s="34">
        <v>7</v>
      </c>
      <c r="G100" s="34">
        <v>222.63</v>
      </c>
      <c r="H100" s="77"/>
      <c r="I100" s="12">
        <f>G100*1</f>
        <v>222.63</v>
      </c>
    </row>
    <row r="101" spans="1:9" s="35" customFormat="1" ht="15.75" customHeight="1">
      <c r="A101" s="26"/>
      <c r="B101" s="45" t="s">
        <v>51</v>
      </c>
      <c r="C101" s="41"/>
      <c r="D101" s="53"/>
      <c r="E101" s="41">
        <v>1</v>
      </c>
      <c r="F101" s="41"/>
      <c r="G101" s="41"/>
      <c r="H101" s="41"/>
      <c r="I101" s="29">
        <f>SUM(I88:I100)</f>
        <v>6395.65</v>
      </c>
    </row>
    <row r="102" spans="1:9" s="35" customFormat="1" ht="15.75" customHeight="1">
      <c r="A102" s="26"/>
      <c r="B102" s="51" t="s">
        <v>76</v>
      </c>
      <c r="C102" s="15"/>
      <c r="D102" s="15"/>
      <c r="E102" s="42"/>
      <c r="F102" s="42"/>
      <c r="G102" s="43"/>
      <c r="H102" s="43"/>
      <c r="I102" s="17">
        <v>0</v>
      </c>
    </row>
    <row r="103" spans="1:9" s="35" customFormat="1" ht="15.75" customHeight="1">
      <c r="A103" s="54"/>
      <c r="B103" s="46" t="s">
        <v>141</v>
      </c>
      <c r="C103" s="32"/>
      <c r="D103" s="32"/>
      <c r="E103" s="32"/>
      <c r="F103" s="32"/>
      <c r="G103" s="32"/>
      <c r="H103" s="32"/>
      <c r="I103" s="44">
        <f>I86+I101</f>
        <v>264732.87597266666</v>
      </c>
    </row>
    <row r="104" spans="1:9" ht="15.75" customHeight="1">
      <c r="A104" s="231" t="s">
        <v>338</v>
      </c>
      <c r="B104" s="231"/>
      <c r="C104" s="231"/>
      <c r="D104" s="231"/>
      <c r="E104" s="231"/>
      <c r="F104" s="231"/>
      <c r="G104" s="231"/>
      <c r="H104" s="231"/>
      <c r="I104" s="231"/>
    </row>
    <row r="105" spans="1:9" ht="15.75" customHeight="1">
      <c r="A105" s="71"/>
      <c r="B105" s="232" t="s">
        <v>339</v>
      </c>
      <c r="C105" s="232"/>
      <c r="D105" s="232"/>
      <c r="E105" s="232"/>
      <c r="F105" s="232"/>
      <c r="G105" s="232"/>
      <c r="H105" s="76"/>
      <c r="I105" s="3"/>
    </row>
    <row r="106" spans="1:9" ht="15.75" customHeight="1">
      <c r="A106" s="65"/>
      <c r="B106" s="218" t="s">
        <v>6</v>
      </c>
      <c r="C106" s="218"/>
      <c r="D106" s="218"/>
      <c r="E106" s="218"/>
      <c r="F106" s="218"/>
      <c r="G106" s="218"/>
      <c r="H106" s="21"/>
      <c r="I106" s="5"/>
    </row>
    <row r="107" spans="1:9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219" t="s">
        <v>7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219" t="s">
        <v>8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220" t="s">
        <v>60</v>
      </c>
      <c r="B110" s="220"/>
      <c r="C110" s="220"/>
      <c r="D110" s="220"/>
      <c r="E110" s="220"/>
      <c r="F110" s="220"/>
      <c r="G110" s="220"/>
      <c r="H110" s="220"/>
      <c r="I110" s="220"/>
    </row>
    <row r="111" spans="1:9" ht="15.75" customHeight="1">
      <c r="A111" s="10"/>
    </row>
    <row r="112" spans="1:9" ht="15.75" customHeight="1">
      <c r="A112" s="213" t="s">
        <v>9</v>
      </c>
      <c r="B112" s="213"/>
      <c r="C112" s="213"/>
      <c r="D112" s="213"/>
      <c r="E112" s="213"/>
      <c r="F112" s="213"/>
      <c r="G112" s="213"/>
      <c r="H112" s="213"/>
      <c r="I112" s="213"/>
    </row>
    <row r="113" spans="1:9" ht="15.75" customHeight="1">
      <c r="A113" s="4"/>
    </row>
    <row r="114" spans="1:9" ht="15.75" customHeight="1">
      <c r="B114" s="70" t="s">
        <v>10</v>
      </c>
      <c r="C114" s="214" t="s">
        <v>84</v>
      </c>
      <c r="D114" s="214"/>
      <c r="E114" s="214"/>
      <c r="F114" s="74"/>
      <c r="I114" s="67"/>
    </row>
    <row r="115" spans="1:9" ht="15.75" customHeight="1">
      <c r="A115" s="65"/>
      <c r="C115" s="218" t="s">
        <v>11</v>
      </c>
      <c r="D115" s="218"/>
      <c r="E115" s="218"/>
      <c r="F115" s="21"/>
      <c r="I115" s="66" t="s">
        <v>12</v>
      </c>
    </row>
    <row r="116" spans="1:9" ht="15.75" customHeight="1">
      <c r="A116" s="22"/>
      <c r="C116" s="11"/>
      <c r="D116" s="11"/>
      <c r="G116" s="11"/>
      <c r="H116" s="11"/>
    </row>
    <row r="117" spans="1:9" ht="15.75" customHeight="1">
      <c r="B117" s="70" t="s">
        <v>13</v>
      </c>
      <c r="C117" s="215"/>
      <c r="D117" s="215"/>
      <c r="E117" s="215"/>
      <c r="F117" s="75"/>
      <c r="I117" s="67"/>
    </row>
    <row r="118" spans="1:9" ht="15.75" customHeight="1">
      <c r="A118" s="65"/>
      <c r="C118" s="216" t="s">
        <v>11</v>
      </c>
      <c r="D118" s="216"/>
      <c r="E118" s="216"/>
      <c r="F118" s="65"/>
      <c r="I118" s="66" t="s">
        <v>12</v>
      </c>
    </row>
    <row r="119" spans="1:9" ht="15.75" customHeight="1">
      <c r="A119" s="4" t="s">
        <v>14</v>
      </c>
    </row>
    <row r="120" spans="1:9">
      <c r="A120" s="217" t="s">
        <v>15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45" customHeight="1">
      <c r="A121" s="212" t="s">
        <v>16</v>
      </c>
      <c r="B121" s="212"/>
      <c r="C121" s="212"/>
      <c r="D121" s="212"/>
      <c r="E121" s="212"/>
      <c r="F121" s="212"/>
      <c r="G121" s="212"/>
      <c r="H121" s="212"/>
      <c r="I121" s="212"/>
    </row>
    <row r="122" spans="1:9" ht="30" customHeight="1">
      <c r="A122" s="212" t="s">
        <v>17</v>
      </c>
      <c r="B122" s="212"/>
      <c r="C122" s="212"/>
      <c r="D122" s="212"/>
      <c r="E122" s="212"/>
      <c r="F122" s="212"/>
      <c r="G122" s="212"/>
      <c r="H122" s="212"/>
      <c r="I122" s="212"/>
    </row>
    <row r="123" spans="1:9" ht="30" customHeight="1">
      <c r="A123" s="212" t="s">
        <v>21</v>
      </c>
      <c r="B123" s="212"/>
      <c r="C123" s="212"/>
      <c r="D123" s="212"/>
      <c r="E123" s="212"/>
      <c r="F123" s="212"/>
      <c r="G123" s="212"/>
      <c r="H123" s="212"/>
      <c r="I123" s="212"/>
    </row>
    <row r="124" spans="1:9" ht="14.25" customHeight="1">
      <c r="A124" s="212" t="s">
        <v>20</v>
      </c>
      <c r="B124" s="212"/>
      <c r="C124" s="212"/>
      <c r="D124" s="212"/>
      <c r="E124" s="212"/>
      <c r="F124" s="212"/>
      <c r="G124" s="212"/>
      <c r="H124" s="212"/>
      <c r="I124" s="212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8:E118"/>
    <mergeCell ref="A87:I87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3:I83"/>
    <mergeCell ref="A120:I120"/>
    <mergeCell ref="A121:I121"/>
    <mergeCell ref="A122:I122"/>
    <mergeCell ref="A123:I123"/>
    <mergeCell ref="A124:I124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0"/>
  <sheetViews>
    <sheetView topLeftCell="A92" workbookViewId="0">
      <selection activeCell="K104" sqref="K10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150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251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44074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259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F16/156*11*G16</f>
        <v>4451.9903999999997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199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F17/104*7*G17</f>
        <v>11328.990400000002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200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193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193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105</v>
      </c>
      <c r="D32" s="30" t="s">
        <v>201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132</v>
      </c>
      <c r="C33" s="39" t="s">
        <v>39</v>
      </c>
      <c r="D33" s="30" t="s">
        <v>197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hidden="1" customHeight="1">
      <c r="A44" s="222" t="s">
        <v>138</v>
      </c>
      <c r="B44" s="223"/>
      <c r="C44" s="223"/>
      <c r="D44" s="223"/>
      <c r="E44" s="223"/>
      <c r="F44" s="223"/>
      <c r="G44" s="223"/>
      <c r="H44" s="223"/>
      <c r="I44" s="224"/>
      <c r="J44" s="62"/>
      <c r="L44" s="19"/>
      <c r="M44" s="20"/>
      <c r="N44" s="28"/>
    </row>
    <row r="45" spans="1:14" s="35" customFormat="1" ht="15.75" hidden="1" customHeight="1">
      <c r="A45" s="40">
        <v>19</v>
      </c>
      <c r="B45" s="84" t="s">
        <v>111</v>
      </c>
      <c r="C45" s="85" t="s">
        <v>105</v>
      </c>
      <c r="D45" s="84" t="s">
        <v>41</v>
      </c>
      <c r="E45" s="86">
        <v>1662.5</v>
      </c>
      <c r="F45" s="87">
        <f>SUM(E45*2/1000)</f>
        <v>3.3250000000000002</v>
      </c>
      <c r="G45" s="12">
        <v>849.49</v>
      </c>
      <c r="H45" s="88">
        <f t="shared" ref="H45:H53" si="4">SUM(F45*G45/1000)</f>
        <v>2.8245542500000003</v>
      </c>
      <c r="I45" s="12">
        <f>F45/2*G45</f>
        <v>1412.2771250000001</v>
      </c>
      <c r="J45" s="62"/>
      <c r="L45" s="19"/>
      <c r="M45" s="20"/>
      <c r="N45" s="28"/>
    </row>
    <row r="46" spans="1:14" s="35" customFormat="1" ht="15.75" hidden="1" customHeight="1">
      <c r="A46" s="40">
        <v>20</v>
      </c>
      <c r="B46" s="84" t="s">
        <v>34</v>
      </c>
      <c r="C46" s="85" t="s">
        <v>105</v>
      </c>
      <c r="D46" s="84" t="s">
        <v>41</v>
      </c>
      <c r="E46" s="86">
        <v>92.8</v>
      </c>
      <c r="F46" s="87">
        <f>SUM(E46*2/1000)</f>
        <v>0.18559999999999999</v>
      </c>
      <c r="G46" s="12">
        <v>579.48</v>
      </c>
      <c r="H46" s="88">
        <f t="shared" si="4"/>
        <v>0.10755148799999999</v>
      </c>
      <c r="I46" s="12">
        <f>F46/2*G46</f>
        <v>53.775743999999996</v>
      </c>
      <c r="J46" s="62"/>
      <c r="L46" s="19"/>
      <c r="M46" s="20"/>
      <c r="N46" s="28"/>
    </row>
    <row r="47" spans="1:14" s="35" customFormat="1" ht="15.75" hidden="1" customHeight="1">
      <c r="A47" s="40">
        <v>21</v>
      </c>
      <c r="B47" s="84" t="s">
        <v>35</v>
      </c>
      <c r="C47" s="85" t="s">
        <v>105</v>
      </c>
      <c r="D47" s="84" t="s">
        <v>41</v>
      </c>
      <c r="E47" s="86">
        <v>4750.7</v>
      </c>
      <c r="F47" s="87">
        <f>SUM(E47*2/1000)</f>
        <v>9.5014000000000003</v>
      </c>
      <c r="G47" s="12">
        <v>579.48</v>
      </c>
      <c r="H47" s="88">
        <f t="shared" si="4"/>
        <v>5.5058712720000003</v>
      </c>
      <c r="I47" s="12">
        <f>F47/2*G47</f>
        <v>2752.9356360000002</v>
      </c>
      <c r="J47" s="62"/>
      <c r="L47" s="19"/>
      <c r="M47" s="20"/>
      <c r="N47" s="28"/>
    </row>
    <row r="48" spans="1:14" s="35" customFormat="1" ht="15.75" hidden="1" customHeight="1">
      <c r="A48" s="40">
        <v>22</v>
      </c>
      <c r="B48" s="84" t="s">
        <v>36</v>
      </c>
      <c r="C48" s="85" t="s">
        <v>105</v>
      </c>
      <c r="D48" s="84" t="s">
        <v>41</v>
      </c>
      <c r="E48" s="86">
        <v>2840.99</v>
      </c>
      <c r="F48" s="87">
        <f>SUM(E48*2/1000)</f>
        <v>5.6819799999999994</v>
      </c>
      <c r="G48" s="12">
        <v>606.77</v>
      </c>
      <c r="H48" s="88">
        <f t="shared" si="4"/>
        <v>3.4476550045999992</v>
      </c>
      <c r="I48" s="12">
        <f>F48/2*G48</f>
        <v>1723.8275022999997</v>
      </c>
      <c r="J48" s="62"/>
      <c r="L48" s="19"/>
      <c r="M48" s="20"/>
      <c r="N48" s="28"/>
    </row>
    <row r="49" spans="1:14" s="35" customFormat="1" ht="15.75" hidden="1" customHeight="1">
      <c r="A49" s="40">
        <v>23</v>
      </c>
      <c r="B49" s="84" t="s">
        <v>55</v>
      </c>
      <c r="C49" s="85" t="s">
        <v>105</v>
      </c>
      <c r="D49" s="84" t="s">
        <v>135</v>
      </c>
      <c r="E49" s="86">
        <v>1652.5</v>
      </c>
      <c r="F49" s="87">
        <f>SUM(E49*5/1000)</f>
        <v>8.2624999999999993</v>
      </c>
      <c r="G49" s="12">
        <v>1213.55</v>
      </c>
      <c r="H49" s="88">
        <f t="shared" si="4"/>
        <v>10.026956874999998</v>
      </c>
      <c r="I49" s="12">
        <f>F49/5*G49</f>
        <v>2005.3913749999997</v>
      </c>
      <c r="J49" s="62"/>
      <c r="L49" s="19"/>
      <c r="M49" s="20"/>
      <c r="N49" s="28"/>
    </row>
    <row r="50" spans="1:14" s="35" customFormat="1" ht="31.5" hidden="1" customHeight="1">
      <c r="A50" s="40">
        <v>13</v>
      </c>
      <c r="B50" s="84" t="s">
        <v>112</v>
      </c>
      <c r="C50" s="85" t="s">
        <v>105</v>
      </c>
      <c r="D50" s="84" t="s">
        <v>41</v>
      </c>
      <c r="E50" s="86">
        <v>1652.5</v>
      </c>
      <c r="F50" s="87">
        <f>SUM(E50*2/1000)</f>
        <v>3.3050000000000002</v>
      </c>
      <c r="G50" s="12">
        <v>1213.55</v>
      </c>
      <c r="H50" s="88">
        <f t="shared" si="4"/>
        <v>4.0107827499999997</v>
      </c>
      <c r="I50" s="12">
        <f>F50/2*G50</f>
        <v>2005.3913749999999</v>
      </c>
      <c r="J50" s="62"/>
      <c r="L50" s="19"/>
      <c r="M50" s="20"/>
      <c r="N50" s="28"/>
    </row>
    <row r="51" spans="1:14" s="35" customFormat="1" ht="31.5" hidden="1" customHeight="1">
      <c r="A51" s="40">
        <v>14</v>
      </c>
      <c r="B51" s="84" t="s">
        <v>113</v>
      </c>
      <c r="C51" s="85" t="s">
        <v>37</v>
      </c>
      <c r="D51" s="84" t="s">
        <v>41</v>
      </c>
      <c r="E51" s="86">
        <v>40</v>
      </c>
      <c r="F51" s="87">
        <f>SUM(E51*2/100)</f>
        <v>0.8</v>
      </c>
      <c r="G51" s="12">
        <v>2730.49</v>
      </c>
      <c r="H51" s="88">
        <f t="shared" si="4"/>
        <v>2.1843919999999999</v>
      </c>
      <c r="I51" s="12">
        <f>F51/2*G51</f>
        <v>1092.1959999999999</v>
      </c>
      <c r="J51" s="62"/>
      <c r="L51" s="19"/>
      <c r="M51" s="20"/>
      <c r="N51" s="28"/>
    </row>
    <row r="52" spans="1:14" s="35" customFormat="1" ht="15.75" hidden="1" customHeight="1">
      <c r="A52" s="40">
        <v>15</v>
      </c>
      <c r="B52" s="84" t="s">
        <v>38</v>
      </c>
      <c r="C52" s="85" t="s">
        <v>39</v>
      </c>
      <c r="D52" s="84" t="s">
        <v>41</v>
      </c>
      <c r="E52" s="86">
        <v>1</v>
      </c>
      <c r="F52" s="87">
        <v>0.02</v>
      </c>
      <c r="G52" s="12">
        <v>5652.13</v>
      </c>
      <c r="H52" s="88">
        <f t="shared" si="4"/>
        <v>0.11304260000000001</v>
      </c>
      <c r="I52" s="12">
        <f>F52/2*G52</f>
        <v>56.521300000000004</v>
      </c>
      <c r="J52" s="62"/>
      <c r="L52" s="19"/>
      <c r="M52" s="20"/>
      <c r="N52" s="28"/>
    </row>
    <row r="53" spans="1:14" s="35" customFormat="1" ht="15.75" hidden="1" customHeight="1">
      <c r="A53" s="40">
        <v>10</v>
      </c>
      <c r="B53" s="84" t="s">
        <v>40</v>
      </c>
      <c r="C53" s="85" t="s">
        <v>114</v>
      </c>
      <c r="D53" s="84" t="s">
        <v>69</v>
      </c>
      <c r="E53" s="86">
        <v>236</v>
      </c>
      <c r="F53" s="87">
        <f>SUM(E53)*3</f>
        <v>708</v>
      </c>
      <c r="G53" s="12">
        <v>65.67</v>
      </c>
      <c r="H53" s="88">
        <f t="shared" si="4"/>
        <v>46.49436</v>
      </c>
      <c r="I53" s="12">
        <f>E53*G53</f>
        <v>15498.12</v>
      </c>
      <c r="J53" s="62"/>
      <c r="L53" s="19"/>
      <c r="M53" s="20"/>
      <c r="N53" s="28"/>
    </row>
    <row r="54" spans="1:14" s="35" customFormat="1" ht="15.75" customHeight="1">
      <c r="A54" s="222" t="s">
        <v>144</v>
      </c>
      <c r="B54" s="223"/>
      <c r="C54" s="223"/>
      <c r="D54" s="223"/>
      <c r="E54" s="223"/>
      <c r="F54" s="223"/>
      <c r="G54" s="223"/>
      <c r="H54" s="223"/>
      <c r="I54" s="224"/>
      <c r="J54" s="62"/>
      <c r="L54" s="19"/>
      <c r="M54" s="20"/>
      <c r="N54" s="28"/>
    </row>
    <row r="55" spans="1:14" s="35" customFormat="1" ht="15.75" hidden="1" customHeight="1">
      <c r="A55" s="199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128</v>
      </c>
      <c r="C56" s="85" t="s">
        <v>98</v>
      </c>
      <c r="D56" s="84" t="s">
        <v>129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88</v>
      </c>
      <c r="C57" s="96" t="s">
        <v>98</v>
      </c>
      <c r="D57" s="95" t="s">
        <v>129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92</v>
      </c>
      <c r="C58" s="96" t="s">
        <v>93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hidden="1" customHeight="1">
      <c r="A59" s="40">
        <v>8</v>
      </c>
      <c r="B59" s="113" t="s">
        <v>187</v>
      </c>
      <c r="C59" s="114" t="s">
        <v>188</v>
      </c>
      <c r="D59" s="113" t="s">
        <v>207</v>
      </c>
      <c r="E59" s="134"/>
      <c r="F59" s="190">
        <v>5</v>
      </c>
      <c r="G59" s="34">
        <v>1645</v>
      </c>
      <c r="H59" s="72"/>
      <c r="I59" s="12">
        <f>G59*6</f>
        <v>9870</v>
      </c>
      <c r="J59" s="62"/>
      <c r="L59" s="19"/>
      <c r="M59" s="20"/>
      <c r="N59" s="28"/>
    </row>
    <row r="60" spans="1:14" s="35" customFormat="1" ht="15.75" customHeight="1">
      <c r="A60" s="40"/>
      <c r="B60" s="198" t="s">
        <v>43</v>
      </c>
      <c r="C60" s="198"/>
      <c r="D60" s="198"/>
      <c r="E60" s="198"/>
      <c r="F60" s="198"/>
      <c r="G60" s="198"/>
      <c r="H60" s="198"/>
      <c r="I60" s="33"/>
      <c r="J60" s="62"/>
      <c r="L60" s="19"/>
      <c r="M60" s="20"/>
      <c r="N60" s="28"/>
    </row>
    <row r="61" spans="1:14" s="35" customFormat="1" ht="14.25" customHeight="1">
      <c r="A61" s="40">
        <v>8</v>
      </c>
      <c r="B61" s="95" t="s">
        <v>89</v>
      </c>
      <c r="C61" s="96" t="s">
        <v>25</v>
      </c>
      <c r="D61" s="95" t="s">
        <v>194</v>
      </c>
      <c r="E61" s="97">
        <v>330.5</v>
      </c>
      <c r="F61" s="98">
        <v>2400</v>
      </c>
      <c r="G61" s="101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98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20.25" customHeight="1">
      <c r="A64" s="40">
        <v>9</v>
      </c>
      <c r="B64" s="142" t="s">
        <v>46</v>
      </c>
      <c r="C64" s="37" t="s">
        <v>114</v>
      </c>
      <c r="D64" s="36" t="s">
        <v>196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5">SUM(F64*G64/1000)</f>
        <v>3.6402000000000001</v>
      </c>
      <c r="I64" s="12">
        <f>G64*5</f>
        <v>1516.75</v>
      </c>
      <c r="J64" s="62"/>
      <c r="L64" s="19"/>
      <c r="M64" s="20"/>
      <c r="N64" s="28"/>
    </row>
    <row r="65" spans="1:22" s="35" customFormat="1" ht="21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20.25" hidden="1" customHeight="1">
      <c r="A66" s="26">
        <v>25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>F66*G66</f>
        <v>49360.940499999997</v>
      </c>
      <c r="J66" s="62"/>
      <c r="L66" s="19"/>
      <c r="M66" s="20"/>
      <c r="N66" s="28"/>
    </row>
    <row r="67" spans="1:22" s="35" customFormat="1" ht="19.5" hidden="1" customHeight="1">
      <c r="A67" s="26">
        <v>26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>F67*G67</f>
        <v>3843.9410700000003</v>
      </c>
      <c r="J67" s="62"/>
      <c r="L67" s="19"/>
      <c r="M67" s="20"/>
      <c r="N67" s="28"/>
    </row>
    <row r="68" spans="1:22" s="35" customFormat="1" ht="19.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>F68*G68</f>
        <v>65247.113499999999</v>
      </c>
      <c r="J68" s="62"/>
      <c r="L68" s="19"/>
    </row>
    <row r="69" spans="1:22" s="35" customFormat="1" ht="20.25" hidden="1" customHeight="1">
      <c r="A69" s="26">
        <v>28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>F69*G69</f>
        <v>881.56220000000008</v>
      </c>
    </row>
    <row r="70" spans="1:22" s="35" customFormat="1" ht="17.25" hidden="1" customHeight="1">
      <c r="A70" s="26">
        <v>29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>F70*G70</f>
        <v>822.47460000000001</v>
      </c>
    </row>
    <row r="71" spans="1:22" s="35" customFormat="1" ht="21.75" hidden="1" customHeight="1">
      <c r="A71" s="26">
        <v>13</v>
      </c>
      <c r="B71" s="14" t="s">
        <v>56</v>
      </c>
      <c r="C71" s="16" t="s">
        <v>57</v>
      </c>
      <c r="D71" s="14" t="s">
        <v>53</v>
      </c>
      <c r="E71" s="18">
        <v>5</v>
      </c>
      <c r="F71" s="87">
        <f>SUM(E71)</f>
        <v>5</v>
      </c>
      <c r="G71" s="12">
        <v>49.88</v>
      </c>
      <c r="H71" s="77">
        <f t="shared" si="5"/>
        <v>0.24940000000000001</v>
      </c>
      <c r="I71" s="12">
        <v>0</v>
      </c>
    </row>
    <row r="72" spans="1:22" s="35" customFormat="1" ht="21.75" customHeight="1">
      <c r="A72" s="26"/>
      <c r="B72" s="129" t="s">
        <v>160</v>
      </c>
      <c r="C72" s="159"/>
      <c r="D72" s="129"/>
      <c r="E72" s="160"/>
      <c r="F72" s="161"/>
      <c r="G72" s="162"/>
      <c r="H72" s="77"/>
      <c r="I72" s="12"/>
    </row>
    <row r="73" spans="1:22" s="35" customFormat="1" ht="29.25" customHeight="1">
      <c r="A73" s="26">
        <v>10</v>
      </c>
      <c r="B73" s="36" t="s">
        <v>161</v>
      </c>
      <c r="C73" s="40" t="s">
        <v>162</v>
      </c>
      <c r="D73" s="36"/>
      <c r="E73" s="17">
        <v>5916.3</v>
      </c>
      <c r="F73" s="34">
        <f>E73*12</f>
        <v>70995.600000000006</v>
      </c>
      <c r="G73" s="34">
        <v>2.37</v>
      </c>
      <c r="H73" s="77"/>
      <c r="I73" s="12">
        <f>G73*F73/12</f>
        <v>14021.631000000001</v>
      </c>
    </row>
    <row r="74" spans="1:22" s="35" customFormat="1" ht="17.25" hidden="1" customHeight="1">
      <c r="A74" s="199"/>
      <c r="B74" s="198" t="s">
        <v>118</v>
      </c>
      <c r="C74" s="198"/>
      <c r="D74" s="198"/>
      <c r="E74" s="198"/>
      <c r="F74" s="198"/>
      <c r="G74" s="198"/>
      <c r="H74" s="198"/>
      <c r="I74" s="18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63"/>
    </row>
    <row r="75" spans="1:22" s="35" customFormat="1" ht="15.75" hidden="1" customHeight="1">
      <c r="A75" s="26">
        <v>18</v>
      </c>
      <c r="B75" s="84" t="s">
        <v>119</v>
      </c>
      <c r="C75" s="16"/>
      <c r="D75" s="14"/>
      <c r="E75" s="73"/>
      <c r="F75" s="12">
        <v>1</v>
      </c>
      <c r="G75" s="12">
        <v>27750</v>
      </c>
      <c r="H75" s="77">
        <f>G75*F75/1000</f>
        <v>27.75</v>
      </c>
      <c r="I75" s="12">
        <f>G75</f>
        <v>27750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27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3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G77*0.1</f>
        <v>50.162000000000006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24.7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3"/>
      <c r="S78" s="233"/>
      <c r="T78" s="233"/>
      <c r="U78" s="233"/>
    </row>
    <row r="79" spans="1:22" s="35" customFormat="1" ht="18" hidden="1" customHeight="1">
      <c r="A79" s="26">
        <v>20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v>0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18" customHeight="1">
      <c r="A80" s="26">
        <v>11</v>
      </c>
      <c r="B80" s="36" t="s">
        <v>164</v>
      </c>
      <c r="C80" s="37" t="s">
        <v>114</v>
      </c>
      <c r="D80" s="36" t="s">
        <v>201</v>
      </c>
      <c r="E80" s="17">
        <v>1</v>
      </c>
      <c r="F80" s="34">
        <f>E80*12</f>
        <v>12</v>
      </c>
      <c r="G80" s="34">
        <v>55.55</v>
      </c>
      <c r="H80" s="77"/>
      <c r="I80" s="12">
        <f>G80*F80/12</f>
        <v>55.54999999999999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18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18" hidden="1" customHeight="1">
      <c r="A82" s="26">
        <v>39</v>
      </c>
      <c r="B82" s="51" t="s">
        <v>120</v>
      </c>
      <c r="C82" s="16" t="s">
        <v>74</v>
      </c>
      <c r="D82" s="14"/>
      <c r="E82" s="18"/>
      <c r="F82" s="12">
        <v>1.35</v>
      </c>
      <c r="G82" s="12">
        <v>2759.44</v>
      </c>
      <c r="H82" s="77">
        <f>SUM(F82*G82/1000)</f>
        <v>3.725244</v>
      </c>
      <c r="I82" s="12">
        <v>0</v>
      </c>
    </row>
    <row r="83" spans="1:9" s="35" customFormat="1" ht="15.75" customHeight="1">
      <c r="A83" s="225" t="s">
        <v>145</v>
      </c>
      <c r="B83" s="226"/>
      <c r="C83" s="226"/>
      <c r="D83" s="226"/>
      <c r="E83" s="226"/>
      <c r="F83" s="226"/>
      <c r="G83" s="226"/>
      <c r="H83" s="226"/>
      <c r="I83" s="227"/>
    </row>
    <row r="84" spans="1:9" s="35" customFormat="1" ht="15.75" customHeight="1">
      <c r="A84" s="26">
        <v>12</v>
      </c>
      <c r="B84" s="30" t="s">
        <v>121</v>
      </c>
      <c r="C84" s="37" t="s">
        <v>54</v>
      </c>
      <c r="D84" s="167"/>
      <c r="E84" s="34">
        <v>5916.3</v>
      </c>
      <c r="F84" s="34">
        <f>SUM(E84*12)</f>
        <v>70995.600000000006</v>
      </c>
      <c r="G84" s="34">
        <v>3.22</v>
      </c>
      <c r="H84" s="77">
        <f>SUM(F84*G84/1000)</f>
        <v>228.60583200000002</v>
      </c>
      <c r="I84" s="12">
        <f>F84/12*G84</f>
        <v>19050.486000000001</v>
      </c>
    </row>
    <row r="85" spans="1:9" s="35" customFormat="1" ht="31.5" customHeight="1">
      <c r="A85" s="26">
        <v>13</v>
      </c>
      <c r="B85" s="36" t="s">
        <v>75</v>
      </c>
      <c r="C85" s="37"/>
      <c r="D85" s="57"/>
      <c r="E85" s="138">
        <f>E84</f>
        <v>5916.3</v>
      </c>
      <c r="F85" s="34">
        <f>E85*12</f>
        <v>70995.600000000006</v>
      </c>
      <c r="G85" s="34">
        <v>3.64</v>
      </c>
      <c r="H85" s="77">
        <f>F85*G85/1000</f>
        <v>258.42398400000002</v>
      </c>
      <c r="I85" s="12">
        <f>F85/12*G85</f>
        <v>21535.332000000002</v>
      </c>
    </row>
    <row r="86" spans="1:9" s="35" customFormat="1" ht="15.75" customHeight="1">
      <c r="A86" s="199"/>
      <c r="B86" s="38" t="s">
        <v>77</v>
      </c>
      <c r="C86" s="40"/>
      <c r="D86" s="15"/>
      <c r="E86" s="15"/>
      <c r="F86" s="15"/>
      <c r="G86" s="18"/>
      <c r="H86" s="18"/>
      <c r="I86" s="29">
        <f>I85+I84+I80+I73+I61+I33+I31+I30+I27+I18+I17+I16+I64</f>
        <v>90466.797156000001</v>
      </c>
    </row>
    <row r="87" spans="1:9" s="35" customFormat="1" ht="15.75" customHeight="1">
      <c r="A87" s="228" t="s">
        <v>59</v>
      </c>
      <c r="B87" s="229"/>
      <c r="C87" s="229"/>
      <c r="D87" s="229"/>
      <c r="E87" s="229"/>
      <c r="F87" s="229"/>
      <c r="G87" s="229"/>
      <c r="H87" s="229"/>
      <c r="I87" s="230"/>
    </row>
    <row r="88" spans="1:9" s="35" customFormat="1" ht="38.25" customHeight="1">
      <c r="A88" s="26">
        <v>14</v>
      </c>
      <c r="B88" s="36" t="s">
        <v>178</v>
      </c>
      <c r="C88" s="37" t="s">
        <v>170</v>
      </c>
      <c r="D88" s="36" t="s">
        <v>255</v>
      </c>
      <c r="E88" s="34"/>
      <c r="F88" s="34">
        <v>21.5</v>
      </c>
      <c r="G88" s="34">
        <v>1523.6</v>
      </c>
      <c r="H88" s="77">
        <f t="shared" ref="H88" si="6">G88*F88/1000</f>
        <v>32.757399999999997</v>
      </c>
      <c r="I88" s="12">
        <f>G88*20</f>
        <v>30472</v>
      </c>
    </row>
    <row r="89" spans="1:9" s="35" customFormat="1" ht="33.75" customHeight="1">
      <c r="A89" s="26">
        <v>15</v>
      </c>
      <c r="B89" s="36" t="s">
        <v>179</v>
      </c>
      <c r="C89" s="37" t="s">
        <v>170</v>
      </c>
      <c r="D89" s="36" t="s">
        <v>256</v>
      </c>
      <c r="E89" s="34"/>
      <c r="F89" s="34">
        <v>11</v>
      </c>
      <c r="G89" s="34">
        <v>1421.68</v>
      </c>
      <c r="H89" s="77"/>
      <c r="I89" s="12">
        <f>G89*7</f>
        <v>9951.76</v>
      </c>
    </row>
    <row r="90" spans="1:9" s="35" customFormat="1" ht="17.25" customHeight="1">
      <c r="A90" s="26">
        <v>16</v>
      </c>
      <c r="B90" s="58" t="s">
        <v>158</v>
      </c>
      <c r="C90" s="59" t="s">
        <v>80</v>
      </c>
      <c r="D90" s="57" t="s">
        <v>257</v>
      </c>
      <c r="E90" s="34"/>
      <c r="F90" s="34">
        <v>6</v>
      </c>
      <c r="G90" s="34">
        <v>222.63</v>
      </c>
      <c r="H90" s="77"/>
      <c r="I90" s="12">
        <v>0</v>
      </c>
    </row>
    <row r="91" spans="1:9" s="35" customFormat="1" ht="16.5" customHeight="1">
      <c r="A91" s="26">
        <v>17</v>
      </c>
      <c r="B91" s="133" t="s">
        <v>252</v>
      </c>
      <c r="C91" s="40" t="s">
        <v>253</v>
      </c>
      <c r="D91" s="57"/>
      <c r="E91" s="34"/>
      <c r="F91" s="34">
        <v>1</v>
      </c>
      <c r="G91" s="34">
        <v>1683</v>
      </c>
      <c r="H91" s="77"/>
      <c r="I91" s="12">
        <f>G91*1</f>
        <v>1683</v>
      </c>
    </row>
    <row r="92" spans="1:9" s="35" customFormat="1" ht="14.25" customHeight="1">
      <c r="A92" s="26">
        <v>18</v>
      </c>
      <c r="B92" s="58" t="s">
        <v>254</v>
      </c>
      <c r="C92" s="59" t="s">
        <v>114</v>
      </c>
      <c r="D92" s="57" t="s">
        <v>258</v>
      </c>
      <c r="E92" s="34"/>
      <c r="F92" s="34">
        <v>1</v>
      </c>
      <c r="G92" s="34">
        <v>534.51</v>
      </c>
      <c r="H92" s="77"/>
      <c r="I92" s="12">
        <f>G92*1</f>
        <v>534.51</v>
      </c>
    </row>
    <row r="93" spans="1:9" s="35" customFormat="1" ht="34.5" customHeight="1">
      <c r="A93" s="26">
        <v>19</v>
      </c>
      <c r="B93" s="58" t="s">
        <v>186</v>
      </c>
      <c r="C93" s="59" t="s">
        <v>37</v>
      </c>
      <c r="D93" s="165" t="s">
        <v>194</v>
      </c>
      <c r="E93" s="34"/>
      <c r="F93" s="34">
        <v>0.04</v>
      </c>
      <c r="G93" s="34">
        <v>4070.89</v>
      </c>
      <c r="H93" s="77"/>
      <c r="I93" s="12">
        <v>0</v>
      </c>
    </row>
    <row r="94" spans="1:9" s="35" customFormat="1" ht="17.25" customHeight="1">
      <c r="A94" s="26">
        <v>20</v>
      </c>
      <c r="B94" s="58" t="s">
        <v>156</v>
      </c>
      <c r="C94" s="59" t="s">
        <v>170</v>
      </c>
      <c r="D94" s="57" t="s">
        <v>332</v>
      </c>
      <c r="E94" s="34"/>
      <c r="F94" s="34">
        <v>38</v>
      </c>
      <c r="G94" s="34">
        <v>284</v>
      </c>
      <c r="H94" s="77"/>
      <c r="I94" s="12">
        <v>0</v>
      </c>
    </row>
    <row r="95" spans="1:9" s="35" customFormat="1" ht="17.25" customHeight="1">
      <c r="A95" s="26">
        <v>21</v>
      </c>
      <c r="B95" s="207" t="s">
        <v>260</v>
      </c>
      <c r="C95" s="40" t="s">
        <v>163</v>
      </c>
      <c r="D95" s="57"/>
      <c r="E95" s="34"/>
      <c r="F95" s="34">
        <v>0.1</v>
      </c>
      <c r="G95" s="34">
        <v>433.19</v>
      </c>
      <c r="H95" s="77"/>
      <c r="I95" s="12">
        <f>G95*0.1</f>
        <v>43.319000000000003</v>
      </c>
    </row>
    <row r="96" spans="1:9" s="35" customFormat="1" ht="17.25" customHeight="1">
      <c r="A96" s="26">
        <v>22</v>
      </c>
      <c r="B96" s="58" t="s">
        <v>261</v>
      </c>
      <c r="C96" s="59" t="s">
        <v>52</v>
      </c>
      <c r="D96" s="57"/>
      <c r="E96" s="34"/>
      <c r="F96" s="34">
        <v>0.01</v>
      </c>
      <c r="G96" s="34">
        <v>58109.85</v>
      </c>
      <c r="H96" s="77"/>
      <c r="I96" s="12">
        <f>G96*0.01</f>
        <v>581.09849999999994</v>
      </c>
    </row>
    <row r="97" spans="1:9" s="35" customFormat="1" ht="15.75" customHeight="1">
      <c r="A97" s="26"/>
      <c r="B97" s="45" t="s">
        <v>51</v>
      </c>
      <c r="C97" s="41"/>
      <c r="D97" s="53"/>
      <c r="E97" s="41">
        <v>1</v>
      </c>
      <c r="F97" s="41"/>
      <c r="G97" s="41"/>
      <c r="H97" s="41"/>
      <c r="I97" s="29">
        <f>SUM(I88:I96)</f>
        <v>43265.687500000007</v>
      </c>
    </row>
    <row r="98" spans="1:9" s="35" customFormat="1" ht="15.75" customHeight="1">
      <c r="A98" s="26"/>
      <c r="B98" s="51" t="s">
        <v>76</v>
      </c>
      <c r="C98" s="15"/>
      <c r="D98" s="15"/>
      <c r="E98" s="42"/>
      <c r="F98" s="42"/>
      <c r="G98" s="43"/>
      <c r="H98" s="43"/>
      <c r="I98" s="17">
        <v>0</v>
      </c>
    </row>
    <row r="99" spans="1:9" s="35" customFormat="1" ht="15.75" customHeight="1">
      <c r="A99" s="54"/>
      <c r="B99" s="46" t="s">
        <v>141</v>
      </c>
      <c r="C99" s="32"/>
      <c r="D99" s="32"/>
      <c r="E99" s="32"/>
      <c r="F99" s="32"/>
      <c r="G99" s="32"/>
      <c r="H99" s="32"/>
      <c r="I99" s="44">
        <f>I86+I97</f>
        <v>133732.48465600002</v>
      </c>
    </row>
    <row r="100" spans="1:9" ht="15.75" customHeight="1">
      <c r="A100" s="231" t="s">
        <v>340</v>
      </c>
      <c r="B100" s="231"/>
      <c r="C100" s="231"/>
      <c r="D100" s="231"/>
      <c r="E100" s="231"/>
      <c r="F100" s="231"/>
      <c r="G100" s="231"/>
      <c r="H100" s="231"/>
      <c r="I100" s="231"/>
    </row>
    <row r="101" spans="1:9" ht="15.75" customHeight="1">
      <c r="A101" s="71"/>
      <c r="B101" s="232" t="s">
        <v>341</v>
      </c>
      <c r="C101" s="232"/>
      <c r="D101" s="232"/>
      <c r="E101" s="232"/>
      <c r="F101" s="232"/>
      <c r="G101" s="232"/>
      <c r="H101" s="76"/>
      <c r="I101" s="3"/>
    </row>
    <row r="102" spans="1:9" ht="15.75" customHeight="1">
      <c r="A102" s="65"/>
      <c r="B102" s="218" t="s">
        <v>6</v>
      </c>
      <c r="C102" s="218"/>
      <c r="D102" s="218"/>
      <c r="E102" s="218"/>
      <c r="F102" s="218"/>
      <c r="G102" s="218"/>
      <c r="H102" s="21"/>
      <c r="I102" s="5"/>
    </row>
    <row r="103" spans="1:9" ht="8.2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5.75" customHeight="1">
      <c r="A104" s="219" t="s">
        <v>7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 customHeight="1">
      <c r="A105" s="219" t="s">
        <v>8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220" t="s">
        <v>60</v>
      </c>
      <c r="B106" s="220"/>
      <c r="C106" s="220"/>
      <c r="D106" s="220"/>
      <c r="E106" s="220"/>
      <c r="F106" s="220"/>
      <c r="G106" s="220"/>
      <c r="H106" s="220"/>
      <c r="I106" s="220"/>
    </row>
    <row r="107" spans="1:9" ht="15.75" customHeight="1">
      <c r="A107" s="10"/>
    </row>
    <row r="108" spans="1:9" ht="15.75" customHeight="1">
      <c r="A108" s="213" t="s">
        <v>9</v>
      </c>
      <c r="B108" s="213"/>
      <c r="C108" s="213"/>
      <c r="D108" s="213"/>
      <c r="E108" s="213"/>
      <c r="F108" s="213"/>
      <c r="G108" s="213"/>
      <c r="H108" s="213"/>
      <c r="I108" s="213"/>
    </row>
    <row r="109" spans="1:9" ht="15.75" customHeight="1">
      <c r="A109" s="4"/>
    </row>
    <row r="110" spans="1:9" ht="15.75" customHeight="1">
      <c r="B110" s="70" t="s">
        <v>10</v>
      </c>
      <c r="C110" s="214" t="s">
        <v>84</v>
      </c>
      <c r="D110" s="214"/>
      <c r="E110" s="214"/>
      <c r="F110" s="74"/>
      <c r="I110" s="67"/>
    </row>
    <row r="111" spans="1:9" ht="15.75" customHeight="1">
      <c r="A111" s="65"/>
      <c r="C111" s="218" t="s">
        <v>11</v>
      </c>
      <c r="D111" s="218"/>
      <c r="E111" s="218"/>
      <c r="F111" s="21"/>
      <c r="I111" s="66" t="s">
        <v>12</v>
      </c>
    </row>
    <row r="112" spans="1:9" ht="15.75" customHeight="1">
      <c r="A112" s="22"/>
      <c r="C112" s="11"/>
      <c r="D112" s="11"/>
      <c r="G112" s="11"/>
      <c r="H112" s="11"/>
    </row>
    <row r="113" spans="1:9" ht="15.75" customHeight="1">
      <c r="B113" s="70" t="s">
        <v>13</v>
      </c>
      <c r="C113" s="215"/>
      <c r="D113" s="215"/>
      <c r="E113" s="215"/>
      <c r="F113" s="75"/>
      <c r="I113" s="67"/>
    </row>
    <row r="114" spans="1:9" ht="15.75" customHeight="1">
      <c r="A114" s="65"/>
      <c r="C114" s="216" t="s">
        <v>11</v>
      </c>
      <c r="D114" s="216"/>
      <c r="E114" s="216"/>
      <c r="F114" s="65"/>
      <c r="I114" s="66" t="s">
        <v>12</v>
      </c>
    </row>
    <row r="115" spans="1:9" ht="15.75" customHeight="1">
      <c r="A115" s="4" t="s">
        <v>14</v>
      </c>
    </row>
    <row r="116" spans="1:9">
      <c r="A116" s="217" t="s">
        <v>15</v>
      </c>
      <c r="B116" s="217"/>
      <c r="C116" s="217"/>
      <c r="D116" s="217"/>
      <c r="E116" s="217"/>
      <c r="F116" s="217"/>
      <c r="G116" s="217"/>
      <c r="H116" s="217"/>
      <c r="I116" s="217"/>
    </row>
    <row r="117" spans="1:9" ht="45" customHeight="1">
      <c r="A117" s="212" t="s">
        <v>16</v>
      </c>
      <c r="B117" s="212"/>
      <c r="C117" s="212"/>
      <c r="D117" s="212"/>
      <c r="E117" s="212"/>
      <c r="F117" s="212"/>
      <c r="G117" s="212"/>
      <c r="H117" s="212"/>
      <c r="I117" s="212"/>
    </row>
    <row r="118" spans="1:9" ht="30" customHeight="1">
      <c r="A118" s="212" t="s">
        <v>17</v>
      </c>
      <c r="B118" s="212"/>
      <c r="C118" s="212"/>
      <c r="D118" s="212"/>
      <c r="E118" s="212"/>
      <c r="F118" s="212"/>
      <c r="G118" s="212"/>
      <c r="H118" s="212"/>
      <c r="I118" s="212"/>
    </row>
    <row r="119" spans="1:9" ht="30" customHeight="1">
      <c r="A119" s="212" t="s">
        <v>21</v>
      </c>
      <c r="B119" s="212"/>
      <c r="C119" s="212"/>
      <c r="D119" s="212"/>
      <c r="E119" s="212"/>
      <c r="F119" s="212"/>
      <c r="G119" s="212"/>
      <c r="H119" s="212"/>
      <c r="I119" s="212"/>
    </row>
    <row r="120" spans="1:9" ht="14.25" customHeight="1">
      <c r="A120" s="212" t="s">
        <v>20</v>
      </c>
      <c r="B120" s="212"/>
      <c r="C120" s="212"/>
      <c r="D120" s="212"/>
      <c r="E120" s="212"/>
      <c r="F120" s="212"/>
      <c r="G120" s="212"/>
      <c r="H120" s="212"/>
      <c r="I120" s="212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4:E114"/>
    <mergeCell ref="A87:I87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3:I83"/>
    <mergeCell ref="A116:I116"/>
    <mergeCell ref="A117:I117"/>
    <mergeCell ref="A118:I118"/>
    <mergeCell ref="A119:I119"/>
    <mergeCell ref="A120:I120"/>
  </mergeCells>
  <pageMargins left="0.51181102362204722" right="0.31496062992125984" top="0.27559055118110237" bottom="0.27559055118110237" header="0.31496062992125984" footer="0.31496062992125984"/>
  <pageSetup paperSize="9" scale="63" orientation="portrait" r:id="rId1"/>
  <rowBreaks count="1" manualBreakCount="1">
    <brk id="115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4"/>
  <sheetViews>
    <sheetView topLeftCell="A97" workbookViewId="0">
      <selection activeCell="B106" sqref="B106:G10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1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4" t="s">
        <v>159</v>
      </c>
      <c r="I1" s="23"/>
      <c r="J1" s="1"/>
      <c r="K1" s="1"/>
      <c r="L1" s="1"/>
      <c r="M1" s="1"/>
    </row>
    <row r="2" spans="1:13" ht="15.75" customHeight="1">
      <c r="A2" s="25" t="s">
        <v>61</v>
      </c>
      <c r="J2" s="2"/>
      <c r="K2" s="2"/>
      <c r="L2" s="2"/>
      <c r="M2" s="2"/>
    </row>
    <row r="3" spans="1:13" ht="15.75" customHeight="1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3"/>
      <c r="K3" s="3"/>
      <c r="L3" s="3"/>
    </row>
    <row r="4" spans="1:13" ht="31.5" customHeight="1">
      <c r="A4" s="235" t="s">
        <v>122</v>
      </c>
      <c r="B4" s="235"/>
      <c r="C4" s="235"/>
      <c r="D4" s="235"/>
      <c r="E4" s="235"/>
      <c r="F4" s="235"/>
      <c r="G4" s="235"/>
      <c r="H4" s="235"/>
      <c r="I4" s="235"/>
    </row>
    <row r="5" spans="1:13" ht="15.75" customHeight="1">
      <c r="A5" s="234" t="s">
        <v>262</v>
      </c>
      <c r="B5" s="236"/>
      <c r="C5" s="236"/>
      <c r="D5" s="236"/>
      <c r="E5" s="236"/>
      <c r="F5" s="236"/>
      <c r="G5" s="236"/>
      <c r="H5" s="236"/>
      <c r="I5" s="236"/>
      <c r="J5" s="2"/>
      <c r="K5" s="2"/>
      <c r="L5" s="2"/>
      <c r="M5" s="2"/>
    </row>
    <row r="6" spans="1:13" ht="15.75" customHeight="1">
      <c r="A6" s="2"/>
      <c r="B6" s="68"/>
      <c r="C6" s="68"/>
      <c r="D6" s="68"/>
      <c r="E6" s="68"/>
      <c r="F6" s="68"/>
      <c r="G6" s="68"/>
      <c r="H6" s="68"/>
      <c r="I6" s="27">
        <v>44104</v>
      </c>
      <c r="J6" s="2"/>
      <c r="K6" s="2"/>
      <c r="L6" s="2"/>
      <c r="M6" s="2"/>
    </row>
    <row r="7" spans="1:13" ht="15.75" customHeight="1">
      <c r="B7" s="70"/>
      <c r="C7" s="70"/>
      <c r="D7" s="7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37" t="s">
        <v>177</v>
      </c>
      <c r="B8" s="237"/>
      <c r="C8" s="237"/>
      <c r="D8" s="237"/>
      <c r="E8" s="237"/>
      <c r="F8" s="237"/>
      <c r="G8" s="237"/>
      <c r="H8" s="237"/>
      <c r="I8" s="237"/>
      <c r="J8" s="5"/>
      <c r="K8" s="5"/>
      <c r="L8" s="5"/>
      <c r="M8" s="5"/>
    </row>
    <row r="9" spans="1:13" ht="15.75" customHeight="1">
      <c r="A9" s="4"/>
      <c r="J9" s="2"/>
      <c r="K9" s="2"/>
      <c r="L9" s="2"/>
      <c r="M9" s="2"/>
    </row>
    <row r="10" spans="1:13" ht="47.25" customHeight="1">
      <c r="A10" s="238" t="s">
        <v>155</v>
      </c>
      <c r="B10" s="238"/>
      <c r="C10" s="238"/>
      <c r="D10" s="238"/>
      <c r="E10" s="238"/>
      <c r="F10" s="238"/>
      <c r="G10" s="238"/>
      <c r="H10" s="238"/>
      <c r="I10" s="238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s="35" customFormat="1" ht="15.75" customHeight="1">
      <c r="A14" s="239" t="s">
        <v>58</v>
      </c>
      <c r="B14" s="239"/>
      <c r="C14" s="239"/>
      <c r="D14" s="239"/>
      <c r="E14" s="239"/>
      <c r="F14" s="239"/>
      <c r="G14" s="239"/>
      <c r="H14" s="239"/>
      <c r="I14" s="239"/>
      <c r="J14" s="60"/>
      <c r="K14" s="60"/>
      <c r="L14" s="60"/>
      <c r="M14" s="60"/>
    </row>
    <row r="15" spans="1:13" s="35" customFormat="1" ht="15.75" customHeight="1">
      <c r="A15" s="221" t="s">
        <v>4</v>
      </c>
      <c r="B15" s="221"/>
      <c r="C15" s="221"/>
      <c r="D15" s="221"/>
      <c r="E15" s="221"/>
      <c r="F15" s="221"/>
      <c r="G15" s="221"/>
      <c r="H15" s="221"/>
      <c r="I15" s="221"/>
      <c r="J15" s="60"/>
      <c r="K15" s="60"/>
      <c r="L15" s="60"/>
      <c r="M15" s="60"/>
    </row>
    <row r="16" spans="1:13" s="35" customFormat="1" ht="15.75" customHeight="1">
      <c r="A16" s="26">
        <v>1</v>
      </c>
      <c r="B16" s="30" t="s">
        <v>82</v>
      </c>
      <c r="C16" s="39" t="s">
        <v>98</v>
      </c>
      <c r="D16" s="30" t="s">
        <v>192</v>
      </c>
      <c r="E16" s="138">
        <v>169.2</v>
      </c>
      <c r="F16" s="110">
        <f>SUM(E16*156/100)</f>
        <v>263.952</v>
      </c>
      <c r="G16" s="110">
        <v>239.2</v>
      </c>
      <c r="H16" s="88">
        <f t="shared" ref="H16:H26" si="0">SUM(F16*G16/1000)</f>
        <v>63.137318399999998</v>
      </c>
      <c r="I16" s="12">
        <f>F16/12*G16</f>
        <v>5261.4431999999997</v>
      </c>
      <c r="J16" s="60"/>
      <c r="K16" s="60"/>
      <c r="L16" s="60"/>
      <c r="M16" s="60"/>
    </row>
    <row r="17" spans="1:13" s="35" customFormat="1" ht="15.75" customHeight="1">
      <c r="A17" s="26">
        <v>2</v>
      </c>
      <c r="B17" s="30" t="s">
        <v>86</v>
      </c>
      <c r="C17" s="39" t="s">
        <v>98</v>
      </c>
      <c r="D17" s="30" t="s">
        <v>193</v>
      </c>
      <c r="E17" s="138">
        <v>676.6</v>
      </c>
      <c r="F17" s="110">
        <f>SUM(E17*104/100)</f>
        <v>703.6640000000001</v>
      </c>
      <c r="G17" s="110">
        <v>239.2</v>
      </c>
      <c r="H17" s="88">
        <f t="shared" si="0"/>
        <v>168.31642880000001</v>
      </c>
      <c r="I17" s="12">
        <f>F17/12*G17</f>
        <v>14026.369066666668</v>
      </c>
      <c r="J17" s="61"/>
      <c r="K17" s="60"/>
      <c r="L17" s="60"/>
      <c r="M17" s="60"/>
    </row>
    <row r="18" spans="1:13" s="35" customFormat="1" ht="15.75" customHeight="1">
      <c r="A18" s="26">
        <v>3</v>
      </c>
      <c r="B18" s="30" t="s">
        <v>87</v>
      </c>
      <c r="C18" s="39" t="s">
        <v>98</v>
      </c>
      <c r="D18" s="30" t="s">
        <v>200</v>
      </c>
      <c r="E18" s="138">
        <f>SUM(E16+E17)</f>
        <v>845.8</v>
      </c>
      <c r="F18" s="110">
        <f>E18*18/100</f>
        <v>152.244</v>
      </c>
      <c r="G18" s="110">
        <v>688.14</v>
      </c>
      <c r="H18" s="88">
        <f t="shared" si="0"/>
        <v>104.76518616</v>
      </c>
      <c r="I18" s="12">
        <f>F18/18*2*G18</f>
        <v>11640.57624</v>
      </c>
      <c r="J18" s="61"/>
      <c r="K18" s="60"/>
      <c r="L18" s="60"/>
      <c r="M18" s="60"/>
    </row>
    <row r="19" spans="1:13" s="35" customFormat="1" ht="15.75" hidden="1" customHeight="1">
      <c r="A19" s="26">
        <v>4</v>
      </c>
      <c r="B19" s="84" t="s">
        <v>99</v>
      </c>
      <c r="C19" s="85" t="s">
        <v>100</v>
      </c>
      <c r="D19" s="84" t="s">
        <v>101</v>
      </c>
      <c r="E19" s="86">
        <v>51.2</v>
      </c>
      <c r="F19" s="87">
        <f>SUM(E19/10)</f>
        <v>5.12</v>
      </c>
      <c r="G19" s="87">
        <v>170.16</v>
      </c>
      <c r="H19" s="88">
        <f t="shared" si="0"/>
        <v>0.87121919999999997</v>
      </c>
      <c r="I19" s="12">
        <f>F19/2*G19</f>
        <v>435.6096</v>
      </c>
      <c r="J19" s="61"/>
      <c r="K19" s="60"/>
      <c r="L19" s="60"/>
      <c r="M19" s="60"/>
    </row>
    <row r="20" spans="1:13" s="35" customFormat="1" ht="15.75" hidden="1" customHeight="1">
      <c r="A20" s="26">
        <v>5</v>
      </c>
      <c r="B20" s="84" t="s">
        <v>90</v>
      </c>
      <c r="C20" s="85" t="s">
        <v>98</v>
      </c>
      <c r="D20" s="84" t="s">
        <v>53</v>
      </c>
      <c r="E20" s="86">
        <v>57.5</v>
      </c>
      <c r="F20" s="87">
        <f>SUM(E20/100)</f>
        <v>0.57499999999999996</v>
      </c>
      <c r="G20" s="87">
        <v>217.88</v>
      </c>
      <c r="H20" s="88">
        <f t="shared" si="0"/>
        <v>0.125281</v>
      </c>
      <c r="I20" s="12">
        <f>F20*G20</f>
        <v>125.28099999999999</v>
      </c>
      <c r="J20" s="61"/>
      <c r="K20" s="60"/>
      <c r="L20" s="60"/>
      <c r="M20" s="60"/>
    </row>
    <row r="21" spans="1:13" s="35" customFormat="1" ht="15.75" hidden="1" customHeight="1">
      <c r="A21" s="26">
        <v>6</v>
      </c>
      <c r="B21" s="84" t="s">
        <v>91</v>
      </c>
      <c r="C21" s="85" t="s">
        <v>98</v>
      </c>
      <c r="D21" s="84" t="s">
        <v>53</v>
      </c>
      <c r="E21" s="86">
        <v>13.41</v>
      </c>
      <c r="F21" s="87">
        <f>SUM(E21/100)</f>
        <v>0.1341</v>
      </c>
      <c r="G21" s="87">
        <v>216.12</v>
      </c>
      <c r="H21" s="88">
        <f t="shared" si="0"/>
        <v>2.8981692E-2</v>
      </c>
      <c r="I21" s="12">
        <f t="shared" ref="I21:I26" si="1">F21*G21</f>
        <v>28.981691999999999</v>
      </c>
      <c r="J21" s="61"/>
      <c r="K21" s="60"/>
      <c r="L21" s="60"/>
      <c r="M21" s="60"/>
    </row>
    <row r="22" spans="1:13" s="35" customFormat="1" ht="15.75" hidden="1" customHeight="1">
      <c r="A22" s="26">
        <v>7</v>
      </c>
      <c r="B22" s="84" t="s">
        <v>102</v>
      </c>
      <c r="C22" s="85" t="s">
        <v>52</v>
      </c>
      <c r="D22" s="84" t="s">
        <v>101</v>
      </c>
      <c r="E22" s="86">
        <v>1025.5999999999999</v>
      </c>
      <c r="F22" s="87">
        <f>SUM(E22/100)</f>
        <v>10.255999999999998</v>
      </c>
      <c r="G22" s="87">
        <v>269.26</v>
      </c>
      <c r="H22" s="88">
        <f t="shared" si="0"/>
        <v>2.7615305599999997</v>
      </c>
      <c r="I22" s="12">
        <f t="shared" si="1"/>
        <v>2761.5305599999997</v>
      </c>
      <c r="J22" s="61"/>
      <c r="K22" s="60"/>
      <c r="L22" s="60"/>
      <c r="M22" s="60"/>
    </row>
    <row r="23" spans="1:13" s="35" customFormat="1" ht="15.75" hidden="1" customHeight="1">
      <c r="A23" s="26">
        <v>8</v>
      </c>
      <c r="B23" s="84" t="s">
        <v>103</v>
      </c>
      <c r="C23" s="85" t="s">
        <v>52</v>
      </c>
      <c r="D23" s="84" t="s">
        <v>101</v>
      </c>
      <c r="E23" s="89">
        <v>60.5</v>
      </c>
      <c r="F23" s="87">
        <f>SUM(E23/100)</f>
        <v>0.60499999999999998</v>
      </c>
      <c r="G23" s="87">
        <v>44.29</v>
      </c>
      <c r="H23" s="88">
        <f t="shared" si="0"/>
        <v>2.6795449999999998E-2</v>
      </c>
      <c r="I23" s="12">
        <f t="shared" si="1"/>
        <v>26.795449999999999</v>
      </c>
      <c r="J23" s="61"/>
      <c r="K23" s="60"/>
      <c r="L23" s="60"/>
      <c r="M23" s="60"/>
    </row>
    <row r="24" spans="1:13" s="35" customFormat="1" ht="15.75" hidden="1" customHeight="1">
      <c r="A24" s="26">
        <v>9</v>
      </c>
      <c r="B24" s="84" t="s">
        <v>94</v>
      </c>
      <c r="C24" s="85" t="s">
        <v>52</v>
      </c>
      <c r="D24" s="84" t="s">
        <v>53</v>
      </c>
      <c r="E24" s="90">
        <v>19.149999999999999</v>
      </c>
      <c r="F24" s="87">
        <f>E24/100</f>
        <v>0.19149999999999998</v>
      </c>
      <c r="G24" s="87">
        <v>389.42</v>
      </c>
      <c r="H24" s="88">
        <f>G24*F24/100</f>
        <v>0.74573929999999988</v>
      </c>
      <c r="I24" s="12">
        <f t="shared" si="1"/>
        <v>74.57392999999999</v>
      </c>
      <c r="J24" s="61"/>
      <c r="K24" s="60"/>
      <c r="L24" s="60"/>
      <c r="M24" s="60"/>
    </row>
    <row r="25" spans="1:13" s="35" customFormat="1" ht="31.5" hidden="1" customHeight="1">
      <c r="A25" s="26">
        <v>10</v>
      </c>
      <c r="B25" s="84" t="s">
        <v>123</v>
      </c>
      <c r="C25" s="85" t="s">
        <v>52</v>
      </c>
      <c r="D25" s="84" t="s">
        <v>53</v>
      </c>
      <c r="E25" s="91">
        <v>31.5</v>
      </c>
      <c r="F25" s="87">
        <f>E25/100</f>
        <v>0.315</v>
      </c>
      <c r="G25" s="87">
        <v>216.12</v>
      </c>
      <c r="H25" s="88">
        <f>G25*F25/1000</f>
        <v>6.8077799999999994E-2</v>
      </c>
      <c r="I25" s="12">
        <f t="shared" si="1"/>
        <v>68.077799999999996</v>
      </c>
      <c r="J25" s="61"/>
      <c r="K25" s="60"/>
      <c r="L25" s="60"/>
      <c r="M25" s="60"/>
    </row>
    <row r="26" spans="1:13" s="35" customFormat="1" ht="15.75" hidden="1" customHeight="1">
      <c r="A26" s="26">
        <v>11</v>
      </c>
      <c r="B26" s="84" t="s">
        <v>95</v>
      </c>
      <c r="C26" s="85" t="s">
        <v>52</v>
      </c>
      <c r="D26" s="84" t="s">
        <v>53</v>
      </c>
      <c r="E26" s="86">
        <v>37.5</v>
      </c>
      <c r="F26" s="87">
        <f>SUM(E26/100)</f>
        <v>0.375</v>
      </c>
      <c r="G26" s="87">
        <v>520.79999999999995</v>
      </c>
      <c r="H26" s="88">
        <f t="shared" si="0"/>
        <v>0.19529999999999997</v>
      </c>
      <c r="I26" s="12">
        <f t="shared" si="1"/>
        <v>195.29999999999998</v>
      </c>
      <c r="J26" s="61"/>
      <c r="K26" s="60"/>
      <c r="L26" s="60"/>
      <c r="M26" s="60"/>
    </row>
    <row r="27" spans="1:13" s="35" customFormat="1" ht="15.75" customHeight="1">
      <c r="A27" s="26">
        <v>4</v>
      </c>
      <c r="B27" s="30" t="s">
        <v>191</v>
      </c>
      <c r="C27" s="39" t="s">
        <v>25</v>
      </c>
      <c r="D27" s="30" t="s">
        <v>195</v>
      </c>
      <c r="E27" s="138">
        <v>5.6</v>
      </c>
      <c r="F27" s="110">
        <f>E27*258</f>
        <v>1444.8</v>
      </c>
      <c r="G27" s="110">
        <v>10.39</v>
      </c>
      <c r="H27" s="88">
        <f>SUM(F27*G27/1000)</f>
        <v>15.011471999999999</v>
      </c>
      <c r="I27" s="12">
        <f>F27/12*G27</f>
        <v>1250.9559999999999</v>
      </c>
      <c r="J27" s="61"/>
      <c r="K27" s="60"/>
      <c r="L27" s="60"/>
      <c r="M27" s="60"/>
    </row>
    <row r="28" spans="1:13" s="35" customFormat="1" ht="15.75" customHeight="1">
      <c r="A28" s="221" t="s">
        <v>81</v>
      </c>
      <c r="B28" s="221"/>
      <c r="C28" s="221"/>
      <c r="D28" s="221"/>
      <c r="E28" s="221"/>
      <c r="F28" s="221"/>
      <c r="G28" s="221"/>
      <c r="H28" s="221"/>
      <c r="I28" s="221"/>
      <c r="J28" s="61"/>
      <c r="K28" s="60"/>
      <c r="L28" s="60"/>
      <c r="M28" s="60"/>
    </row>
    <row r="29" spans="1:13" s="35" customFormat="1" ht="15.75" customHeight="1">
      <c r="A29" s="40"/>
      <c r="B29" s="50" t="s">
        <v>28</v>
      </c>
      <c r="C29" s="50"/>
      <c r="D29" s="50"/>
      <c r="E29" s="50"/>
      <c r="F29" s="50"/>
      <c r="G29" s="50"/>
      <c r="H29" s="50"/>
      <c r="I29" s="18"/>
      <c r="J29" s="61"/>
      <c r="K29" s="60"/>
      <c r="L29" s="60"/>
      <c r="M29" s="60"/>
    </row>
    <row r="30" spans="1:13" s="35" customFormat="1" ht="15.75" customHeight="1">
      <c r="A30" s="40">
        <v>5</v>
      </c>
      <c r="B30" s="30" t="s">
        <v>104</v>
      </c>
      <c r="C30" s="39" t="s">
        <v>105</v>
      </c>
      <c r="D30" s="30" t="s">
        <v>193</v>
      </c>
      <c r="E30" s="110">
        <v>423</v>
      </c>
      <c r="F30" s="110">
        <f>SUM(E30*52/1000)</f>
        <v>21.995999999999999</v>
      </c>
      <c r="G30" s="110">
        <v>212.62</v>
      </c>
      <c r="H30" s="88">
        <f>SUM(F30*G30/1000)</f>
        <v>4.6767895200000007</v>
      </c>
      <c r="I30" s="12">
        <f>F30/6*G30</f>
        <v>779.46492000000001</v>
      </c>
      <c r="J30" s="61"/>
      <c r="K30" s="60"/>
      <c r="L30" s="60"/>
      <c r="M30" s="60"/>
    </row>
    <row r="31" spans="1:13" s="35" customFormat="1" ht="31.5" customHeight="1">
      <c r="A31" s="40">
        <v>6</v>
      </c>
      <c r="B31" s="30" t="s">
        <v>134</v>
      </c>
      <c r="C31" s="39" t="s">
        <v>105</v>
      </c>
      <c r="D31" s="30" t="s">
        <v>193</v>
      </c>
      <c r="E31" s="110">
        <v>289.39999999999998</v>
      </c>
      <c r="F31" s="110">
        <f>SUM(E31*52/1000)</f>
        <v>15.0488</v>
      </c>
      <c r="G31" s="110">
        <v>352.77</v>
      </c>
      <c r="H31" s="88">
        <f>SUM(F31*G31/1000)</f>
        <v>5.3087651759999996</v>
      </c>
      <c r="I31" s="12">
        <f>F31/6*G31</f>
        <v>884.79419599999994</v>
      </c>
      <c r="J31" s="61"/>
      <c r="K31" s="60"/>
      <c r="L31" s="60"/>
      <c r="M31" s="60"/>
    </row>
    <row r="32" spans="1:13" s="35" customFormat="1" ht="15.75" hidden="1" customHeight="1">
      <c r="A32" s="40">
        <v>16</v>
      </c>
      <c r="B32" s="30" t="s">
        <v>27</v>
      </c>
      <c r="C32" s="39" t="s">
        <v>105</v>
      </c>
      <c r="D32" s="30" t="s">
        <v>201</v>
      </c>
      <c r="E32" s="110">
        <v>423</v>
      </c>
      <c r="F32" s="110">
        <f>SUM(E32/1000)</f>
        <v>0.42299999999999999</v>
      </c>
      <c r="G32" s="110">
        <v>4119.68</v>
      </c>
      <c r="H32" s="88">
        <f>SUM(F32*G32/1000)</f>
        <v>1.7426246400000001</v>
      </c>
      <c r="I32" s="12">
        <f>F32*G32</f>
        <v>1742.62464</v>
      </c>
      <c r="J32" s="61"/>
      <c r="K32" s="60"/>
      <c r="L32" s="60"/>
      <c r="M32" s="60"/>
    </row>
    <row r="33" spans="1:14" s="35" customFormat="1" ht="15.75" customHeight="1">
      <c r="A33" s="40">
        <v>7</v>
      </c>
      <c r="B33" s="30" t="s">
        <v>132</v>
      </c>
      <c r="C33" s="39" t="s">
        <v>39</v>
      </c>
      <c r="D33" s="30" t="s">
        <v>197</v>
      </c>
      <c r="E33" s="110">
        <v>8</v>
      </c>
      <c r="F33" s="110">
        <v>12.4</v>
      </c>
      <c r="G33" s="110">
        <v>1775.94</v>
      </c>
      <c r="H33" s="88">
        <v>16.145</v>
      </c>
      <c r="I33" s="12">
        <f>F33/6*G33</f>
        <v>3670.2760000000003</v>
      </c>
      <c r="J33" s="61"/>
      <c r="K33" s="60"/>
      <c r="L33" s="60"/>
      <c r="M33" s="60"/>
    </row>
    <row r="34" spans="1:14" s="35" customFormat="1" ht="15.75" hidden="1" customHeight="1">
      <c r="A34" s="40">
        <v>4</v>
      </c>
      <c r="B34" s="84" t="s">
        <v>63</v>
      </c>
      <c r="C34" s="85" t="s">
        <v>33</v>
      </c>
      <c r="D34" s="84" t="s">
        <v>65</v>
      </c>
      <c r="E34" s="86"/>
      <c r="F34" s="87">
        <v>3</v>
      </c>
      <c r="G34" s="87">
        <v>191.32</v>
      </c>
      <c r="H34" s="88">
        <f>SUM(F34*G34/1000)</f>
        <v>0.57396000000000003</v>
      </c>
      <c r="I34" s="12">
        <v>0</v>
      </c>
      <c r="J34" s="61"/>
      <c r="K34" s="60"/>
    </row>
    <row r="35" spans="1:14" s="35" customFormat="1" ht="15.75" hidden="1" customHeight="1">
      <c r="A35" s="26">
        <v>8</v>
      </c>
      <c r="B35" s="84" t="s">
        <v>64</v>
      </c>
      <c r="C35" s="85" t="s">
        <v>32</v>
      </c>
      <c r="D35" s="84" t="s">
        <v>65</v>
      </c>
      <c r="E35" s="86"/>
      <c r="F35" s="87">
        <v>2</v>
      </c>
      <c r="G35" s="87">
        <v>1136.32</v>
      </c>
      <c r="H35" s="88">
        <f>SUM(F35*G35/1000)</f>
        <v>2.27264</v>
      </c>
      <c r="I35" s="12">
        <v>0</v>
      </c>
      <c r="J35" s="62"/>
    </row>
    <row r="36" spans="1:14" s="35" customFormat="1" ht="15.75" hidden="1" customHeight="1">
      <c r="A36" s="40"/>
      <c r="B36" s="48" t="s">
        <v>5</v>
      </c>
      <c r="C36" s="48"/>
      <c r="D36" s="48"/>
      <c r="E36" s="12"/>
      <c r="F36" s="12"/>
      <c r="G36" s="13"/>
      <c r="H36" s="13"/>
      <c r="I36" s="18"/>
      <c r="J36" s="62"/>
    </row>
    <row r="37" spans="1:14" s="35" customFormat="1" ht="15.75" hidden="1" customHeight="1">
      <c r="A37" s="31">
        <v>6</v>
      </c>
      <c r="B37" s="84" t="s">
        <v>26</v>
      </c>
      <c r="C37" s="85" t="s">
        <v>32</v>
      </c>
      <c r="D37" s="84"/>
      <c r="E37" s="86"/>
      <c r="F37" s="87">
        <v>10</v>
      </c>
      <c r="G37" s="87">
        <v>1527.22</v>
      </c>
      <c r="H37" s="88">
        <f t="shared" ref="H37:H43" si="2">SUM(F37*G37/1000)</f>
        <v>15.272200000000002</v>
      </c>
      <c r="I37" s="12">
        <f t="shared" ref="I37:I43" si="3">F37/6*G37</f>
        <v>2545.3666666666668</v>
      </c>
      <c r="J37" s="62"/>
    </row>
    <row r="38" spans="1:14" s="35" customFormat="1" ht="15.75" hidden="1" customHeight="1">
      <c r="A38" s="31">
        <v>7</v>
      </c>
      <c r="B38" s="84" t="s">
        <v>97</v>
      </c>
      <c r="C38" s="85" t="s">
        <v>29</v>
      </c>
      <c r="D38" s="84" t="s">
        <v>124</v>
      </c>
      <c r="E38" s="87">
        <v>634</v>
      </c>
      <c r="F38" s="87">
        <f>SUM(E38*12/1000)</f>
        <v>7.6079999999999997</v>
      </c>
      <c r="G38" s="87">
        <v>2102.71</v>
      </c>
      <c r="H38" s="88">
        <f t="shared" si="2"/>
        <v>15.997417679999998</v>
      </c>
      <c r="I38" s="12">
        <f t="shared" si="3"/>
        <v>2666.2362800000001</v>
      </c>
      <c r="J38" s="62"/>
    </row>
    <row r="39" spans="1:14" s="35" customFormat="1" ht="15.75" hidden="1" customHeight="1">
      <c r="A39" s="31">
        <v>8</v>
      </c>
      <c r="B39" s="84" t="s">
        <v>125</v>
      </c>
      <c r="C39" s="85" t="s">
        <v>29</v>
      </c>
      <c r="D39" s="84" t="s">
        <v>126</v>
      </c>
      <c r="E39" s="87">
        <v>289.39999999999998</v>
      </c>
      <c r="F39" s="87">
        <f>SUM(E39*30/1000)</f>
        <v>8.6820000000000004</v>
      </c>
      <c r="G39" s="87">
        <v>2102.71</v>
      </c>
      <c r="H39" s="88">
        <f t="shared" si="2"/>
        <v>18.255728220000002</v>
      </c>
      <c r="I39" s="12">
        <f t="shared" si="3"/>
        <v>3042.6213700000003</v>
      </c>
      <c r="J39" s="62"/>
    </row>
    <row r="40" spans="1:14" s="35" customFormat="1" ht="15.75" hidden="1" customHeight="1">
      <c r="A40" s="31">
        <v>9</v>
      </c>
      <c r="B40" s="84" t="s">
        <v>66</v>
      </c>
      <c r="C40" s="85" t="s">
        <v>29</v>
      </c>
      <c r="D40" s="84" t="s">
        <v>109</v>
      </c>
      <c r="E40" s="87">
        <v>289.39999999999998</v>
      </c>
      <c r="F40" s="87">
        <f>SUM(E40*155/1000)</f>
        <v>44.856999999999999</v>
      </c>
      <c r="G40" s="87">
        <v>350.75</v>
      </c>
      <c r="H40" s="88">
        <f t="shared" si="2"/>
        <v>15.73359275</v>
      </c>
      <c r="I40" s="12">
        <f t="shared" si="3"/>
        <v>2622.2654583333333</v>
      </c>
      <c r="J40" s="62"/>
    </row>
    <row r="41" spans="1:14" s="35" customFormat="1" ht="47.25" hidden="1" customHeight="1">
      <c r="A41" s="31">
        <v>10</v>
      </c>
      <c r="B41" s="84" t="s">
        <v>79</v>
      </c>
      <c r="C41" s="85" t="s">
        <v>105</v>
      </c>
      <c r="D41" s="84" t="s">
        <v>127</v>
      </c>
      <c r="E41" s="87">
        <v>108</v>
      </c>
      <c r="F41" s="87">
        <f>SUM(E41*24/1000)</f>
        <v>2.5920000000000001</v>
      </c>
      <c r="G41" s="87">
        <v>5803.28</v>
      </c>
      <c r="H41" s="88">
        <f t="shared" si="2"/>
        <v>15.04210176</v>
      </c>
      <c r="I41" s="12">
        <f t="shared" si="3"/>
        <v>2507.0169599999999</v>
      </c>
      <c r="J41" s="62"/>
    </row>
    <row r="42" spans="1:14" s="35" customFormat="1" ht="15.75" hidden="1" customHeight="1">
      <c r="A42" s="31">
        <v>11</v>
      </c>
      <c r="B42" s="84" t="s">
        <v>110</v>
      </c>
      <c r="C42" s="85" t="s">
        <v>105</v>
      </c>
      <c r="D42" s="84" t="s">
        <v>67</v>
      </c>
      <c r="E42" s="87">
        <v>134.4</v>
      </c>
      <c r="F42" s="87">
        <f>SUM(E42*45/1000)</f>
        <v>6.048</v>
      </c>
      <c r="G42" s="87">
        <v>428.7</v>
      </c>
      <c r="H42" s="88">
        <f t="shared" si="2"/>
        <v>2.5927775999999998</v>
      </c>
      <c r="I42" s="12">
        <f t="shared" si="3"/>
        <v>432.12959999999998</v>
      </c>
      <c r="J42" s="62"/>
      <c r="L42" s="19"/>
      <c r="M42" s="20"/>
      <c r="N42" s="28"/>
    </row>
    <row r="43" spans="1:14" s="35" customFormat="1" ht="15.75" hidden="1" customHeight="1">
      <c r="A43" s="31">
        <v>12</v>
      </c>
      <c r="B43" s="84" t="s">
        <v>68</v>
      </c>
      <c r="C43" s="85" t="s">
        <v>33</v>
      </c>
      <c r="D43" s="84"/>
      <c r="E43" s="86"/>
      <c r="F43" s="87">
        <v>0.9</v>
      </c>
      <c r="G43" s="87">
        <v>798</v>
      </c>
      <c r="H43" s="88">
        <f t="shared" si="2"/>
        <v>0.71820000000000006</v>
      </c>
      <c r="I43" s="12">
        <f t="shared" si="3"/>
        <v>119.69999999999999</v>
      </c>
      <c r="J43" s="62"/>
      <c r="L43" s="19"/>
      <c r="M43" s="20"/>
      <c r="N43" s="28"/>
    </row>
    <row r="44" spans="1:14" s="35" customFormat="1" ht="15.75" customHeight="1">
      <c r="A44" s="222" t="s">
        <v>138</v>
      </c>
      <c r="B44" s="223"/>
      <c r="C44" s="223"/>
      <c r="D44" s="223"/>
      <c r="E44" s="223"/>
      <c r="F44" s="223"/>
      <c r="G44" s="223"/>
      <c r="H44" s="223"/>
      <c r="I44" s="224"/>
      <c r="J44" s="62"/>
      <c r="L44" s="19"/>
      <c r="M44" s="20"/>
      <c r="N44" s="28"/>
    </row>
    <row r="45" spans="1:14" s="35" customFormat="1" ht="15.75" customHeight="1">
      <c r="A45" s="40">
        <v>8</v>
      </c>
      <c r="B45" s="30" t="s">
        <v>111</v>
      </c>
      <c r="C45" s="39" t="s">
        <v>105</v>
      </c>
      <c r="D45" s="30" t="s">
        <v>194</v>
      </c>
      <c r="E45" s="138">
        <v>1662.5</v>
      </c>
      <c r="F45" s="110">
        <f>SUM(E45*2/1000)</f>
        <v>3.3250000000000002</v>
      </c>
      <c r="G45" s="34">
        <v>1158.7</v>
      </c>
      <c r="H45" s="88">
        <f t="shared" ref="H45:H53" si="4">SUM(F45*G45/1000)</f>
        <v>3.8526775000000004</v>
      </c>
      <c r="I45" s="12">
        <f>F45/2*G45</f>
        <v>1926.3387500000001</v>
      </c>
      <c r="J45" s="62"/>
      <c r="L45" s="19"/>
      <c r="M45" s="20"/>
      <c r="N45" s="28"/>
    </row>
    <row r="46" spans="1:14" s="35" customFormat="1" ht="15.75" customHeight="1">
      <c r="A46" s="40">
        <v>9</v>
      </c>
      <c r="B46" s="30" t="s">
        <v>183</v>
      </c>
      <c r="C46" s="39" t="s">
        <v>105</v>
      </c>
      <c r="D46" s="30" t="s">
        <v>194</v>
      </c>
      <c r="E46" s="138">
        <v>92.8</v>
      </c>
      <c r="F46" s="110">
        <f>SUM(E46*2/1000)</f>
        <v>0.18559999999999999</v>
      </c>
      <c r="G46" s="34">
        <v>790.38</v>
      </c>
      <c r="H46" s="88">
        <f t="shared" si="4"/>
        <v>0.14669452799999999</v>
      </c>
      <c r="I46" s="12">
        <f>F46/2*G46</f>
        <v>73.347263999999996</v>
      </c>
      <c r="J46" s="62"/>
      <c r="L46" s="19"/>
      <c r="M46" s="20"/>
      <c r="N46" s="28"/>
    </row>
    <row r="47" spans="1:14" s="35" customFormat="1" ht="15.75" customHeight="1">
      <c r="A47" s="40">
        <v>10</v>
      </c>
      <c r="B47" s="30" t="s">
        <v>35</v>
      </c>
      <c r="C47" s="39" t="s">
        <v>105</v>
      </c>
      <c r="D47" s="30" t="s">
        <v>194</v>
      </c>
      <c r="E47" s="138">
        <v>4750.7</v>
      </c>
      <c r="F47" s="110">
        <f>SUM(E47*2/1000)</f>
        <v>9.5014000000000003</v>
      </c>
      <c r="G47" s="34">
        <v>790.38</v>
      </c>
      <c r="H47" s="88">
        <f t="shared" si="4"/>
        <v>7.5097165320000006</v>
      </c>
      <c r="I47" s="12">
        <f>F47/2*G47</f>
        <v>3754.8582660000002</v>
      </c>
      <c r="J47" s="62"/>
      <c r="L47" s="19"/>
      <c r="M47" s="20"/>
      <c r="N47" s="28"/>
    </row>
    <row r="48" spans="1:14" s="35" customFormat="1" ht="15.75" customHeight="1">
      <c r="A48" s="40">
        <v>11</v>
      </c>
      <c r="B48" s="30" t="s">
        <v>36</v>
      </c>
      <c r="C48" s="39" t="s">
        <v>105</v>
      </c>
      <c r="D48" s="30" t="s">
        <v>194</v>
      </c>
      <c r="E48" s="138">
        <v>2840.99</v>
      </c>
      <c r="F48" s="110">
        <f>SUM(E48*2/1000)</f>
        <v>5.6819799999999994</v>
      </c>
      <c r="G48" s="34">
        <v>827.65</v>
      </c>
      <c r="H48" s="88">
        <f t="shared" si="4"/>
        <v>4.7026907469999992</v>
      </c>
      <c r="I48" s="12">
        <f>F48/2*G48</f>
        <v>2351.3453734999998</v>
      </c>
      <c r="J48" s="62"/>
      <c r="L48" s="19"/>
      <c r="M48" s="20"/>
      <c r="N48" s="28"/>
    </row>
    <row r="49" spans="1:14" s="35" customFormat="1" ht="15.75" customHeight="1">
      <c r="A49" s="40">
        <v>12</v>
      </c>
      <c r="B49" s="30" t="s">
        <v>55</v>
      </c>
      <c r="C49" s="39" t="s">
        <v>105</v>
      </c>
      <c r="D49" s="30" t="s">
        <v>194</v>
      </c>
      <c r="E49" s="138">
        <v>1652.5</v>
      </c>
      <c r="F49" s="110">
        <f>SUM(E49*5/1000)</f>
        <v>8.2624999999999993</v>
      </c>
      <c r="G49" s="34">
        <v>1655.27</v>
      </c>
      <c r="H49" s="88">
        <f t="shared" si="4"/>
        <v>13.676668374999998</v>
      </c>
      <c r="I49" s="12">
        <f>F49/5*G49</f>
        <v>2735.3336749999999</v>
      </c>
      <c r="J49" s="62"/>
      <c r="L49" s="19"/>
      <c r="M49" s="20"/>
      <c r="N49" s="28"/>
    </row>
    <row r="50" spans="1:14" s="35" customFormat="1" ht="31.5" customHeight="1">
      <c r="A50" s="40">
        <v>13</v>
      </c>
      <c r="B50" s="30" t="s">
        <v>112</v>
      </c>
      <c r="C50" s="39" t="s">
        <v>105</v>
      </c>
      <c r="D50" s="30" t="s">
        <v>194</v>
      </c>
      <c r="E50" s="138">
        <v>1652.5</v>
      </c>
      <c r="F50" s="110">
        <f>SUM(E50*2/1000)</f>
        <v>3.3050000000000002</v>
      </c>
      <c r="G50" s="34">
        <v>1655.27</v>
      </c>
      <c r="H50" s="88">
        <f t="shared" si="4"/>
        <v>5.4706673500000003</v>
      </c>
      <c r="I50" s="12">
        <f>F50/2*G50</f>
        <v>2735.3336750000003</v>
      </c>
      <c r="J50" s="62"/>
      <c r="L50" s="19"/>
      <c r="M50" s="20"/>
      <c r="N50" s="28"/>
    </row>
    <row r="51" spans="1:14" s="35" customFormat="1" ht="31.5" customHeight="1">
      <c r="A51" s="40">
        <v>14</v>
      </c>
      <c r="B51" s="30" t="s">
        <v>113</v>
      </c>
      <c r="C51" s="39" t="s">
        <v>37</v>
      </c>
      <c r="D51" s="30" t="s">
        <v>194</v>
      </c>
      <c r="E51" s="138">
        <v>25</v>
      </c>
      <c r="F51" s="110">
        <f>SUM(E51*2/100)</f>
        <v>0.5</v>
      </c>
      <c r="G51" s="34">
        <v>3724.37</v>
      </c>
      <c r="H51" s="88">
        <f t="shared" si="4"/>
        <v>1.862185</v>
      </c>
      <c r="I51" s="12">
        <f>F51/2*G51</f>
        <v>931.09249999999997</v>
      </c>
      <c r="J51" s="62"/>
      <c r="L51" s="19"/>
      <c r="M51" s="20"/>
      <c r="N51" s="28"/>
    </row>
    <row r="52" spans="1:14" s="35" customFormat="1" ht="15.75" customHeight="1">
      <c r="A52" s="40">
        <v>15</v>
      </c>
      <c r="B52" s="30" t="s">
        <v>38</v>
      </c>
      <c r="C52" s="39" t="s">
        <v>39</v>
      </c>
      <c r="D52" s="30" t="s">
        <v>194</v>
      </c>
      <c r="E52" s="138">
        <v>1</v>
      </c>
      <c r="F52" s="110">
        <v>0.02</v>
      </c>
      <c r="G52" s="34">
        <v>7709.44</v>
      </c>
      <c r="H52" s="88">
        <f t="shared" si="4"/>
        <v>0.15418879999999999</v>
      </c>
      <c r="I52" s="12">
        <f>F52/2*G52</f>
        <v>77.094399999999993</v>
      </c>
      <c r="J52" s="62"/>
      <c r="L52" s="19"/>
      <c r="M52" s="20"/>
      <c r="N52" s="28"/>
    </row>
    <row r="53" spans="1:14" s="35" customFormat="1" ht="19.5" customHeight="1">
      <c r="A53" s="40">
        <v>16</v>
      </c>
      <c r="B53" s="30" t="s">
        <v>40</v>
      </c>
      <c r="C53" s="39" t="s">
        <v>114</v>
      </c>
      <c r="D53" s="193">
        <v>44085</v>
      </c>
      <c r="E53" s="138">
        <v>198</v>
      </c>
      <c r="F53" s="110">
        <f>SUM(E53)*3</f>
        <v>594</v>
      </c>
      <c r="G53" s="168">
        <v>89.59</v>
      </c>
      <c r="H53" s="88">
        <f t="shared" si="4"/>
        <v>53.216459999999998</v>
      </c>
      <c r="I53" s="12">
        <f>E53*G53</f>
        <v>17738.82</v>
      </c>
      <c r="J53" s="62"/>
      <c r="L53" s="19"/>
      <c r="M53" s="20"/>
      <c r="N53" s="28"/>
    </row>
    <row r="54" spans="1:14" s="35" customFormat="1" ht="15.75" customHeight="1">
      <c r="A54" s="222" t="s">
        <v>139</v>
      </c>
      <c r="B54" s="223"/>
      <c r="C54" s="223"/>
      <c r="D54" s="223"/>
      <c r="E54" s="223"/>
      <c r="F54" s="223"/>
      <c r="G54" s="223"/>
      <c r="H54" s="223"/>
      <c r="I54" s="224"/>
      <c r="J54" s="62"/>
      <c r="L54" s="19"/>
      <c r="M54" s="20"/>
      <c r="N54" s="28"/>
    </row>
    <row r="55" spans="1:14" s="35" customFormat="1" ht="15.75" customHeight="1">
      <c r="A55" s="199"/>
      <c r="B55" s="47" t="s">
        <v>42</v>
      </c>
      <c r="C55" s="16"/>
      <c r="D55" s="15"/>
      <c r="E55" s="15"/>
      <c r="F55" s="15"/>
      <c r="G55" s="26"/>
      <c r="H55" s="26"/>
      <c r="I55" s="18"/>
      <c r="J55" s="62"/>
      <c r="L55" s="19"/>
      <c r="M55" s="20"/>
      <c r="N55" s="28"/>
    </row>
    <row r="56" spans="1:14" s="35" customFormat="1" ht="31.5" hidden="1" customHeight="1">
      <c r="A56" s="40">
        <v>16</v>
      </c>
      <c r="B56" s="84" t="s">
        <v>128</v>
      </c>
      <c r="C56" s="85" t="s">
        <v>98</v>
      </c>
      <c r="D56" s="84" t="s">
        <v>129</v>
      </c>
      <c r="E56" s="86">
        <v>166.25</v>
      </c>
      <c r="F56" s="87">
        <f>E56*6/100</f>
        <v>9.9749999999999996</v>
      </c>
      <c r="G56" s="94">
        <v>1547.28</v>
      </c>
      <c r="H56" s="88">
        <f>F56*G56/1000</f>
        <v>15.434117999999998</v>
      </c>
      <c r="I56" s="12">
        <f>F56/6*G56</f>
        <v>2572.3529999999996</v>
      </c>
      <c r="J56" s="62"/>
      <c r="L56" s="19"/>
      <c r="M56" s="20"/>
      <c r="N56" s="28"/>
    </row>
    <row r="57" spans="1:14" s="35" customFormat="1" ht="15.75" hidden="1" customHeight="1">
      <c r="A57" s="40">
        <v>17</v>
      </c>
      <c r="B57" s="95" t="s">
        <v>88</v>
      </c>
      <c r="C57" s="96" t="s">
        <v>98</v>
      </c>
      <c r="D57" s="95" t="s">
        <v>129</v>
      </c>
      <c r="E57" s="97">
        <v>56</v>
      </c>
      <c r="F57" s="98">
        <f>E57*6/100</f>
        <v>3.36</v>
      </c>
      <c r="G57" s="94">
        <v>1547.28</v>
      </c>
      <c r="H57" s="99">
        <f>F57*G57/1000</f>
        <v>5.1988607999999994</v>
      </c>
      <c r="I57" s="12">
        <f>F57/6*G57</f>
        <v>866.47679999999991</v>
      </c>
      <c r="J57" s="62"/>
      <c r="L57" s="19"/>
      <c r="M57" s="20"/>
      <c r="N57" s="28"/>
    </row>
    <row r="58" spans="1:14" s="35" customFormat="1" ht="15.75" hidden="1" customHeight="1">
      <c r="A58" s="40"/>
      <c r="B58" s="95" t="s">
        <v>92</v>
      </c>
      <c r="C58" s="96" t="s">
        <v>93</v>
      </c>
      <c r="D58" s="95" t="s">
        <v>41</v>
      </c>
      <c r="E58" s="97">
        <v>8</v>
      </c>
      <c r="F58" s="98">
        <v>16</v>
      </c>
      <c r="G58" s="100">
        <v>180.78</v>
      </c>
      <c r="H58" s="99">
        <f>F58*G58/1000</f>
        <v>2.8924799999999999</v>
      </c>
      <c r="I58" s="12">
        <v>0</v>
      </c>
      <c r="J58" s="62"/>
      <c r="L58" s="19"/>
      <c r="M58" s="20"/>
      <c r="N58" s="28"/>
    </row>
    <row r="59" spans="1:14" s="35" customFormat="1" ht="15.75" customHeight="1">
      <c r="A59" s="40">
        <v>17</v>
      </c>
      <c r="B59" s="113" t="s">
        <v>187</v>
      </c>
      <c r="C59" s="114" t="s">
        <v>188</v>
      </c>
      <c r="D59" s="113" t="s">
        <v>263</v>
      </c>
      <c r="E59" s="134"/>
      <c r="F59" s="190">
        <v>5</v>
      </c>
      <c r="G59" s="34">
        <v>1645</v>
      </c>
      <c r="H59" s="72"/>
      <c r="I59" s="12">
        <f>G59*7</f>
        <v>11515</v>
      </c>
      <c r="J59" s="62"/>
      <c r="L59" s="19"/>
      <c r="M59" s="20"/>
      <c r="N59" s="28"/>
    </row>
    <row r="60" spans="1:14" s="35" customFormat="1" ht="15.75" customHeight="1">
      <c r="A60" s="40"/>
      <c r="B60" s="198" t="s">
        <v>43</v>
      </c>
      <c r="C60" s="198"/>
      <c r="D60" s="198"/>
      <c r="E60" s="198"/>
      <c r="F60" s="198"/>
      <c r="G60" s="198"/>
      <c r="H60" s="198"/>
      <c r="I60" s="33"/>
      <c r="J60" s="62"/>
      <c r="L60" s="19"/>
      <c r="M60" s="20"/>
      <c r="N60" s="28"/>
    </row>
    <row r="61" spans="1:14" s="35" customFormat="1" ht="15.75" customHeight="1">
      <c r="A61" s="40">
        <v>18</v>
      </c>
      <c r="B61" s="95" t="s">
        <v>89</v>
      </c>
      <c r="C61" s="96" t="s">
        <v>25</v>
      </c>
      <c r="D61" s="95" t="s">
        <v>194</v>
      </c>
      <c r="E61" s="97">
        <v>330.5</v>
      </c>
      <c r="F61" s="135">
        <v>2400</v>
      </c>
      <c r="G61" s="147">
        <v>1.4</v>
      </c>
      <c r="H61" s="99">
        <f>G61*F61/1000</f>
        <v>3.36</v>
      </c>
      <c r="I61" s="12">
        <f>F61/12*G61</f>
        <v>280</v>
      </c>
      <c r="J61" s="62"/>
      <c r="L61" s="19"/>
      <c r="M61" s="20"/>
      <c r="N61" s="28"/>
    </row>
    <row r="62" spans="1:14" s="35" customFormat="1" ht="15.75" hidden="1" customHeight="1">
      <c r="A62" s="40"/>
      <c r="B62" s="95" t="s">
        <v>44</v>
      </c>
      <c r="C62" s="96" t="s">
        <v>25</v>
      </c>
      <c r="D62" s="95" t="s">
        <v>53</v>
      </c>
      <c r="E62" s="97">
        <v>1652.5</v>
      </c>
      <c r="F62" s="98">
        <f>E62/100</f>
        <v>16.524999999999999</v>
      </c>
      <c r="G62" s="102">
        <v>793.61</v>
      </c>
      <c r="H62" s="99">
        <f>G62*F62/1000</f>
        <v>13.114405249999999</v>
      </c>
      <c r="I62" s="12">
        <v>0</v>
      </c>
      <c r="J62" s="62"/>
      <c r="L62" s="19"/>
      <c r="M62" s="20"/>
      <c r="N62" s="28"/>
    </row>
    <row r="63" spans="1:14" s="35" customFormat="1" ht="15.75" customHeight="1">
      <c r="A63" s="40"/>
      <c r="B63" s="198" t="s">
        <v>45</v>
      </c>
      <c r="C63" s="16"/>
      <c r="D63" s="36"/>
      <c r="E63" s="15"/>
      <c r="F63" s="15"/>
      <c r="G63" s="26"/>
      <c r="H63" s="26"/>
      <c r="I63" s="18"/>
      <c r="J63" s="62"/>
      <c r="L63" s="19"/>
      <c r="M63" s="20"/>
      <c r="N63" s="28"/>
    </row>
    <row r="64" spans="1:14" s="35" customFormat="1" ht="15.75" customHeight="1">
      <c r="A64" s="40">
        <v>19</v>
      </c>
      <c r="B64" s="142" t="s">
        <v>46</v>
      </c>
      <c r="C64" s="37" t="s">
        <v>114</v>
      </c>
      <c r="D64" s="36" t="s">
        <v>192</v>
      </c>
      <c r="E64" s="17">
        <v>12</v>
      </c>
      <c r="F64" s="110">
        <f>E64*1</f>
        <v>12</v>
      </c>
      <c r="G64" s="34">
        <v>303.35000000000002</v>
      </c>
      <c r="H64" s="77">
        <f t="shared" ref="H64:H71" si="5">SUM(F64*G64/1000)</f>
        <v>3.6402000000000001</v>
      </c>
      <c r="I64" s="12">
        <f>G64*13</f>
        <v>3943.55</v>
      </c>
      <c r="J64" s="62"/>
      <c r="L64" s="19"/>
      <c r="M64" s="20"/>
      <c r="N64" s="28"/>
    </row>
    <row r="65" spans="1:22" s="35" customFormat="1" ht="15.75" hidden="1" customHeight="1">
      <c r="B65" s="14" t="s">
        <v>47</v>
      </c>
      <c r="C65" s="16" t="s">
        <v>114</v>
      </c>
      <c r="D65" s="14" t="s">
        <v>65</v>
      </c>
      <c r="E65" s="18">
        <v>8</v>
      </c>
      <c r="F65" s="87">
        <v>8</v>
      </c>
      <c r="G65" s="12">
        <v>76.25</v>
      </c>
      <c r="H65" s="77">
        <f t="shared" si="5"/>
        <v>0.61</v>
      </c>
      <c r="I65" s="12">
        <v>0</v>
      </c>
      <c r="J65" s="62"/>
      <c r="L65" s="19"/>
      <c r="M65" s="20"/>
      <c r="N65" s="28"/>
    </row>
    <row r="66" spans="1:22" s="35" customFormat="1" ht="15.75" hidden="1" customHeight="1">
      <c r="A66" s="26">
        <v>25</v>
      </c>
      <c r="B66" s="14" t="s">
        <v>48</v>
      </c>
      <c r="C66" s="16" t="s">
        <v>115</v>
      </c>
      <c r="D66" s="14" t="s">
        <v>53</v>
      </c>
      <c r="E66" s="86">
        <v>23267</v>
      </c>
      <c r="F66" s="12">
        <f>SUM(E66/100)</f>
        <v>232.67</v>
      </c>
      <c r="G66" s="12">
        <v>212.15</v>
      </c>
      <c r="H66" s="77">
        <f t="shared" si="5"/>
        <v>49.360940499999998</v>
      </c>
      <c r="I66" s="12">
        <f t="shared" ref="I66:I71" si="6">F66*G66</f>
        <v>49360.940499999997</v>
      </c>
      <c r="J66" s="62"/>
      <c r="L66" s="19"/>
      <c r="M66" s="20"/>
      <c r="N66" s="28"/>
    </row>
    <row r="67" spans="1:22" s="35" customFormat="1" ht="15.75" hidden="1" customHeight="1">
      <c r="A67" s="26">
        <v>26</v>
      </c>
      <c r="B67" s="14" t="s">
        <v>49</v>
      </c>
      <c r="C67" s="16" t="s">
        <v>116</v>
      </c>
      <c r="D67" s="14"/>
      <c r="E67" s="86">
        <v>23267</v>
      </c>
      <c r="F67" s="12">
        <f>SUM(E67/1000)</f>
        <v>23.266999999999999</v>
      </c>
      <c r="G67" s="12">
        <v>165.21</v>
      </c>
      <c r="H67" s="77">
        <f t="shared" si="5"/>
        <v>3.8439410700000005</v>
      </c>
      <c r="I67" s="12">
        <f t="shared" si="6"/>
        <v>3843.9410700000003</v>
      </c>
      <c r="J67" s="62"/>
      <c r="L67" s="19"/>
      <c r="M67" s="20"/>
      <c r="N67" s="28"/>
    </row>
    <row r="68" spans="1:22" s="35" customFormat="1" ht="15.75" hidden="1" customHeight="1">
      <c r="A68" s="26">
        <v>27</v>
      </c>
      <c r="B68" s="14" t="s">
        <v>50</v>
      </c>
      <c r="C68" s="16" t="s">
        <v>74</v>
      </c>
      <c r="D68" s="14" t="s">
        <v>53</v>
      </c>
      <c r="E68" s="86">
        <v>3145</v>
      </c>
      <c r="F68" s="12">
        <f>SUM(E68/100)</f>
        <v>31.45</v>
      </c>
      <c r="G68" s="12">
        <v>2074.63</v>
      </c>
      <c r="H68" s="77">
        <f t="shared" si="5"/>
        <v>65.247113499999998</v>
      </c>
      <c r="I68" s="12">
        <f t="shared" si="6"/>
        <v>65247.113499999999</v>
      </c>
      <c r="J68" s="62"/>
      <c r="L68" s="19"/>
    </row>
    <row r="69" spans="1:22" s="35" customFormat="1" ht="15.75" hidden="1" customHeight="1">
      <c r="A69" s="26">
        <v>28</v>
      </c>
      <c r="B69" s="104" t="s">
        <v>117</v>
      </c>
      <c r="C69" s="16" t="s">
        <v>33</v>
      </c>
      <c r="D69" s="14"/>
      <c r="E69" s="86">
        <v>20.66</v>
      </c>
      <c r="F69" s="12">
        <f>SUM(E69)</f>
        <v>20.66</v>
      </c>
      <c r="G69" s="12">
        <v>42.67</v>
      </c>
      <c r="H69" s="77">
        <f t="shared" si="5"/>
        <v>0.88156220000000007</v>
      </c>
      <c r="I69" s="12">
        <f t="shared" si="6"/>
        <v>881.56220000000008</v>
      </c>
    </row>
    <row r="70" spans="1:22" s="35" customFormat="1" ht="15.75" hidden="1" customHeight="1">
      <c r="A70" s="26">
        <v>29</v>
      </c>
      <c r="B70" s="104" t="s">
        <v>137</v>
      </c>
      <c r="C70" s="16" t="s">
        <v>33</v>
      </c>
      <c r="D70" s="14"/>
      <c r="E70" s="86">
        <v>20.66</v>
      </c>
      <c r="F70" s="12">
        <f>SUM(E70)</f>
        <v>20.66</v>
      </c>
      <c r="G70" s="12">
        <v>39.81</v>
      </c>
      <c r="H70" s="77">
        <f t="shared" si="5"/>
        <v>0.82247460000000006</v>
      </c>
      <c r="I70" s="12">
        <f t="shared" si="6"/>
        <v>822.47460000000001</v>
      </c>
    </row>
    <row r="71" spans="1:22" s="35" customFormat="1" ht="15.75" customHeight="1">
      <c r="A71" s="26">
        <v>20</v>
      </c>
      <c r="B71" s="14" t="s">
        <v>56</v>
      </c>
      <c r="C71" s="16" t="s">
        <v>57</v>
      </c>
      <c r="D71" s="14" t="s">
        <v>201</v>
      </c>
      <c r="E71" s="18">
        <v>5</v>
      </c>
      <c r="F71" s="110">
        <f>SUM(E71)</f>
        <v>5</v>
      </c>
      <c r="G71" s="34">
        <v>68.040000000000006</v>
      </c>
      <c r="H71" s="77">
        <f t="shared" si="5"/>
        <v>0.34020000000000006</v>
      </c>
      <c r="I71" s="12">
        <f t="shared" si="6"/>
        <v>340.20000000000005</v>
      </c>
    </row>
    <row r="72" spans="1:22" s="35" customFormat="1" ht="15.75" hidden="1" customHeight="1">
      <c r="A72" s="199"/>
      <c r="B72" s="198" t="s">
        <v>118</v>
      </c>
      <c r="C72" s="198"/>
      <c r="D72" s="198"/>
      <c r="E72" s="198"/>
      <c r="F72" s="198"/>
      <c r="G72" s="198"/>
      <c r="H72" s="198"/>
      <c r="I72" s="18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63"/>
    </row>
    <row r="73" spans="1:22" s="35" customFormat="1" ht="15.75" hidden="1" customHeight="1">
      <c r="A73" s="112">
        <v>18</v>
      </c>
      <c r="B73" s="95" t="s">
        <v>119</v>
      </c>
      <c r="C73" s="16"/>
      <c r="D73" s="14"/>
      <c r="E73" s="73"/>
      <c r="F73" s="12">
        <v>1</v>
      </c>
      <c r="G73" s="12">
        <v>27750</v>
      </c>
      <c r="H73" s="77">
        <f>G73*F73/1000</f>
        <v>27.75</v>
      </c>
      <c r="I73" s="12">
        <f>G73</f>
        <v>27750</v>
      </c>
      <c r="J73" s="64"/>
      <c r="K73" s="64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2" s="35" customFormat="1" ht="15.75" customHeight="1">
      <c r="A74" s="26"/>
      <c r="B74" s="129" t="s">
        <v>160</v>
      </c>
      <c r="C74" s="159"/>
      <c r="D74" s="14"/>
      <c r="E74" s="73"/>
      <c r="F74" s="12"/>
      <c r="G74" s="12"/>
      <c r="H74" s="77"/>
      <c r="I74" s="12"/>
      <c r="J74" s="64"/>
      <c r="K74" s="64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2" s="35" customFormat="1" ht="15.75" customHeight="1">
      <c r="A75" s="26">
        <v>21</v>
      </c>
      <c r="B75" s="36" t="s">
        <v>161</v>
      </c>
      <c r="C75" s="40" t="s">
        <v>162</v>
      </c>
      <c r="D75" s="14"/>
      <c r="E75" s="73"/>
      <c r="F75" s="34">
        <v>70995.600000000006</v>
      </c>
      <c r="G75" s="34">
        <v>2.37</v>
      </c>
      <c r="H75" s="77"/>
      <c r="I75" s="12">
        <f>G75*F75/12</f>
        <v>14021.631000000001</v>
      </c>
      <c r="J75" s="64"/>
      <c r="K75" s="64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2" s="35" customFormat="1" ht="16.5" customHeight="1">
      <c r="A76" s="26"/>
      <c r="B76" s="48" t="s">
        <v>70</v>
      </c>
      <c r="C76" s="48"/>
      <c r="D76" s="48"/>
      <c r="E76" s="18"/>
      <c r="F76" s="18"/>
      <c r="G76" s="26"/>
      <c r="H76" s="26"/>
      <c r="I76" s="18"/>
      <c r="J76" s="55"/>
      <c r="K76" s="55"/>
      <c r="L76" s="55"/>
      <c r="M76" s="55"/>
      <c r="N76" s="55"/>
      <c r="O76" s="55"/>
      <c r="P76" s="55"/>
      <c r="Q76" s="55"/>
      <c r="S76" s="55"/>
      <c r="T76" s="55"/>
      <c r="U76" s="55"/>
    </row>
    <row r="77" spans="1:22" s="35" customFormat="1" ht="20.25" hidden="1" customHeight="1">
      <c r="A77" s="26">
        <v>12</v>
      </c>
      <c r="B77" s="14" t="s">
        <v>71</v>
      </c>
      <c r="C77" s="16" t="s">
        <v>31</v>
      </c>
      <c r="D77" s="14"/>
      <c r="E77" s="18">
        <v>10</v>
      </c>
      <c r="F77" s="72">
        <v>1</v>
      </c>
      <c r="G77" s="12">
        <v>501.62</v>
      </c>
      <c r="H77" s="77">
        <f>F77*G77/1000</f>
        <v>0.50161999999999995</v>
      </c>
      <c r="I77" s="12">
        <f>G77*0.1</f>
        <v>50.162000000000006</v>
      </c>
      <c r="J77" s="55"/>
      <c r="K77" s="55"/>
      <c r="L77" s="55"/>
      <c r="M77" s="55"/>
      <c r="N77" s="55"/>
      <c r="O77" s="55"/>
      <c r="P77" s="55"/>
      <c r="Q77" s="55"/>
      <c r="S77" s="55"/>
      <c r="T77" s="55"/>
      <c r="U77" s="55"/>
    </row>
    <row r="78" spans="1:22" s="35" customFormat="1" ht="17.25" hidden="1" customHeight="1">
      <c r="A78" s="26">
        <v>20</v>
      </c>
      <c r="B78" s="14" t="s">
        <v>83</v>
      </c>
      <c r="C78" s="16" t="s">
        <v>30</v>
      </c>
      <c r="D78" s="14"/>
      <c r="E78" s="18">
        <v>1</v>
      </c>
      <c r="F78" s="87">
        <v>1</v>
      </c>
      <c r="G78" s="12">
        <v>358.51</v>
      </c>
      <c r="H78" s="77">
        <f>F78*G78/1000</f>
        <v>0.35851</v>
      </c>
      <c r="I78" s="12">
        <f>G78</f>
        <v>358.51</v>
      </c>
      <c r="J78" s="56"/>
      <c r="K78" s="56"/>
      <c r="L78" s="56"/>
      <c r="M78" s="56"/>
      <c r="N78" s="56"/>
      <c r="O78" s="56"/>
      <c r="P78" s="56"/>
      <c r="Q78" s="56"/>
      <c r="R78" s="233"/>
      <c r="S78" s="233"/>
      <c r="T78" s="233"/>
      <c r="U78" s="233"/>
    </row>
    <row r="79" spans="1:22" s="35" customFormat="1" ht="18" hidden="1" customHeight="1">
      <c r="A79" s="26">
        <v>18</v>
      </c>
      <c r="B79" s="14" t="s">
        <v>72</v>
      </c>
      <c r="C79" s="16" t="s">
        <v>30</v>
      </c>
      <c r="D79" s="14"/>
      <c r="E79" s="18">
        <v>1</v>
      </c>
      <c r="F79" s="12">
        <v>1</v>
      </c>
      <c r="G79" s="12">
        <v>852.99</v>
      </c>
      <c r="H79" s="77">
        <f>F79*G79/1000</f>
        <v>0.85299000000000003</v>
      </c>
      <c r="I79" s="12">
        <f>G79</f>
        <v>852.99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1:22" s="35" customFormat="1" ht="30.75" customHeight="1">
      <c r="A80" s="26">
        <v>22</v>
      </c>
      <c r="B80" s="36" t="s">
        <v>164</v>
      </c>
      <c r="C80" s="37" t="s">
        <v>114</v>
      </c>
      <c r="D80" s="36" t="s">
        <v>201</v>
      </c>
      <c r="E80" s="18"/>
      <c r="F80" s="12"/>
      <c r="G80" s="34">
        <v>55.55</v>
      </c>
      <c r="H80" s="77"/>
      <c r="I80" s="12">
        <f>G80*1</f>
        <v>55.55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1:9" s="35" customFormat="1" ht="20.25" hidden="1" customHeight="1">
      <c r="A81" s="26"/>
      <c r="B81" s="49" t="s">
        <v>73</v>
      </c>
      <c r="C81" s="37"/>
      <c r="D81" s="26"/>
      <c r="E81" s="18"/>
      <c r="F81" s="18"/>
      <c r="G81" s="34" t="s">
        <v>130</v>
      </c>
      <c r="H81" s="34"/>
      <c r="I81" s="18"/>
    </row>
    <row r="82" spans="1:9" s="35" customFormat="1" ht="18" hidden="1" customHeight="1">
      <c r="A82" s="26">
        <v>23</v>
      </c>
      <c r="B82" s="194" t="s">
        <v>120</v>
      </c>
      <c r="C82" s="186" t="s">
        <v>74</v>
      </c>
      <c r="D82" s="142"/>
      <c r="E82" s="195"/>
      <c r="F82" s="168">
        <v>1.35</v>
      </c>
      <c r="G82" s="168">
        <v>4144.28</v>
      </c>
      <c r="H82" s="77">
        <f>SUM(F82*G82/1000)</f>
        <v>5.5947779999999998</v>
      </c>
      <c r="I82" s="12">
        <f>G82*0.03</f>
        <v>124.32839999999999</v>
      </c>
    </row>
    <row r="83" spans="1:9" s="35" customFormat="1" ht="18" hidden="1" customHeight="1">
      <c r="A83" s="26"/>
      <c r="B83" s="163" t="s">
        <v>119</v>
      </c>
      <c r="C83" s="16"/>
      <c r="D83" s="14"/>
      <c r="E83" s="18"/>
      <c r="F83" s="12"/>
      <c r="G83" s="12"/>
      <c r="H83" s="12"/>
      <c r="I83" s="12"/>
    </row>
    <row r="84" spans="1:9" s="35" customFormat="1" ht="18" hidden="1" customHeight="1">
      <c r="A84" s="26">
        <v>19</v>
      </c>
      <c r="B84" s="200" t="s">
        <v>173</v>
      </c>
      <c r="C84" s="16"/>
      <c r="D84" s="14"/>
      <c r="E84" s="18"/>
      <c r="F84" s="12"/>
      <c r="G84" s="168">
        <v>29386</v>
      </c>
      <c r="H84" s="12"/>
      <c r="I84" s="12">
        <f>G84*1</f>
        <v>29386</v>
      </c>
    </row>
    <row r="85" spans="1:9" s="35" customFormat="1" ht="15.75" customHeight="1">
      <c r="A85" s="225" t="s">
        <v>140</v>
      </c>
      <c r="B85" s="226"/>
      <c r="C85" s="226"/>
      <c r="D85" s="226"/>
      <c r="E85" s="226"/>
      <c r="F85" s="226"/>
      <c r="G85" s="226"/>
      <c r="H85" s="226"/>
      <c r="I85" s="227"/>
    </row>
    <row r="86" spans="1:9" s="35" customFormat="1" ht="15.75" customHeight="1">
      <c r="A86" s="26">
        <v>23</v>
      </c>
      <c r="B86" s="84" t="s">
        <v>121</v>
      </c>
      <c r="C86" s="16" t="s">
        <v>54</v>
      </c>
      <c r="D86" s="105"/>
      <c r="E86" s="12">
        <v>5916.3</v>
      </c>
      <c r="F86" s="34">
        <f>SUM(E86*12)</f>
        <v>70995.600000000006</v>
      </c>
      <c r="G86" s="34">
        <v>3.22</v>
      </c>
      <c r="H86" s="77">
        <f>SUM(F86*G86/1000)</f>
        <v>228.60583200000002</v>
      </c>
      <c r="I86" s="12">
        <f>F86/12*G86</f>
        <v>19050.486000000001</v>
      </c>
    </row>
    <row r="87" spans="1:9" s="35" customFormat="1" ht="31.5" customHeight="1">
      <c r="A87" s="26">
        <v>24</v>
      </c>
      <c r="B87" s="14" t="s">
        <v>75</v>
      </c>
      <c r="C87" s="16"/>
      <c r="D87" s="105"/>
      <c r="E87" s="86">
        <v>5916.3</v>
      </c>
      <c r="F87" s="34">
        <f>E87*12</f>
        <v>70995.600000000006</v>
      </c>
      <c r="G87" s="34">
        <v>3.64</v>
      </c>
      <c r="H87" s="77">
        <f>F87*G87/1000</f>
        <v>258.42398400000002</v>
      </c>
      <c r="I87" s="12">
        <f>F87/12*G87</f>
        <v>21535.332000000002</v>
      </c>
    </row>
    <row r="88" spans="1:9" s="35" customFormat="1" ht="15.75" customHeight="1">
      <c r="A88" s="199"/>
      <c r="B88" s="38" t="s">
        <v>77</v>
      </c>
      <c r="C88" s="40"/>
      <c r="D88" s="15"/>
      <c r="E88" s="15"/>
      <c r="F88" s="15"/>
      <c r="G88" s="18"/>
      <c r="H88" s="18"/>
      <c r="I88" s="29">
        <f>I87+I86+I80+I75+I71+I64+I61+I59+I53+I52+I51+I50+I49+I48+I47+I46+I45+I33+I31+I30+I27+I18+I17+I16</f>
        <v>140579.19252616668</v>
      </c>
    </row>
    <row r="89" spans="1:9" s="35" customFormat="1" ht="15.75" customHeight="1">
      <c r="A89" s="228" t="s">
        <v>59</v>
      </c>
      <c r="B89" s="229"/>
      <c r="C89" s="229"/>
      <c r="D89" s="229"/>
      <c r="E89" s="229"/>
      <c r="F89" s="229"/>
      <c r="G89" s="229"/>
      <c r="H89" s="229"/>
      <c r="I89" s="230"/>
    </row>
    <row r="90" spans="1:9" s="35" customFormat="1" ht="28.5" customHeight="1">
      <c r="A90" s="26">
        <v>25</v>
      </c>
      <c r="B90" s="36" t="s">
        <v>178</v>
      </c>
      <c r="C90" s="37" t="s">
        <v>170</v>
      </c>
      <c r="D90" s="57" t="s">
        <v>275</v>
      </c>
      <c r="E90" s="34"/>
      <c r="F90" s="34">
        <v>25.5</v>
      </c>
      <c r="G90" s="34">
        <v>1523.6</v>
      </c>
      <c r="H90" s="107">
        <f>G90*F90/1000</f>
        <v>38.851799999999997</v>
      </c>
      <c r="I90" s="12">
        <f>G90*4</f>
        <v>6094.4</v>
      </c>
    </row>
    <row r="91" spans="1:9" s="35" customFormat="1" ht="33" customHeight="1">
      <c r="A91" s="26">
        <v>26</v>
      </c>
      <c r="B91" s="58" t="s">
        <v>264</v>
      </c>
      <c r="C91" s="59" t="s">
        <v>222</v>
      </c>
      <c r="D91" s="57" t="s">
        <v>276</v>
      </c>
      <c r="E91" s="34"/>
      <c r="F91" s="34">
        <v>10</v>
      </c>
      <c r="G91" s="34">
        <v>2796.15</v>
      </c>
      <c r="H91" s="107"/>
      <c r="I91" s="12">
        <f>G91*10</f>
        <v>27961.5</v>
      </c>
    </row>
    <row r="92" spans="1:9" s="35" customFormat="1" ht="16.5" customHeight="1">
      <c r="A92" s="26">
        <v>27</v>
      </c>
      <c r="B92" s="58" t="s">
        <v>265</v>
      </c>
      <c r="C92" s="59" t="s">
        <v>266</v>
      </c>
      <c r="D92" s="57"/>
      <c r="E92" s="34"/>
      <c r="F92" s="34">
        <v>1</v>
      </c>
      <c r="G92" s="34">
        <v>647</v>
      </c>
      <c r="H92" s="107"/>
      <c r="I92" s="12">
        <f>G92*1</f>
        <v>647</v>
      </c>
    </row>
    <row r="93" spans="1:9" s="35" customFormat="1" ht="16.5" customHeight="1">
      <c r="A93" s="26">
        <v>28</v>
      </c>
      <c r="B93" s="58" t="s">
        <v>156</v>
      </c>
      <c r="C93" s="59" t="s">
        <v>170</v>
      </c>
      <c r="D93" s="57" t="s">
        <v>342</v>
      </c>
      <c r="E93" s="34"/>
      <c r="F93" s="34">
        <v>49</v>
      </c>
      <c r="G93" s="34">
        <v>284</v>
      </c>
      <c r="H93" s="107"/>
      <c r="I93" s="12">
        <v>0</v>
      </c>
    </row>
    <row r="94" spans="1:9" s="35" customFormat="1" ht="16.5" customHeight="1">
      <c r="A94" s="26">
        <v>29</v>
      </c>
      <c r="B94" s="58" t="s">
        <v>184</v>
      </c>
      <c r="C94" s="59" t="s">
        <v>185</v>
      </c>
      <c r="D94" s="57" t="s">
        <v>194</v>
      </c>
      <c r="E94" s="34"/>
      <c r="F94" s="34">
        <v>0.04</v>
      </c>
      <c r="G94" s="34">
        <v>27139.18</v>
      </c>
      <c r="H94" s="107"/>
      <c r="I94" s="12">
        <v>0</v>
      </c>
    </row>
    <row r="95" spans="1:9" s="35" customFormat="1" ht="16.5" customHeight="1">
      <c r="A95" s="26">
        <v>30</v>
      </c>
      <c r="B95" s="58" t="s">
        <v>267</v>
      </c>
      <c r="C95" s="59" t="s">
        <v>163</v>
      </c>
      <c r="D95" s="57" t="s">
        <v>272</v>
      </c>
      <c r="E95" s="34"/>
      <c r="F95" s="34">
        <v>21</v>
      </c>
      <c r="G95" s="34">
        <v>3498.52</v>
      </c>
      <c r="H95" s="107"/>
      <c r="I95" s="12">
        <f>G95*21</f>
        <v>73468.92</v>
      </c>
    </row>
    <row r="96" spans="1:9" s="35" customFormat="1" ht="16.5" customHeight="1">
      <c r="A96" s="26">
        <v>31</v>
      </c>
      <c r="B96" s="58" t="s">
        <v>189</v>
      </c>
      <c r="C96" s="59" t="s">
        <v>114</v>
      </c>
      <c r="D96" s="57" t="s">
        <v>277</v>
      </c>
      <c r="E96" s="34"/>
      <c r="F96" s="34">
        <v>21</v>
      </c>
      <c r="G96" s="34">
        <v>837</v>
      </c>
      <c r="H96" s="107"/>
      <c r="I96" s="12">
        <f>G96*21</f>
        <v>17577</v>
      </c>
    </row>
    <row r="97" spans="1:9" s="35" customFormat="1" ht="16.5" customHeight="1">
      <c r="A97" s="26">
        <v>32</v>
      </c>
      <c r="B97" s="58" t="s">
        <v>190</v>
      </c>
      <c r="C97" s="59" t="s">
        <v>114</v>
      </c>
      <c r="D97" s="57" t="s">
        <v>278</v>
      </c>
      <c r="E97" s="34"/>
      <c r="F97" s="34">
        <v>9</v>
      </c>
      <c r="G97" s="34">
        <v>1100</v>
      </c>
      <c r="H97" s="107"/>
      <c r="I97" s="12">
        <f>G97*9</f>
        <v>9900</v>
      </c>
    </row>
    <row r="98" spans="1:9" s="35" customFormat="1" ht="16.5" customHeight="1">
      <c r="A98" s="26">
        <v>33</v>
      </c>
      <c r="B98" s="58" t="s">
        <v>268</v>
      </c>
      <c r="C98" s="59" t="s">
        <v>114</v>
      </c>
      <c r="D98" s="57" t="s">
        <v>279</v>
      </c>
      <c r="E98" s="34"/>
      <c r="F98" s="34">
        <v>8</v>
      </c>
      <c r="G98" s="34">
        <v>890</v>
      </c>
      <c r="H98" s="107"/>
      <c r="I98" s="12">
        <f>G98*8</f>
        <v>7120</v>
      </c>
    </row>
    <row r="99" spans="1:9" s="35" customFormat="1" ht="16.5" customHeight="1">
      <c r="A99" s="26">
        <v>34</v>
      </c>
      <c r="B99" s="58" t="s">
        <v>269</v>
      </c>
      <c r="C99" s="59" t="s">
        <v>270</v>
      </c>
      <c r="D99" s="57" t="s">
        <v>274</v>
      </c>
      <c r="E99" s="34"/>
      <c r="F99" s="34">
        <v>1</v>
      </c>
      <c r="G99" s="34">
        <v>754.11</v>
      </c>
      <c r="H99" s="107"/>
      <c r="I99" s="12">
        <f>G99*1</f>
        <v>754.11</v>
      </c>
    </row>
    <row r="100" spans="1:9" s="35" customFormat="1" ht="16.5" customHeight="1">
      <c r="A100" s="26">
        <v>35</v>
      </c>
      <c r="B100" s="133" t="s">
        <v>271</v>
      </c>
      <c r="C100" s="40" t="s">
        <v>100</v>
      </c>
      <c r="D100" s="57" t="s">
        <v>273</v>
      </c>
      <c r="E100" s="34"/>
      <c r="F100" s="34">
        <v>0.06</v>
      </c>
      <c r="G100" s="34">
        <v>2638.36</v>
      </c>
      <c r="H100" s="107"/>
      <c r="I100" s="12">
        <f>G100*0.06</f>
        <v>158.30160000000001</v>
      </c>
    </row>
    <row r="101" spans="1:9" s="35" customFormat="1" ht="15.75" customHeight="1">
      <c r="A101" s="26"/>
      <c r="B101" s="45" t="s">
        <v>51</v>
      </c>
      <c r="C101" s="41"/>
      <c r="D101" s="53"/>
      <c r="E101" s="41">
        <v>1</v>
      </c>
      <c r="F101" s="41"/>
      <c r="G101" s="41"/>
      <c r="H101" s="41"/>
      <c r="I101" s="29">
        <f>SUM(I90:I100)</f>
        <v>143681.2316</v>
      </c>
    </row>
    <row r="102" spans="1:9" s="35" customFormat="1" ht="15.75" customHeight="1">
      <c r="A102" s="26"/>
      <c r="B102" s="51" t="s">
        <v>76</v>
      </c>
      <c r="C102" s="15"/>
      <c r="D102" s="15"/>
      <c r="E102" s="42"/>
      <c r="F102" s="42"/>
      <c r="G102" s="43"/>
      <c r="H102" s="43"/>
      <c r="I102" s="17">
        <v>0</v>
      </c>
    </row>
    <row r="103" spans="1:9" s="35" customFormat="1" ht="15.75" customHeight="1">
      <c r="A103" s="54"/>
      <c r="B103" s="46" t="s">
        <v>141</v>
      </c>
      <c r="C103" s="32"/>
      <c r="D103" s="32"/>
      <c r="E103" s="32"/>
      <c r="F103" s="32"/>
      <c r="G103" s="32"/>
      <c r="H103" s="32"/>
      <c r="I103" s="44">
        <f>I88+I101</f>
        <v>284260.42412616668</v>
      </c>
    </row>
    <row r="104" spans="1:9" ht="15.75" customHeight="1">
      <c r="A104" s="231" t="s">
        <v>343</v>
      </c>
      <c r="B104" s="231"/>
      <c r="C104" s="231"/>
      <c r="D104" s="231"/>
      <c r="E104" s="231"/>
      <c r="F104" s="231"/>
      <c r="G104" s="231"/>
      <c r="H104" s="231"/>
      <c r="I104" s="231"/>
    </row>
    <row r="105" spans="1:9" ht="15.75" customHeight="1">
      <c r="A105" s="71"/>
      <c r="B105" s="232" t="s">
        <v>344</v>
      </c>
      <c r="C105" s="232"/>
      <c r="D105" s="232"/>
      <c r="E105" s="232"/>
      <c r="F105" s="232"/>
      <c r="G105" s="232"/>
      <c r="H105" s="76"/>
      <c r="I105" s="3"/>
    </row>
    <row r="106" spans="1:9" ht="15.75" customHeight="1">
      <c r="A106" s="65"/>
      <c r="B106" s="218" t="s">
        <v>6</v>
      </c>
      <c r="C106" s="218"/>
      <c r="D106" s="218"/>
      <c r="E106" s="218"/>
      <c r="F106" s="218"/>
      <c r="G106" s="218"/>
      <c r="H106" s="21"/>
      <c r="I106" s="5"/>
    </row>
    <row r="107" spans="1:9" ht="8.2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5.75" customHeight="1">
      <c r="A108" s="219" t="s">
        <v>7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219" t="s">
        <v>8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220" t="s">
        <v>60</v>
      </c>
      <c r="B110" s="220"/>
      <c r="C110" s="220"/>
      <c r="D110" s="220"/>
      <c r="E110" s="220"/>
      <c r="F110" s="220"/>
      <c r="G110" s="220"/>
      <c r="H110" s="220"/>
      <c r="I110" s="220"/>
    </row>
    <row r="111" spans="1:9" ht="15.75" customHeight="1">
      <c r="A111" s="10"/>
    </row>
    <row r="112" spans="1:9" ht="15.75" customHeight="1">
      <c r="A112" s="213" t="s">
        <v>9</v>
      </c>
      <c r="B112" s="213"/>
      <c r="C112" s="213"/>
      <c r="D112" s="213"/>
      <c r="E112" s="213"/>
      <c r="F112" s="213"/>
      <c r="G112" s="213"/>
      <c r="H112" s="213"/>
      <c r="I112" s="213"/>
    </row>
    <row r="113" spans="1:9" ht="15.75" customHeight="1">
      <c r="A113" s="4"/>
    </row>
    <row r="114" spans="1:9" ht="15.75" customHeight="1">
      <c r="B114" s="70" t="s">
        <v>10</v>
      </c>
      <c r="C114" s="214" t="s">
        <v>84</v>
      </c>
      <c r="D114" s="214"/>
      <c r="E114" s="214"/>
      <c r="F114" s="74"/>
      <c r="I114" s="67"/>
    </row>
    <row r="115" spans="1:9" ht="15.75" customHeight="1">
      <c r="A115" s="65"/>
      <c r="C115" s="218" t="s">
        <v>11</v>
      </c>
      <c r="D115" s="218"/>
      <c r="E115" s="218"/>
      <c r="F115" s="21"/>
      <c r="I115" s="66" t="s">
        <v>12</v>
      </c>
    </row>
    <row r="116" spans="1:9" ht="15.75" customHeight="1">
      <c r="A116" s="22"/>
      <c r="C116" s="11"/>
      <c r="D116" s="11"/>
      <c r="G116" s="11"/>
      <c r="H116" s="11"/>
    </row>
    <row r="117" spans="1:9" ht="15.75" customHeight="1">
      <c r="B117" s="70" t="s">
        <v>13</v>
      </c>
      <c r="C117" s="215"/>
      <c r="D117" s="215"/>
      <c r="E117" s="215"/>
      <c r="F117" s="75"/>
      <c r="I117" s="67"/>
    </row>
    <row r="118" spans="1:9" ht="15.75" customHeight="1">
      <c r="A118" s="65"/>
      <c r="C118" s="216" t="s">
        <v>11</v>
      </c>
      <c r="D118" s="216"/>
      <c r="E118" s="216"/>
      <c r="F118" s="65"/>
      <c r="I118" s="66" t="s">
        <v>12</v>
      </c>
    </row>
    <row r="119" spans="1:9" ht="15.75" customHeight="1">
      <c r="A119" s="4" t="s">
        <v>14</v>
      </c>
    </row>
    <row r="120" spans="1:9">
      <c r="A120" s="217" t="s">
        <v>15</v>
      </c>
      <c r="B120" s="217"/>
      <c r="C120" s="217"/>
      <c r="D120" s="217"/>
      <c r="E120" s="217"/>
      <c r="F120" s="217"/>
      <c r="G120" s="217"/>
      <c r="H120" s="217"/>
      <c r="I120" s="217"/>
    </row>
    <row r="121" spans="1:9" ht="45" customHeight="1">
      <c r="A121" s="212" t="s">
        <v>16</v>
      </c>
      <c r="B121" s="212"/>
      <c r="C121" s="212"/>
      <c r="D121" s="212"/>
      <c r="E121" s="212"/>
      <c r="F121" s="212"/>
      <c r="G121" s="212"/>
      <c r="H121" s="212"/>
      <c r="I121" s="212"/>
    </row>
    <row r="122" spans="1:9" ht="30" customHeight="1">
      <c r="A122" s="212" t="s">
        <v>17</v>
      </c>
      <c r="B122" s="212"/>
      <c r="C122" s="212"/>
      <c r="D122" s="212"/>
      <c r="E122" s="212"/>
      <c r="F122" s="212"/>
      <c r="G122" s="212"/>
      <c r="H122" s="212"/>
      <c r="I122" s="212"/>
    </row>
    <row r="123" spans="1:9" ht="30" customHeight="1">
      <c r="A123" s="212" t="s">
        <v>21</v>
      </c>
      <c r="B123" s="212"/>
      <c r="C123" s="212"/>
      <c r="D123" s="212"/>
      <c r="E123" s="212"/>
      <c r="F123" s="212"/>
      <c r="G123" s="212"/>
      <c r="H123" s="212"/>
      <c r="I123" s="212"/>
    </row>
    <row r="124" spans="1:9" ht="14.25" customHeight="1">
      <c r="A124" s="212" t="s">
        <v>20</v>
      </c>
      <c r="B124" s="212"/>
      <c r="C124" s="212"/>
      <c r="D124" s="212"/>
      <c r="E124" s="212"/>
      <c r="F124" s="212"/>
      <c r="G124" s="212"/>
      <c r="H124" s="212"/>
      <c r="I124" s="212"/>
    </row>
  </sheetData>
  <autoFilter ref="I12:I70"/>
  <mergeCells count="29">
    <mergeCell ref="A14:I14"/>
    <mergeCell ref="A15:I15"/>
    <mergeCell ref="A28:I28"/>
    <mergeCell ref="A44:I44"/>
    <mergeCell ref="A54:I54"/>
    <mergeCell ref="A3:I3"/>
    <mergeCell ref="A4:I4"/>
    <mergeCell ref="A5:I5"/>
    <mergeCell ref="A8:I8"/>
    <mergeCell ref="A10:I10"/>
    <mergeCell ref="R78:U78"/>
    <mergeCell ref="C118:E118"/>
    <mergeCell ref="A89:I89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5:I85"/>
    <mergeCell ref="A120:I120"/>
    <mergeCell ref="A121:I121"/>
    <mergeCell ref="A122:I122"/>
    <mergeCell ref="A123:I123"/>
    <mergeCell ref="A124:I124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2021-02-11T11:36:42Z</cp:lastPrinted>
  <dcterms:created xsi:type="dcterms:W3CDTF">2016-03-25T08:33:47Z</dcterms:created>
  <dcterms:modified xsi:type="dcterms:W3CDTF">2021-02-11T11:37:51Z</dcterms:modified>
</cp:coreProperties>
</file>