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Нефт. 5" sheetId="1" r:id="rId1"/>
  </sheets>
  <definedNames>
    <definedName name="_xlnm.Print_Area" localSheetId="0">'Нефт. 5'!$A$1:$U$114</definedName>
  </definedNames>
  <calcPr calcId="124519"/>
</workbook>
</file>

<file path=xl/calcChain.xml><?xml version="1.0" encoding="utf-8"?>
<calcChain xmlns="http://schemas.openxmlformats.org/spreadsheetml/2006/main">
  <c r="H102" i="1"/>
  <c r="U102"/>
  <c r="U101"/>
  <c r="T101"/>
  <c r="H101"/>
  <c r="U100"/>
  <c r="S100"/>
  <c r="H100"/>
  <c r="T91"/>
  <c r="S91"/>
  <c r="K36" l="1"/>
  <c r="N99"/>
  <c r="U99" s="1"/>
  <c r="H99"/>
  <c r="U98"/>
  <c r="R98"/>
  <c r="H98"/>
  <c r="U97"/>
  <c r="Q97"/>
  <c r="H97"/>
  <c r="H96"/>
  <c r="R96"/>
  <c r="Q96"/>
  <c r="U96" s="1"/>
  <c r="U95"/>
  <c r="Q95"/>
  <c r="H95"/>
  <c r="U94"/>
  <c r="Q94"/>
  <c r="H94"/>
  <c r="T13"/>
  <c r="U93"/>
  <c r="T105"/>
  <c r="S105"/>
  <c r="T82"/>
  <c r="S82"/>
  <c r="T80"/>
  <c r="S80"/>
  <c r="T57"/>
  <c r="S57"/>
  <c r="T56"/>
  <c r="S56"/>
  <c r="F52"/>
  <c r="T48"/>
  <c r="T40"/>
  <c r="S40"/>
  <c r="T39"/>
  <c r="S39"/>
  <c r="T38"/>
  <c r="S38"/>
  <c r="T37"/>
  <c r="S37"/>
  <c r="T35"/>
  <c r="S35"/>
  <c r="T34"/>
  <c r="S34"/>
  <c r="T31"/>
  <c r="S31"/>
  <c r="T28"/>
  <c r="S28"/>
  <c r="T16"/>
  <c r="S16"/>
  <c r="T15"/>
  <c r="S15"/>
  <c r="S13"/>
  <c r="T12"/>
  <c r="S12"/>
  <c r="T11"/>
  <c r="S11"/>
  <c r="N93"/>
  <c r="H93"/>
  <c r="R105"/>
  <c r="Q105"/>
  <c r="P105"/>
  <c r="O105"/>
  <c r="N105"/>
  <c r="R82"/>
  <c r="Q82"/>
  <c r="P82"/>
  <c r="O82"/>
  <c r="N82"/>
  <c r="R80"/>
  <c r="Q80"/>
  <c r="P80"/>
  <c r="O80"/>
  <c r="N80"/>
  <c r="N79"/>
  <c r="Q68"/>
  <c r="P53"/>
  <c r="P52"/>
  <c r="N51"/>
  <c r="N50"/>
  <c r="N49"/>
  <c r="P48"/>
  <c r="R47"/>
  <c r="R46"/>
  <c r="R45"/>
  <c r="R44"/>
  <c r="R43"/>
  <c r="R31"/>
  <c r="Q31"/>
  <c r="P31"/>
  <c r="O31"/>
  <c r="N31"/>
  <c r="R28"/>
  <c r="Q28"/>
  <c r="P28"/>
  <c r="O28"/>
  <c r="N28"/>
  <c r="R27"/>
  <c r="Q27"/>
  <c r="U27" s="1"/>
  <c r="P27"/>
  <c r="O27"/>
  <c r="M27"/>
  <c r="N27"/>
  <c r="M26"/>
  <c r="R25"/>
  <c r="Q25"/>
  <c r="P25"/>
  <c r="O25"/>
  <c r="N25"/>
  <c r="R24"/>
  <c r="Q24"/>
  <c r="P24"/>
  <c r="O24"/>
  <c r="N24"/>
  <c r="N21"/>
  <c r="N20"/>
  <c r="N19"/>
  <c r="N18"/>
  <c r="N17"/>
  <c r="R16"/>
  <c r="Q16"/>
  <c r="P16"/>
  <c r="O16"/>
  <c r="N16"/>
  <c r="R15"/>
  <c r="Q15"/>
  <c r="P15"/>
  <c r="O15"/>
  <c r="N15"/>
  <c r="N14"/>
  <c r="R13"/>
  <c r="Q13"/>
  <c r="P13"/>
  <c r="O13"/>
  <c r="N13"/>
  <c r="R12"/>
  <c r="Q12"/>
  <c r="P12"/>
  <c r="O12"/>
  <c r="N12"/>
  <c r="R11"/>
  <c r="Q11"/>
  <c r="P11"/>
  <c r="O11"/>
  <c r="N11"/>
  <c r="M59"/>
  <c r="U92"/>
  <c r="M92"/>
  <c r="H92"/>
  <c r="M105"/>
  <c r="M82"/>
  <c r="M80"/>
  <c r="M67"/>
  <c r="M66"/>
  <c r="M65"/>
  <c r="M64"/>
  <c r="M63"/>
  <c r="L53"/>
  <c r="L52"/>
  <c r="M48"/>
  <c r="M31"/>
  <c r="M28"/>
  <c r="F27"/>
  <c r="M25"/>
  <c r="M24"/>
  <c r="M16"/>
  <c r="M15"/>
  <c r="M13"/>
  <c r="M12"/>
  <c r="M11"/>
  <c r="L105"/>
  <c r="L82"/>
  <c r="L80"/>
  <c r="L57"/>
  <c r="L56"/>
  <c r="L47"/>
  <c r="L46"/>
  <c r="L45"/>
  <c r="L44"/>
  <c r="L43"/>
  <c r="L40"/>
  <c r="L39"/>
  <c r="L38"/>
  <c r="L37"/>
  <c r="L35"/>
  <c r="L34"/>
  <c r="L31"/>
  <c r="L28"/>
  <c r="L16"/>
  <c r="L15"/>
  <c r="L13"/>
  <c r="L12"/>
  <c r="L11"/>
  <c r="K105"/>
  <c r="K82"/>
  <c r="K80"/>
  <c r="K57"/>
  <c r="K56"/>
  <c r="K40"/>
  <c r="K39"/>
  <c r="K38"/>
  <c r="K37"/>
  <c r="K35"/>
  <c r="K34"/>
  <c r="K31"/>
  <c r="K28"/>
  <c r="K16"/>
  <c r="J16"/>
  <c r="K15"/>
  <c r="K13"/>
  <c r="K12"/>
  <c r="K11"/>
  <c r="F79"/>
  <c r="U79"/>
  <c r="H79"/>
  <c r="J105"/>
  <c r="J82"/>
  <c r="J80"/>
  <c r="J57"/>
  <c r="J56"/>
  <c r="J53"/>
  <c r="J52"/>
  <c r="J48"/>
  <c r="J40"/>
  <c r="J39"/>
  <c r="J38"/>
  <c r="J37"/>
  <c r="J35"/>
  <c r="J34"/>
  <c r="J31"/>
  <c r="J28"/>
  <c r="J15"/>
  <c r="J13"/>
  <c r="J12"/>
  <c r="J11"/>
  <c r="U91"/>
  <c r="J91"/>
  <c r="H91"/>
  <c r="U77"/>
  <c r="U75"/>
  <c r="U73"/>
  <c r="U72"/>
  <c r="U71"/>
  <c r="U70"/>
  <c r="U68"/>
  <c r="U67"/>
  <c r="U66"/>
  <c r="U65"/>
  <c r="U64"/>
  <c r="U63"/>
  <c r="U62"/>
  <c r="U61"/>
  <c r="U59"/>
  <c r="U53"/>
  <c r="U52"/>
  <c r="U47"/>
  <c r="U46"/>
  <c r="U45"/>
  <c r="U44"/>
  <c r="U43"/>
  <c r="U30"/>
  <c r="U29"/>
  <c r="U26"/>
  <c r="U25"/>
  <c r="U24"/>
  <c r="U21"/>
  <c r="U20"/>
  <c r="U19"/>
  <c r="U18"/>
  <c r="U17"/>
  <c r="U14"/>
  <c r="F53"/>
  <c r="I51"/>
  <c r="U51" s="1"/>
  <c r="I40"/>
  <c r="U40" s="1"/>
  <c r="I36"/>
  <c r="U36" s="1"/>
  <c r="I34"/>
  <c r="U34" s="1"/>
  <c r="I90" l="1"/>
  <c r="U90" s="1"/>
  <c r="H90"/>
  <c r="F59"/>
  <c r="H59" s="1"/>
  <c r="F57"/>
  <c r="I57" s="1"/>
  <c r="U57" s="1"/>
  <c r="F56" l="1"/>
  <c r="H52"/>
  <c r="F47"/>
  <c r="H47" s="1"/>
  <c r="F48"/>
  <c r="I48" s="1"/>
  <c r="U48" s="1"/>
  <c r="F38"/>
  <c r="I38" s="1"/>
  <c r="U38" s="1"/>
  <c r="H19"/>
  <c r="H20"/>
  <c r="H57"/>
  <c r="H56" l="1"/>
  <c r="I56"/>
  <c r="U56" s="1"/>
  <c r="H36"/>
  <c r="H75" l="1"/>
  <c r="C111" l="1"/>
  <c r="H104"/>
  <c r="F105"/>
  <c r="E82"/>
  <c r="H86" s="1"/>
  <c r="F80"/>
  <c r="I80" s="1"/>
  <c r="U80" s="1"/>
  <c r="H77"/>
  <c r="H74"/>
  <c r="U78"/>
  <c r="F73"/>
  <c r="H73" s="1"/>
  <c r="F68"/>
  <c r="H68" s="1"/>
  <c r="F67"/>
  <c r="H67" s="1"/>
  <c r="F66"/>
  <c r="H66" s="1"/>
  <c r="F65"/>
  <c r="H65" s="1"/>
  <c r="F64"/>
  <c r="H64" s="1"/>
  <c r="F63"/>
  <c r="H63" s="1"/>
  <c r="H62"/>
  <c r="H61"/>
  <c r="H53"/>
  <c r="H51"/>
  <c r="F50"/>
  <c r="F49"/>
  <c r="F46"/>
  <c r="H46" s="1"/>
  <c r="F45"/>
  <c r="H45" s="1"/>
  <c r="F44"/>
  <c r="H44" s="1"/>
  <c r="F43"/>
  <c r="H43" s="1"/>
  <c r="H40"/>
  <c r="F39"/>
  <c r="H38"/>
  <c r="F37"/>
  <c r="F35"/>
  <c r="H34"/>
  <c r="F31"/>
  <c r="H30"/>
  <c r="H29"/>
  <c r="F28"/>
  <c r="I28" s="1"/>
  <c r="U28" s="1"/>
  <c r="H27"/>
  <c r="F26"/>
  <c r="H26" s="1"/>
  <c r="F25"/>
  <c r="H25" s="1"/>
  <c r="F24"/>
  <c r="H24" s="1"/>
  <c r="F21"/>
  <c r="H21" s="1"/>
  <c r="F18"/>
  <c r="H18" s="1"/>
  <c r="F17"/>
  <c r="H17" s="1"/>
  <c r="F16"/>
  <c r="I16" s="1"/>
  <c r="U16" s="1"/>
  <c r="F15"/>
  <c r="I15" s="1"/>
  <c r="U15" s="1"/>
  <c r="F14"/>
  <c r="H14" s="1"/>
  <c r="E13"/>
  <c r="F13" s="1"/>
  <c r="I13" s="1"/>
  <c r="U13" s="1"/>
  <c r="F12"/>
  <c r="I12" s="1"/>
  <c r="U12" s="1"/>
  <c r="F11"/>
  <c r="I11" s="1"/>
  <c r="U11" s="1"/>
  <c r="U22" l="1"/>
  <c r="H37"/>
  <c r="I37"/>
  <c r="U37" s="1"/>
  <c r="H39"/>
  <c r="I39"/>
  <c r="U39" s="1"/>
  <c r="H49"/>
  <c r="I49"/>
  <c r="U49" s="1"/>
  <c r="H31"/>
  <c r="I31"/>
  <c r="U31" s="1"/>
  <c r="H35"/>
  <c r="I35"/>
  <c r="U35" s="1"/>
  <c r="U41" s="1"/>
  <c r="H50"/>
  <c r="I50"/>
  <c r="U50" s="1"/>
  <c r="H80"/>
  <c r="U81"/>
  <c r="H28"/>
  <c r="H48"/>
  <c r="H54" s="1"/>
  <c r="H11"/>
  <c r="H12"/>
  <c r="H16"/>
  <c r="H13"/>
  <c r="H15"/>
  <c r="H22" s="1"/>
  <c r="H32"/>
  <c r="H81"/>
  <c r="F82"/>
  <c r="I82" s="1"/>
  <c r="U82" s="1"/>
  <c r="U83" s="1"/>
  <c r="H41"/>
  <c r="H78"/>
  <c r="U54" l="1"/>
  <c r="H82"/>
  <c r="H83" s="1"/>
  <c r="H84"/>
  <c r="H87" s="1"/>
  <c r="G105" s="1"/>
  <c r="H105" s="1"/>
  <c r="U32"/>
  <c r="U84" s="1"/>
  <c r="I105" l="1"/>
  <c r="U105"/>
  <c r="C114" l="1"/>
  <c r="C110"/>
</calcChain>
</file>

<file path=xl/sharedStrings.xml><?xml version="1.0" encoding="utf-8"?>
<sst xmlns="http://schemas.openxmlformats.org/spreadsheetml/2006/main" count="311" uniqueCount="231">
  <si>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</si>
  <si>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</si>
  <si>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</si>
  <si>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</si>
  <si>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</si>
  <si>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</si>
  <si>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</si>
  <si>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</si>
  <si>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</si>
  <si>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</si>
  <si>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</si>
  <si>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</si>
  <si>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ТЭР 51-001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</si>
  <si>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</si>
  <si>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</si>
  <si>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</si>
  <si>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</si>
  <si>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</si>
  <si>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ТЭР 51-009</t>
  </si>
  <si>
    <t>Мытье лестничных  площадок и маршей 1-5 этаж.</t>
  </si>
  <si>
    <t xml:space="preserve">2 раза в месяц   24 раза в год </t>
  </si>
  <si>
    <t xml:space="preserve"> ТЭР 51-031</t>
  </si>
  <si>
    <t>Мытье окон</t>
  </si>
  <si>
    <t>10м2</t>
  </si>
  <si>
    <t>ТЭР 51-025</t>
  </si>
  <si>
    <t>Влажная протирка перил</t>
  </si>
  <si>
    <t>ТЭР 51-023</t>
  </si>
  <si>
    <t>Влажная протирка почтовых ящиков</t>
  </si>
  <si>
    <t>ТЭР 51-018</t>
  </si>
  <si>
    <t xml:space="preserve">Влажная уборка стен </t>
  </si>
  <si>
    <t>100 м2</t>
  </si>
  <si>
    <t>ТЭР 51-019</t>
  </si>
  <si>
    <t>Влажная протирка дверей</t>
  </si>
  <si>
    <t>ТЭР 51-024</t>
  </si>
  <si>
    <t>Влажная протирка отопительных приборов</t>
  </si>
  <si>
    <t>итого:</t>
  </si>
  <si>
    <t>Летняя уборка</t>
  </si>
  <si>
    <t>ТЭР 53-020</t>
  </si>
  <si>
    <t xml:space="preserve"> - Уборка  газонов</t>
  </si>
  <si>
    <t>2 раза в неделю 52 раза в сезон</t>
  </si>
  <si>
    <t>ТЭР 53-001</t>
  </si>
  <si>
    <t xml:space="preserve"> - Подметание территории с усовершенствованным покрытием асф:крыльца,контейнерн пл,проезд,тротуар</t>
  </si>
  <si>
    <t>1000м2</t>
  </si>
  <si>
    <t>3 раза в неделю 78 раз за сезон</t>
  </si>
  <si>
    <t>ТЭР 53-021</t>
  </si>
  <si>
    <t>Уборка газонов сильной загрязненности</t>
  </si>
  <si>
    <t>1 раз в год</t>
  </si>
  <si>
    <t>ТЭР 52-033</t>
  </si>
  <si>
    <t xml:space="preserve"> - Уборка контейнерной площадки (16 кв.м.)</t>
  </si>
  <si>
    <t>шт.</t>
  </si>
  <si>
    <t>155 раз</t>
  </si>
  <si>
    <t>пр.ТЭР 52-003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</si>
  <si>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</si>
  <si>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</si>
  <si>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</si>
  <si>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</si>
  <si>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ТЭР 53-030</t>
  </si>
  <si>
    <t xml:space="preserve">Погрузка травы , ветвей </t>
  </si>
  <si>
    <t>Калькул.</t>
  </si>
  <si>
    <t>Вывоз смета,травы,ветвей и т.п.- м/ч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</si>
  <si>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</si>
  <si>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</si>
  <si>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</si>
  <si>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</si>
  <si>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</si>
  <si>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</si>
  <si>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ТЭР 54-013</t>
  </si>
  <si>
    <t xml:space="preserve">Сдвигание снега в дни снегопада </t>
  </si>
  <si>
    <t>1000 м2</t>
  </si>
  <si>
    <t>50 раз за сезон</t>
  </si>
  <si>
    <t>ТЭР 54-003</t>
  </si>
  <si>
    <t xml:space="preserve">Подметание снега с тротуара-,крылец,конт площадок </t>
  </si>
  <si>
    <t>155 раз за сезон</t>
  </si>
  <si>
    <t>ТЭР 54-022</t>
  </si>
  <si>
    <t>Очистка территории 1-го класса с усовершенствованным покрытием под скребок: ступеньки и площадки крылец , контейнерные площадки</t>
  </si>
  <si>
    <t>ТЭР 54-025</t>
  </si>
  <si>
    <t xml:space="preserve">Пескопосыпка территории : крыльца и тротуары </t>
  </si>
  <si>
    <t>45 раз за сезон</t>
  </si>
  <si>
    <t>Стоимость песка- 100м2-0,002м3</t>
  </si>
  <si>
    <t xml:space="preserve"> II. Плановые осмотры</t>
  </si>
  <si>
    <t>2 раза в год</t>
  </si>
  <si>
    <t>ТЭР 42-007</t>
  </si>
  <si>
    <t>Осмотр деревянных заполнений проемов</t>
  </si>
  <si>
    <t>ТЭР 42-009</t>
  </si>
  <si>
    <t>Осмотр внутренней и наружной отделки здания</t>
  </si>
  <si>
    <t>ТЭР 42-010</t>
  </si>
  <si>
    <t>Осмотр каменных конструкций</t>
  </si>
  <si>
    <t>ТЭР 42-011</t>
  </si>
  <si>
    <t xml:space="preserve">Осмотр СО </t>
  </si>
  <si>
    <t>1 раз в месяц (5 раз за сезон)</t>
  </si>
  <si>
    <t>ТЭР 42-013</t>
  </si>
  <si>
    <t>Осмотр электросетей, арматуры и электрооборудования на чердаках, подвалах и техэтажах</t>
  </si>
  <si>
    <t>ТЭР 42-012</t>
  </si>
  <si>
    <t>Осмотр электросетей,арматуры и электооборудования на лестничных клетках</t>
  </si>
  <si>
    <t>100 лест.</t>
  </si>
  <si>
    <t>ТЭР 42-014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</si>
  <si>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</si>
  <si>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</si>
  <si>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</si>
  <si>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</si>
  <si>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</si>
  <si>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</si>
  <si>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пр.ТЭР 54-041 </t>
  </si>
  <si>
    <t>Чердак, подвал, технический этаж</t>
  </si>
  <si>
    <t>ТЭР 51-034</t>
  </si>
  <si>
    <t>1м3</t>
  </si>
  <si>
    <t>Отопление</t>
  </si>
  <si>
    <t>ТЭР 31-065</t>
  </si>
  <si>
    <t>Ликвидация воздушных пробок в стояках</t>
  </si>
  <si>
    <t>ТЭР 31-064</t>
  </si>
  <si>
    <t>Ликвидация воздушных пробок в радиаторах</t>
  </si>
  <si>
    <t>ТЭР 31-052</t>
  </si>
  <si>
    <t xml:space="preserve">Промывка СО </t>
  </si>
  <si>
    <t>100м3</t>
  </si>
  <si>
    <t>ТЭР 31-043</t>
  </si>
  <si>
    <t>Спуск воды и наполнение системы без осмотра</t>
  </si>
  <si>
    <t>1000м3</t>
  </si>
  <si>
    <t>ТЭР 31-068</t>
  </si>
  <si>
    <t>Гидравлическое испытание СО</t>
  </si>
  <si>
    <t>100м</t>
  </si>
  <si>
    <t>ТЭР 31-045</t>
  </si>
  <si>
    <t>Проверка на прогрев отопительных приборов</t>
  </si>
  <si>
    <t>прибор</t>
  </si>
  <si>
    <t>Электроснабжение</t>
  </si>
  <si>
    <t>Смена выключателей</t>
  </si>
  <si>
    <t>Смена патронов</t>
  </si>
  <si>
    <t>ТЭР 33-049</t>
  </si>
  <si>
    <t>Замена ламп ДРЛ</t>
  </si>
  <si>
    <t>2-2-1-3-3</t>
  </si>
  <si>
    <t>Мелкий ремонт электропроводки</t>
  </si>
  <si>
    <t>1п.м.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</si>
  <si>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</si>
  <si>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</si>
  <si>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</si>
  <si>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</si>
  <si>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</si>
  <si>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</si>
  <si>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</si>
  <si>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</si>
  <si>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</si>
  <si>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</si>
  <si>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</si>
  <si>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</si>
  <si>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</si>
  <si>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</si>
  <si>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</si>
  <si>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</si>
  <si>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>1 раз в месяц</t>
  </si>
  <si>
    <t>3 раза в год</t>
  </si>
  <si>
    <t>Вода для промывки СО</t>
  </si>
  <si>
    <t>Спуск воды после промывки СО в канализацию</t>
  </si>
  <si>
    <t>ТЭР 33-043</t>
  </si>
  <si>
    <t>Смена плавкой вставки в электрощите</t>
  </si>
  <si>
    <t>Генеральный директор ООО "Жилсервис"_______Ю.Л.Куканов</t>
  </si>
  <si>
    <t>Вывоз снега с придомовой территории</t>
  </si>
  <si>
    <t>водосток</t>
  </si>
  <si>
    <t>ТЭР 51-022</t>
  </si>
  <si>
    <t>ТЭР 51-020</t>
  </si>
  <si>
    <t>Влажная протирка подоконников</t>
  </si>
  <si>
    <t>Влажная протирка шкафов для щитов и слаботочн.устройств</t>
  </si>
  <si>
    <t>20 раз за сезон</t>
  </si>
  <si>
    <t>3-7-1в</t>
  </si>
  <si>
    <t>Осмотр шиферной  кровли</t>
  </si>
  <si>
    <t>ТЭР 42-003</t>
  </si>
  <si>
    <t>Осмотр деревянных конструкций стропил</t>
  </si>
  <si>
    <t>100 м3</t>
  </si>
  <si>
    <t>2-1-1а</t>
  </si>
  <si>
    <t>Проверка дымоходов</t>
  </si>
  <si>
    <t>Очистка оголовков дымоходов и вентканалов от наледи и снега (по необходимости) зимой</t>
  </si>
  <si>
    <t>2 раза в месяц</t>
  </si>
  <si>
    <t xml:space="preserve">ТЭР 54-041 </t>
  </si>
  <si>
    <t xml:space="preserve"> Очистка края кровли от слежавшегося снега со сбрасыванием сосулек (10% от S кровли) и козырьки</t>
  </si>
  <si>
    <t>6 раз за сезон</t>
  </si>
  <si>
    <t>Очистка от мусора</t>
  </si>
  <si>
    <t>10 шт.</t>
  </si>
  <si>
    <t>Смена ламп накаливания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</si>
  <si>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</si>
  <si>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</si>
  <si>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</si>
  <si>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</si>
  <si>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</si>
  <si>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</si>
  <si>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</si>
  <si>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</si>
  <si>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</si>
  <si>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</si>
  <si>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</si>
  <si>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</si>
  <si>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Баланс выполненных работ на 01.01.2015 г. ( -долг за предприятием, +долг за населением)</t>
  </si>
  <si>
    <t>20-1-134-2</t>
  </si>
  <si>
    <t>Пристрожка полотна по кромкам</t>
  </si>
  <si>
    <t>1 полотно</t>
  </si>
  <si>
    <t>калькуляция</t>
  </si>
  <si>
    <t>Работа автовышки</t>
  </si>
  <si>
    <t>маш/час</t>
  </si>
  <si>
    <t>Стоимость (руб.)</t>
  </si>
  <si>
    <r>
      <t xml:space="preserve">по адресу:   </t>
    </r>
    <r>
      <rPr>
        <b/>
        <sz val="14"/>
        <color indexed="10"/>
        <rFont val="Arial"/>
        <family val="2"/>
        <charset val="204"/>
      </rPr>
      <t>ул. Нефтяников, 5</t>
    </r>
    <r>
      <rPr>
        <b/>
        <sz val="14"/>
        <rFont val="Arial"/>
        <family val="2"/>
        <charset val="204"/>
      </rPr>
      <t xml:space="preserve">   (п. Ярега)  </t>
    </r>
    <r>
      <rPr>
        <b/>
        <sz val="14"/>
        <color indexed="10"/>
        <rFont val="Arial"/>
        <family val="2"/>
        <charset val="204"/>
      </rPr>
      <t>за  2015 год</t>
    </r>
  </si>
  <si>
    <t>договор</t>
  </si>
  <si>
    <t>ТО внутридомового газ.оборудования</t>
  </si>
  <si>
    <t>10 м</t>
  </si>
  <si>
    <t>3 этажа, 3 подъезда</t>
  </si>
  <si>
    <t xml:space="preserve">Смена сгонов у трубопроводов диаметром до 20 мм </t>
  </si>
  <si>
    <t>1 сгон</t>
  </si>
  <si>
    <t>ТЭР 31-009</t>
  </si>
  <si>
    <t>С учетом показателя инфляции     ( К=1,064)</t>
  </si>
  <si>
    <t>смета</t>
  </si>
  <si>
    <t>тыс. руб.</t>
  </si>
  <si>
    <t>Окраска наружной поверхности эл.щита</t>
  </si>
  <si>
    <t>Начислено за содержание и текущий ремонт за 2015  г.</t>
  </si>
  <si>
    <t>Выполнено работ по содержанию за       2015 г.</t>
  </si>
  <si>
    <t>Выполнено работ по текущему ремонту за 2015 г.</t>
  </si>
  <si>
    <t>Фактически оплачено за 2015 г.</t>
  </si>
  <si>
    <t>Просроченная задолженность по Вашему дому по статье "Содержание и текущий ремонт МКД" на конец декабря 2015 г., составляет:</t>
  </si>
  <si>
    <t>Баланс выполненных работ на 01.01.2016 г. ( -долг за предприятием, +долг за населением)</t>
  </si>
  <si>
    <t>место</t>
  </si>
  <si>
    <t>ТЭР 32-098</t>
  </si>
  <si>
    <t>Ремонт внутренних трубопроводов и стояков д=до 50 мм (хомуты)</t>
  </si>
  <si>
    <t>Смена пакетных выключателей</t>
  </si>
  <si>
    <t>ТЭР 33-022</t>
  </si>
  <si>
    <t>Ремонт групповых щитков на лестничной клетке без ремонта автоматов</t>
  </si>
  <si>
    <t>ТЭР 33-030</t>
  </si>
  <si>
    <t>Смена трубопроводов на металл-полимерные трубы д=20</t>
  </si>
  <si>
    <t>прим. ТЭР 15-046</t>
  </si>
  <si>
    <t>Укрепление оконных и дверных приборов - пружин, ручек, петель, шпингалетов (слух. окна)</t>
  </si>
  <si>
    <t>1 м</t>
  </si>
  <si>
    <t>Устройство стяжек цементных толщиной 20 мм</t>
  </si>
  <si>
    <t>ТЭР 16-038</t>
  </si>
  <si>
    <t>Подключение и отключение сварочного аппарата</t>
  </si>
  <si>
    <t>ТЭР 33-060</t>
  </si>
  <si>
    <t>Ремонт кирпичной стены</t>
  </si>
  <si>
    <t xml:space="preserve"> м2</t>
  </si>
</sst>
</file>

<file path=xl/styles.xml><?xml version="1.0" encoding="utf-8"?>
<styleSheet xmlns="http://schemas.openxmlformats.org/spreadsheetml/2006/main">
  <numFmts count="1">
    <numFmt numFmtId="164" formatCode="0.000"/>
  </numFmts>
  <fonts count="19">
    <font>
      <sz val="10"/>
      <name val="Arial Cyr"/>
      <family val="2"/>
      <charset val="204"/>
    </font>
    <font>
      <b/>
      <sz val="10"/>
      <color rgb="FFFF000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sz val="10"/>
      <color indexed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41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 applyAlignment="1"/>
    <xf numFmtId="0" fontId="0" fillId="3" borderId="0" xfId="0" applyFont="1" applyFill="1"/>
    <xf numFmtId="0" fontId="0" fillId="3" borderId="0" xfId="0" applyFill="1"/>
    <xf numFmtId="4" fontId="0" fillId="0" borderId="0" xfId="0" applyNumberFormat="1"/>
    <xf numFmtId="4" fontId="7" fillId="0" borderId="0" xfId="0" applyNumberFormat="1" applyFont="1"/>
    <xf numFmtId="0" fontId="7" fillId="0" borderId="0" xfId="0" applyFont="1"/>
    <xf numFmtId="164" fontId="0" fillId="0" borderId="0" xfId="0" applyNumberFormat="1"/>
    <xf numFmtId="2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4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2" fillId="12" borderId="3" xfId="0" applyNumberFormat="1" applyFont="1" applyFill="1" applyBorder="1" applyAlignment="1" applyProtection="1">
      <alignment horizontal="left" vertical="center" wrapText="1"/>
    </xf>
    <xf numFmtId="0" fontId="8" fillId="0" borderId="3" xfId="0" applyFont="1" applyBorder="1" applyAlignment="1">
      <alignment horizontal="centerContinuous" vertical="center" wrapText="1"/>
    </xf>
    <xf numFmtId="0" fontId="9" fillId="0" borderId="3" xfId="0" applyFont="1" applyBorder="1" applyAlignment="1">
      <alignment horizontal="centerContinuous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3" fontId="2" fillId="8" borderId="7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0" fontId="2" fillId="8" borderId="3" xfId="0" applyFont="1" applyFill="1" applyBorder="1" applyAlignment="1">
      <alignment vertical="center"/>
    </xf>
    <xf numFmtId="4" fontId="2" fillId="8" borderId="7" xfId="0" applyNumberFormat="1" applyFont="1" applyFill="1" applyBorder="1" applyAlignment="1">
      <alignment vertical="center"/>
    </xf>
    <xf numFmtId="0" fontId="2" fillId="8" borderId="3" xfId="0" applyFont="1" applyFill="1" applyBorder="1"/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  <xf numFmtId="4" fontId="2" fillId="8" borderId="3" xfId="0" applyNumberFormat="1" applyFont="1" applyFill="1" applyBorder="1" applyAlignment="1">
      <alignment horizontal="center" vertical="center"/>
    </xf>
    <xf numFmtId="4" fontId="2" fillId="8" borderId="7" xfId="0" applyNumberFormat="1" applyFont="1" applyFill="1" applyBorder="1" applyAlignment="1">
      <alignment horizontal="center" vertical="center"/>
    </xf>
    <xf numFmtId="4" fontId="2" fillId="4" borderId="4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2" fillId="4" borderId="1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11" borderId="2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4" fontId="4" fillId="10" borderId="2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4" fontId="2" fillId="7" borderId="1" xfId="0" applyNumberFormat="1" applyFont="1" applyFill="1" applyBorder="1" applyAlignment="1">
      <alignment horizontal="center" vertical="center"/>
    </xf>
    <xf numFmtId="4" fontId="2" fillId="9" borderId="3" xfId="0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/>
    </xf>
    <xf numFmtId="4" fontId="2" fillId="7" borderId="3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4" fontId="4" fillId="5" borderId="3" xfId="0" applyNumberFormat="1" applyFont="1" applyFill="1" applyBorder="1" applyAlignment="1">
      <alignment horizontal="center" vertical="center"/>
    </xf>
    <xf numFmtId="4" fontId="14" fillId="4" borderId="3" xfId="0" applyNumberFormat="1" applyFont="1" applyFill="1" applyBorder="1" applyAlignment="1">
      <alignment horizontal="center" vertical="center" wrapText="1"/>
    </xf>
    <xf numFmtId="4" fontId="2" fillId="4" borderId="14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center" vertical="center" wrapText="1"/>
    </xf>
    <xf numFmtId="4" fontId="2" fillId="4" borderId="5" xfId="0" applyNumberFormat="1" applyFont="1" applyFill="1" applyBorder="1" applyAlignment="1">
      <alignment horizontal="center" vertical="center"/>
    </xf>
    <xf numFmtId="4" fontId="2" fillId="4" borderId="0" xfId="0" applyNumberFormat="1" applyFont="1" applyFill="1" applyBorder="1" applyAlignment="1">
      <alignment horizontal="center" vertical="center"/>
    </xf>
    <xf numFmtId="4" fontId="2" fillId="4" borderId="6" xfId="0" applyNumberFormat="1" applyFont="1" applyFill="1" applyBorder="1" applyAlignment="1">
      <alignment horizontal="center" vertical="center"/>
    </xf>
    <xf numFmtId="4" fontId="2" fillId="4" borderId="15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4" fontId="2" fillId="7" borderId="3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left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4" fontId="4" fillId="10" borderId="7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left" vertical="center" wrapText="1"/>
    </xf>
    <xf numFmtId="4" fontId="2" fillId="6" borderId="3" xfId="0" applyNumberFormat="1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1" fontId="2" fillId="4" borderId="3" xfId="0" applyNumberFormat="1" applyFont="1" applyFill="1" applyBorder="1" applyAlignment="1">
      <alignment horizontal="left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2" fontId="4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>
      <alignment horizontal="left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3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 wrapText="1"/>
    </xf>
    <xf numFmtId="4" fontId="15" fillId="2" borderId="6" xfId="0" applyNumberFormat="1" applyFont="1" applyFill="1" applyBorder="1" applyAlignment="1">
      <alignment horizontal="center" vertical="center"/>
    </xf>
    <xf numFmtId="4" fontId="15" fillId="4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horizontal="center" vertical="center"/>
    </xf>
    <xf numFmtId="4" fontId="15" fillId="4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/>
    </xf>
    <xf numFmtId="4" fontId="15" fillId="2" borderId="8" xfId="0" applyNumberFormat="1" applyFont="1" applyFill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16" fillId="0" borderId="0" xfId="0" applyNumberFormat="1" applyFont="1"/>
    <xf numFmtId="0" fontId="16" fillId="0" borderId="0" xfId="0" applyFont="1"/>
    <xf numFmtId="0" fontId="8" fillId="0" borderId="3" xfId="0" applyFont="1" applyBorder="1" applyAlignment="1">
      <alignment horizontal="center" wrapText="1"/>
    </xf>
    <xf numFmtId="0" fontId="17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2" fillId="12" borderId="3" xfId="0" applyNumberFormat="1" applyFont="1" applyFill="1" applyBorder="1" applyAlignment="1" applyProtection="1">
      <alignment horizontal="center" vertical="center" wrapText="1"/>
    </xf>
    <xf numFmtId="4" fontId="4" fillId="13" borderId="0" xfId="0" applyNumberFormat="1" applyFont="1" applyFill="1" applyBorder="1" applyAlignment="1">
      <alignment horizontal="center" vertical="center"/>
    </xf>
    <xf numFmtId="0" fontId="0" fillId="4" borderId="0" xfId="0" applyFill="1"/>
    <xf numFmtId="4" fontId="2" fillId="4" borderId="7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4" fontId="4" fillId="10" borderId="3" xfId="0" applyNumberFormat="1" applyFont="1" applyFill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/>
    </xf>
    <xf numFmtId="4" fontId="15" fillId="8" borderId="3" xfId="0" applyNumberFormat="1" applyFont="1" applyFill="1" applyBorder="1" applyAlignment="1">
      <alignment horizontal="center" vertical="center"/>
    </xf>
    <xf numFmtId="4" fontId="4" fillId="8" borderId="3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4" fontId="2" fillId="4" borderId="0" xfId="0" applyNumberFormat="1" applyFont="1" applyFill="1" applyBorder="1" applyAlignment="1">
      <alignment horizontal="center" vertical="center" wrapText="1"/>
    </xf>
    <xf numFmtId="4" fontId="2" fillId="4" borderId="7" xfId="0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/>
    </xf>
    <xf numFmtId="0" fontId="2" fillId="12" borderId="3" xfId="0" applyNumberFormat="1" applyFont="1" applyFill="1" applyBorder="1" applyAlignment="1" applyProtection="1">
      <alignment horizontal="center" vertical="center"/>
    </xf>
    <xf numFmtId="0" fontId="18" fillId="12" borderId="3" xfId="0" applyFont="1" applyFill="1" applyBorder="1" applyAlignment="1">
      <alignment horizontal="center" vertical="center" wrapText="1"/>
    </xf>
    <xf numFmtId="0" fontId="2" fillId="12" borderId="3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Z118"/>
  <sheetViews>
    <sheetView tabSelected="1" view="pageBreakPreview" zoomScaleNormal="75" zoomScaleSheetLayoutView="100" workbookViewId="0">
      <pane ySplit="7" topLeftCell="A93" activePane="bottomLeft" state="frozen"/>
      <selection activeCell="B1" sqref="B1"/>
      <selection pane="bottomLeft" activeCell="I105" sqref="I105"/>
    </sheetView>
  </sheetViews>
  <sheetFormatPr defaultRowHeight="12.75"/>
  <cols>
    <col min="1" max="1" width="12.42578125" customWidth="1"/>
    <col min="2" max="2" width="41.42578125" customWidth="1"/>
    <col min="3" max="3" width="9.28515625" customWidth="1"/>
    <col min="4" max="4" width="23" customWidth="1"/>
    <col min="5" max="5" width="10.28515625" customWidth="1"/>
    <col min="6" max="6" width="10.42578125" customWidth="1"/>
    <col min="7" max="7" width="10.7109375" customWidth="1"/>
    <col min="8" max="8" width="11.7109375" customWidth="1"/>
    <col min="9" max="9" width="10.28515625" customWidth="1"/>
    <col min="10" max="10" width="9.7109375" customWidth="1"/>
    <col min="11" max="11" width="9.42578125" customWidth="1"/>
    <col min="12" max="12" width="9.7109375" customWidth="1"/>
    <col min="13" max="13" width="9.5703125" customWidth="1"/>
    <col min="14" max="14" width="9.85546875" customWidth="1"/>
    <col min="15" max="15" width="9.5703125" customWidth="1"/>
    <col min="16" max="17" width="10" customWidth="1"/>
    <col min="18" max="18" width="9.85546875" customWidth="1"/>
    <col min="19" max="19" width="10" customWidth="1"/>
    <col min="20" max="20" width="9.7109375" customWidth="1"/>
    <col min="21" max="21" width="12" customWidth="1"/>
  </cols>
  <sheetData>
    <row r="1" spans="1:21" ht="14.25" customHeight="1"/>
    <row r="3" spans="1:21" ht="18">
      <c r="A3" s="1"/>
      <c r="B3" s="150" t="s">
        <v>0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23"/>
      <c r="N3" s="123"/>
      <c r="O3" s="123"/>
      <c r="P3" s="123"/>
      <c r="Q3" s="123"/>
      <c r="R3" s="123"/>
      <c r="S3" s="123"/>
      <c r="T3" s="123"/>
      <c r="U3" s="123"/>
    </row>
    <row r="4" spans="1:21" ht="34.5" customHeight="1">
      <c r="B4" s="151" t="s">
        <v>1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23"/>
      <c r="N4" s="123"/>
      <c r="O4" s="123"/>
      <c r="P4" s="123"/>
      <c r="Q4" s="123"/>
      <c r="R4" s="123"/>
      <c r="S4" s="123"/>
      <c r="T4" s="123"/>
      <c r="U4" s="123"/>
    </row>
    <row r="5" spans="1:21" ht="18">
      <c r="B5" s="151" t="s">
        <v>196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23"/>
      <c r="N5" s="123"/>
      <c r="O5" s="123"/>
      <c r="P5" s="123"/>
      <c r="Q5" s="123"/>
      <c r="R5" s="123"/>
      <c r="S5" s="123"/>
      <c r="T5" s="123"/>
      <c r="U5" s="123"/>
    </row>
    <row r="6" spans="1:21" ht="14.25">
      <c r="B6" s="152" t="s">
        <v>200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23"/>
      <c r="N6" s="123"/>
      <c r="O6" s="123"/>
      <c r="P6" s="123"/>
      <c r="Q6" s="123"/>
      <c r="R6" s="123"/>
      <c r="S6" s="123"/>
      <c r="T6" s="123"/>
      <c r="U6" s="123"/>
    </row>
    <row r="7" spans="1:21" ht="54" customHeight="1">
      <c r="A7" s="29" t="s">
        <v>2</v>
      </c>
      <c r="B7" s="29" t="s">
        <v>3</v>
      </c>
      <c r="C7" s="29" t="s">
        <v>4</v>
      </c>
      <c r="D7" s="29" t="s">
        <v>5</v>
      </c>
      <c r="E7" s="29" t="s">
        <v>6</v>
      </c>
      <c r="F7" s="29" t="s">
        <v>7</v>
      </c>
      <c r="G7" s="29" t="s">
        <v>8</v>
      </c>
      <c r="H7" s="30" t="s">
        <v>9</v>
      </c>
      <c r="I7" s="28" t="s">
        <v>176</v>
      </c>
      <c r="J7" s="28" t="s">
        <v>177</v>
      </c>
      <c r="K7" s="28" t="s">
        <v>178</v>
      </c>
      <c r="L7" s="28" t="s">
        <v>179</v>
      </c>
      <c r="M7" s="28" t="s">
        <v>180</v>
      </c>
      <c r="N7" s="28" t="s">
        <v>181</v>
      </c>
      <c r="O7" s="28" t="s">
        <v>182</v>
      </c>
      <c r="P7" s="28" t="s">
        <v>183</v>
      </c>
      <c r="Q7" s="28" t="s">
        <v>184</v>
      </c>
      <c r="R7" s="28" t="s">
        <v>185</v>
      </c>
      <c r="S7" s="28" t="s">
        <v>186</v>
      </c>
      <c r="T7" s="28" t="s">
        <v>187</v>
      </c>
      <c r="U7" s="28" t="s">
        <v>195</v>
      </c>
    </row>
    <row r="8" spans="1:21">
      <c r="A8" s="31">
        <v>1</v>
      </c>
      <c r="B8" s="9">
        <v>2</v>
      </c>
      <c r="C8" s="31">
        <v>3</v>
      </c>
      <c r="D8" s="9">
        <v>4</v>
      </c>
      <c r="E8" s="9">
        <v>5</v>
      </c>
      <c r="F8" s="31">
        <v>6</v>
      </c>
      <c r="G8" s="31">
        <v>7</v>
      </c>
      <c r="H8" s="32">
        <v>8</v>
      </c>
      <c r="I8" s="33">
        <v>10</v>
      </c>
      <c r="J8" s="33">
        <v>11</v>
      </c>
      <c r="K8" s="33">
        <v>12</v>
      </c>
      <c r="L8" s="33">
        <v>13</v>
      </c>
      <c r="M8" s="34">
        <v>14</v>
      </c>
      <c r="N8" s="33">
        <v>15</v>
      </c>
      <c r="O8" s="33">
        <v>16</v>
      </c>
      <c r="P8" s="33">
        <v>17</v>
      </c>
      <c r="Q8" s="33">
        <v>18</v>
      </c>
      <c r="R8" s="33">
        <v>19</v>
      </c>
      <c r="S8" s="33">
        <v>20</v>
      </c>
      <c r="T8" s="33">
        <v>21</v>
      </c>
      <c r="U8" s="33">
        <v>22</v>
      </c>
    </row>
    <row r="9" spans="1:21" ht="38.25">
      <c r="A9" s="31"/>
      <c r="B9" s="11" t="s">
        <v>10</v>
      </c>
      <c r="C9" s="31"/>
      <c r="D9" s="12"/>
      <c r="E9" s="12"/>
      <c r="F9" s="31"/>
      <c r="G9" s="31"/>
      <c r="H9" s="35"/>
      <c r="I9" s="36"/>
      <c r="J9" s="36"/>
      <c r="K9" s="36"/>
      <c r="L9" s="36"/>
      <c r="M9" s="37"/>
      <c r="N9" s="38"/>
      <c r="O9" s="38"/>
      <c r="P9" s="38"/>
      <c r="Q9" s="38"/>
      <c r="R9" s="38"/>
      <c r="S9" s="38"/>
      <c r="T9" s="38"/>
      <c r="U9" s="38"/>
    </row>
    <row r="10" spans="1:21">
      <c r="A10" s="31"/>
      <c r="B10" s="11" t="s">
        <v>11</v>
      </c>
      <c r="C10" s="31"/>
      <c r="D10" s="12"/>
      <c r="E10" s="12"/>
      <c r="F10" s="31"/>
      <c r="G10" s="31"/>
      <c r="H10" s="35"/>
      <c r="I10" s="36"/>
      <c r="J10" s="36"/>
      <c r="K10" s="36"/>
      <c r="L10" s="36"/>
      <c r="M10" s="37"/>
      <c r="N10" s="38"/>
      <c r="O10" s="38"/>
      <c r="P10" s="38"/>
      <c r="Q10" s="38"/>
      <c r="R10" s="38"/>
      <c r="S10" s="38"/>
      <c r="T10" s="38"/>
      <c r="U10" s="38"/>
    </row>
    <row r="11" spans="1:21" ht="25.5">
      <c r="A11" s="31" t="s">
        <v>12</v>
      </c>
      <c r="B11" s="12" t="s">
        <v>13</v>
      </c>
      <c r="C11" s="31" t="s">
        <v>14</v>
      </c>
      <c r="D11" s="12" t="s">
        <v>15</v>
      </c>
      <c r="E11" s="39">
        <v>54.3</v>
      </c>
      <c r="F11" s="40">
        <f>SUM(E11*156/100)</f>
        <v>84.707999999999998</v>
      </c>
      <c r="G11" s="40">
        <v>175.38</v>
      </c>
      <c r="H11" s="41">
        <f t="shared" ref="H11:H21" si="0">SUM(F11*G11/1000)</f>
        <v>14.856089039999999</v>
      </c>
      <c r="I11" s="42">
        <f>F11/12*G11</f>
        <v>1238.0074199999999</v>
      </c>
      <c r="J11" s="42">
        <f>F11/12*G11</f>
        <v>1238.0074199999999</v>
      </c>
      <c r="K11" s="42">
        <f>F11/12*G11</f>
        <v>1238.0074199999999</v>
      </c>
      <c r="L11" s="42">
        <f>F11/12*G11</f>
        <v>1238.0074199999999</v>
      </c>
      <c r="M11" s="42">
        <f>F11/12*G11</f>
        <v>1238.0074199999999</v>
      </c>
      <c r="N11" s="42">
        <f>F11/12*G11</f>
        <v>1238.0074199999999</v>
      </c>
      <c r="O11" s="42">
        <f>F11/12*G11</f>
        <v>1238.0074199999999</v>
      </c>
      <c r="P11" s="42">
        <f>F11/12*G11</f>
        <v>1238.0074199999999</v>
      </c>
      <c r="Q11" s="42">
        <f>F11/12*G11</f>
        <v>1238.0074199999999</v>
      </c>
      <c r="R11" s="42">
        <f>F11/12*G11</f>
        <v>1238.0074199999999</v>
      </c>
      <c r="S11" s="42">
        <f>F11/12*G11</f>
        <v>1238.0074199999999</v>
      </c>
      <c r="T11" s="42">
        <f>F11/12*G11</f>
        <v>1238.0074199999999</v>
      </c>
      <c r="U11" s="42">
        <f t="shared" ref="U11:U21" si="1">SUM(I11:T11)</f>
        <v>14856.089039999999</v>
      </c>
    </row>
    <row r="12" spans="1:21" ht="25.5">
      <c r="A12" s="31" t="s">
        <v>12</v>
      </c>
      <c r="B12" s="12" t="s">
        <v>16</v>
      </c>
      <c r="C12" s="31" t="s">
        <v>14</v>
      </c>
      <c r="D12" s="12" t="s">
        <v>17</v>
      </c>
      <c r="E12" s="39">
        <v>108.4</v>
      </c>
      <c r="F12" s="40">
        <f>SUM(E12*104/100)</f>
        <v>112.736</v>
      </c>
      <c r="G12" s="40">
        <v>175.38</v>
      </c>
      <c r="H12" s="41">
        <f t="shared" si="0"/>
        <v>19.77163968</v>
      </c>
      <c r="I12" s="42">
        <f>F12/12*G12</f>
        <v>1647.6366400000002</v>
      </c>
      <c r="J12" s="42">
        <f>F12/12*G12</f>
        <v>1647.6366400000002</v>
      </c>
      <c r="K12" s="42">
        <f>F12/12*G12</f>
        <v>1647.6366400000002</v>
      </c>
      <c r="L12" s="42">
        <f>F12/12*G12</f>
        <v>1647.6366400000002</v>
      </c>
      <c r="M12" s="42">
        <f>F12/12*G12</f>
        <v>1647.6366400000002</v>
      </c>
      <c r="N12" s="42">
        <f>F12/12*G12</f>
        <v>1647.6366400000002</v>
      </c>
      <c r="O12" s="42">
        <f>F12/12*G12</f>
        <v>1647.6366400000002</v>
      </c>
      <c r="P12" s="42">
        <f>F12/12*G12</f>
        <v>1647.6366400000002</v>
      </c>
      <c r="Q12" s="42">
        <f>F12/12*G12</f>
        <v>1647.6366400000002</v>
      </c>
      <c r="R12" s="42">
        <f>F12/12*G12</f>
        <v>1647.6366400000002</v>
      </c>
      <c r="S12" s="42">
        <f>F12/12*G12</f>
        <v>1647.6366400000002</v>
      </c>
      <c r="T12" s="42">
        <f>F12/12*G12</f>
        <v>1647.6366400000002</v>
      </c>
      <c r="U12" s="42">
        <f t="shared" si="1"/>
        <v>19771.639680000004</v>
      </c>
    </row>
    <row r="13" spans="1:21" ht="25.5">
      <c r="A13" s="31" t="s">
        <v>18</v>
      </c>
      <c r="B13" s="12" t="s">
        <v>19</v>
      </c>
      <c r="C13" s="31" t="s">
        <v>14</v>
      </c>
      <c r="D13" s="12" t="s">
        <v>20</v>
      </c>
      <c r="E13" s="39">
        <f>SUM(E11+E12)</f>
        <v>162.69999999999999</v>
      </c>
      <c r="F13" s="40">
        <f>SUM(E13*24/100)</f>
        <v>39.047999999999995</v>
      </c>
      <c r="G13" s="40">
        <v>504.5</v>
      </c>
      <c r="H13" s="41">
        <f t="shared" si="0"/>
        <v>19.699715999999995</v>
      </c>
      <c r="I13" s="42">
        <f>F13/12*G13</f>
        <v>1641.6429999999998</v>
      </c>
      <c r="J13" s="42">
        <f>F13/12*G13</f>
        <v>1641.6429999999998</v>
      </c>
      <c r="K13" s="42">
        <f>F13/12*G13</f>
        <v>1641.6429999999998</v>
      </c>
      <c r="L13" s="42">
        <f>F13/12*G13</f>
        <v>1641.6429999999998</v>
      </c>
      <c r="M13" s="42">
        <f>F13/12*G13</f>
        <v>1641.6429999999998</v>
      </c>
      <c r="N13" s="42">
        <f>F13/12*G13</f>
        <v>1641.6429999999998</v>
      </c>
      <c r="O13" s="42">
        <f>F13/12*G13</f>
        <v>1641.6429999999998</v>
      </c>
      <c r="P13" s="42">
        <f>F13/12*G13</f>
        <v>1641.6429999999998</v>
      </c>
      <c r="Q13" s="42">
        <f>F13/12*G13</f>
        <v>1641.6429999999998</v>
      </c>
      <c r="R13" s="42">
        <f>F13/12*G13</f>
        <v>1641.6429999999998</v>
      </c>
      <c r="S13" s="42">
        <f>F13/12*G13</f>
        <v>1641.6429999999998</v>
      </c>
      <c r="T13" s="42">
        <f>F13/12*G13</f>
        <v>1641.6429999999998</v>
      </c>
      <c r="U13" s="42">
        <f t="shared" si="1"/>
        <v>19699.715999999997</v>
      </c>
    </row>
    <row r="14" spans="1:21">
      <c r="A14" s="31" t="s">
        <v>21</v>
      </c>
      <c r="B14" s="12" t="s">
        <v>22</v>
      </c>
      <c r="C14" s="31" t="s">
        <v>23</v>
      </c>
      <c r="D14" s="12" t="s">
        <v>146</v>
      </c>
      <c r="E14" s="39">
        <v>15.3</v>
      </c>
      <c r="F14" s="40">
        <f>SUM(E14/10)</f>
        <v>1.53</v>
      </c>
      <c r="G14" s="40">
        <v>170.16</v>
      </c>
      <c r="H14" s="41">
        <f t="shared" si="0"/>
        <v>0.26034480000000004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f>F14*G14</f>
        <v>260.34480000000002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f t="shared" si="1"/>
        <v>260.34480000000002</v>
      </c>
    </row>
    <row r="15" spans="1:21">
      <c r="A15" s="31" t="s">
        <v>24</v>
      </c>
      <c r="B15" s="12" t="s">
        <v>25</v>
      </c>
      <c r="C15" s="31" t="s">
        <v>14</v>
      </c>
      <c r="D15" s="12" t="s">
        <v>147</v>
      </c>
      <c r="E15" s="39">
        <v>19.62</v>
      </c>
      <c r="F15" s="40">
        <f>SUM(E15*12/100)</f>
        <v>2.3544</v>
      </c>
      <c r="G15" s="40">
        <v>217.88</v>
      </c>
      <c r="H15" s="41">
        <f t="shared" si="0"/>
        <v>0.51297667199999997</v>
      </c>
      <c r="I15" s="42">
        <f>F15/12*G15</f>
        <v>42.748056000000005</v>
      </c>
      <c r="J15" s="42">
        <f>F15/12*G15</f>
        <v>42.748056000000005</v>
      </c>
      <c r="K15" s="42">
        <f>F15/12*G15</f>
        <v>42.748056000000005</v>
      </c>
      <c r="L15" s="42">
        <f>F15/12*G15</f>
        <v>42.748056000000005</v>
      </c>
      <c r="M15" s="42">
        <f>F15/12*G15</f>
        <v>42.748056000000005</v>
      </c>
      <c r="N15" s="42">
        <f>F15/12*G15</f>
        <v>42.748056000000005</v>
      </c>
      <c r="O15" s="42">
        <f>F15/12*G15</f>
        <v>42.748056000000005</v>
      </c>
      <c r="P15" s="42">
        <f>F15/12*G15</f>
        <v>42.748056000000005</v>
      </c>
      <c r="Q15" s="42">
        <f>F15/12*G15</f>
        <v>42.748056000000005</v>
      </c>
      <c r="R15" s="42">
        <f>F15/12*G15</f>
        <v>42.748056000000005</v>
      </c>
      <c r="S15" s="42">
        <f>F15/12*G15</f>
        <v>42.748056000000005</v>
      </c>
      <c r="T15" s="42">
        <f>F15/12*G15</f>
        <v>42.748056000000005</v>
      </c>
      <c r="U15" s="42">
        <f t="shared" si="1"/>
        <v>512.97667200000012</v>
      </c>
    </row>
    <row r="16" spans="1:21">
      <c r="A16" s="31" t="s">
        <v>26</v>
      </c>
      <c r="B16" s="12" t="s">
        <v>27</v>
      </c>
      <c r="C16" s="31" t="s">
        <v>14</v>
      </c>
      <c r="D16" s="12" t="s">
        <v>147</v>
      </c>
      <c r="E16" s="39">
        <v>8.68</v>
      </c>
      <c r="F16" s="40">
        <f>SUM(E16*12/100)</f>
        <v>1.0415999999999999</v>
      </c>
      <c r="G16" s="40">
        <v>216.12</v>
      </c>
      <c r="H16" s="41">
        <f t="shared" si="0"/>
        <v>0.22511059199999997</v>
      </c>
      <c r="I16" s="42">
        <f>F16/12*G16</f>
        <v>18.759215999999999</v>
      </c>
      <c r="J16" s="42">
        <f>F16/12*G16</f>
        <v>18.759215999999999</v>
      </c>
      <c r="K16" s="42">
        <f>F16/12*G16</f>
        <v>18.759215999999999</v>
      </c>
      <c r="L16" s="42">
        <f>F16/12*G16</f>
        <v>18.759215999999999</v>
      </c>
      <c r="M16" s="42">
        <f>F16/12*G16</f>
        <v>18.759215999999999</v>
      </c>
      <c r="N16" s="42">
        <f>F16/12*G16</f>
        <v>18.759215999999999</v>
      </c>
      <c r="O16" s="42">
        <f>F16/12*G16</f>
        <v>18.759215999999999</v>
      </c>
      <c r="P16" s="42">
        <f>F16/12*G16</f>
        <v>18.759215999999999</v>
      </c>
      <c r="Q16" s="42">
        <f>F16/12*G16</f>
        <v>18.759215999999999</v>
      </c>
      <c r="R16" s="42">
        <f>F16/12*G16</f>
        <v>18.759215999999999</v>
      </c>
      <c r="S16" s="42">
        <f>F16/12*G16</f>
        <v>18.759215999999999</v>
      </c>
      <c r="T16" s="42">
        <f>F16/12*G16</f>
        <v>18.759215999999999</v>
      </c>
      <c r="U16" s="42">
        <f t="shared" si="1"/>
        <v>225.11059200000003</v>
      </c>
    </row>
    <row r="17" spans="1:21">
      <c r="A17" s="31" t="s">
        <v>28</v>
      </c>
      <c r="B17" s="12" t="s">
        <v>29</v>
      </c>
      <c r="C17" s="31" t="s">
        <v>30</v>
      </c>
      <c r="D17" s="12" t="s">
        <v>146</v>
      </c>
      <c r="E17" s="39">
        <v>215</v>
      </c>
      <c r="F17" s="40">
        <f>SUM(E17/100)</f>
        <v>2.15</v>
      </c>
      <c r="G17" s="40">
        <v>269.26</v>
      </c>
      <c r="H17" s="41">
        <f t="shared" si="0"/>
        <v>0.57890900000000001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f>F17*G17</f>
        <v>578.90899999999999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f t="shared" si="1"/>
        <v>578.90899999999999</v>
      </c>
    </row>
    <row r="18" spans="1:21">
      <c r="A18" s="31" t="s">
        <v>31</v>
      </c>
      <c r="B18" s="12" t="s">
        <v>32</v>
      </c>
      <c r="C18" s="31" t="s">
        <v>30</v>
      </c>
      <c r="D18" s="12" t="s">
        <v>146</v>
      </c>
      <c r="E18" s="44">
        <v>17.64</v>
      </c>
      <c r="F18" s="40">
        <f>SUM(E18/100)</f>
        <v>0.1764</v>
      </c>
      <c r="G18" s="40">
        <v>44.29</v>
      </c>
      <c r="H18" s="41">
        <f t="shared" si="0"/>
        <v>7.8127560000000006E-3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f>F18*G18</f>
        <v>7.8127560000000003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f t="shared" si="1"/>
        <v>7.8127560000000003</v>
      </c>
    </row>
    <row r="19" spans="1:21">
      <c r="A19" s="31" t="s">
        <v>157</v>
      </c>
      <c r="B19" s="12" t="s">
        <v>158</v>
      </c>
      <c r="C19" s="31" t="s">
        <v>30</v>
      </c>
      <c r="D19" s="12" t="s">
        <v>146</v>
      </c>
      <c r="E19" s="45">
        <v>4.5</v>
      </c>
      <c r="F19" s="46">
        <v>0.05</v>
      </c>
      <c r="G19" s="40">
        <v>398.72</v>
      </c>
      <c r="H19" s="41">
        <f>F19*G19/1000</f>
        <v>1.9936000000000002E-2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f>F19*G19</f>
        <v>19.936000000000003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f t="shared" si="1"/>
        <v>19.936000000000003</v>
      </c>
    </row>
    <row r="20" spans="1:21" ht="25.5">
      <c r="A20" s="31" t="s">
        <v>156</v>
      </c>
      <c r="B20" s="12" t="s">
        <v>159</v>
      </c>
      <c r="C20" s="31" t="s">
        <v>30</v>
      </c>
      <c r="D20" s="12" t="s">
        <v>146</v>
      </c>
      <c r="E20" s="44">
        <v>9.4499999999999993</v>
      </c>
      <c r="F20" s="40">
        <v>0.09</v>
      </c>
      <c r="G20" s="40">
        <v>216.12</v>
      </c>
      <c r="H20" s="41">
        <f>F20*G20/1000</f>
        <v>1.9450800000000001E-2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f>F20*G20</f>
        <v>19.450800000000001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f t="shared" si="1"/>
        <v>19.450800000000001</v>
      </c>
    </row>
    <row r="21" spans="1:21">
      <c r="A21" s="31" t="s">
        <v>33</v>
      </c>
      <c r="B21" s="12" t="s">
        <v>34</v>
      </c>
      <c r="C21" s="31" t="s">
        <v>30</v>
      </c>
      <c r="D21" s="12" t="s">
        <v>146</v>
      </c>
      <c r="E21" s="39">
        <v>14.4</v>
      </c>
      <c r="F21" s="40">
        <f>SUM(E21/100)</f>
        <v>0.14400000000000002</v>
      </c>
      <c r="G21" s="40">
        <v>520.79999999999995</v>
      </c>
      <c r="H21" s="41">
        <f t="shared" si="0"/>
        <v>7.4995199999999998E-2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f>F21*G21</f>
        <v>74.995199999999997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f t="shared" si="1"/>
        <v>74.995199999999997</v>
      </c>
    </row>
    <row r="22" spans="1:21" s="20" customFormat="1">
      <c r="A22" s="47"/>
      <c r="B22" s="21" t="s">
        <v>35</v>
      </c>
      <c r="C22" s="48"/>
      <c r="D22" s="21"/>
      <c r="E22" s="49"/>
      <c r="F22" s="50"/>
      <c r="G22" s="50"/>
      <c r="H22" s="51">
        <f>SUM(H11:H21)</f>
        <v>56.026980539999997</v>
      </c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>
        <f>SUM(U11:U21)</f>
        <v>56026.98053999999</v>
      </c>
    </row>
    <row r="23" spans="1:21">
      <c r="A23" s="31"/>
      <c r="B23" s="13" t="s">
        <v>36</v>
      </c>
      <c r="C23" s="31"/>
      <c r="D23" s="12"/>
      <c r="E23" s="39"/>
      <c r="F23" s="40"/>
      <c r="G23" s="40"/>
      <c r="H23" s="41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 ht="25.5" customHeight="1">
      <c r="A24" s="31" t="s">
        <v>37</v>
      </c>
      <c r="B24" s="12" t="s">
        <v>38</v>
      </c>
      <c r="C24" s="31" t="s">
        <v>42</v>
      </c>
      <c r="D24" s="12" t="s">
        <v>39</v>
      </c>
      <c r="E24" s="40">
        <v>583.25</v>
      </c>
      <c r="F24" s="40">
        <f>SUM(E24*52/1000)</f>
        <v>30.329000000000001</v>
      </c>
      <c r="G24" s="40">
        <v>155.88999999999999</v>
      </c>
      <c r="H24" s="41">
        <f t="shared" ref="H24:H31" si="2">SUM(F24*G24/1000)</f>
        <v>4.7279878099999992</v>
      </c>
      <c r="I24" s="42">
        <v>0</v>
      </c>
      <c r="J24" s="42">
        <v>0</v>
      </c>
      <c r="K24" s="42">
        <v>0</v>
      </c>
      <c r="L24" s="42">
        <v>0</v>
      </c>
      <c r="M24" s="42">
        <f>F24/6*G24</f>
        <v>787.99796833333335</v>
      </c>
      <c r="N24" s="42">
        <f>F24/6*G24</f>
        <v>787.99796833333335</v>
      </c>
      <c r="O24" s="42">
        <f>F24/6*G24</f>
        <v>787.99796833333335</v>
      </c>
      <c r="P24" s="42">
        <f>F24/6*G24</f>
        <v>787.99796833333335</v>
      </c>
      <c r="Q24" s="42">
        <f>F24/6*G24</f>
        <v>787.99796833333335</v>
      </c>
      <c r="R24" s="42">
        <f>F24/6*G24</f>
        <v>787.99796833333335</v>
      </c>
      <c r="S24" s="42">
        <v>0</v>
      </c>
      <c r="T24" s="42">
        <v>0</v>
      </c>
      <c r="U24" s="42">
        <f t="shared" ref="U24:U31" si="3">SUM(I24:T24)</f>
        <v>4727.9878099999996</v>
      </c>
    </row>
    <row r="25" spans="1:21" ht="38.25" customHeight="1">
      <c r="A25" s="31" t="s">
        <v>40</v>
      </c>
      <c r="B25" s="12" t="s">
        <v>41</v>
      </c>
      <c r="C25" s="31" t="s">
        <v>42</v>
      </c>
      <c r="D25" s="12" t="s">
        <v>43</v>
      </c>
      <c r="E25" s="40">
        <v>220</v>
      </c>
      <c r="F25" s="40">
        <f>SUM(E25*78/1000)</f>
        <v>17.16</v>
      </c>
      <c r="G25" s="40">
        <v>258.63</v>
      </c>
      <c r="H25" s="41">
        <f t="shared" si="2"/>
        <v>4.4380908000000003</v>
      </c>
      <c r="I25" s="42">
        <v>0</v>
      </c>
      <c r="J25" s="42">
        <v>0</v>
      </c>
      <c r="K25" s="42">
        <v>0</v>
      </c>
      <c r="L25" s="42">
        <v>0</v>
      </c>
      <c r="M25" s="42">
        <f>F25/6*G25</f>
        <v>739.68179999999995</v>
      </c>
      <c r="N25" s="42">
        <f>F25/6*G25</f>
        <v>739.68179999999995</v>
      </c>
      <c r="O25" s="42">
        <f>F25/6*G25</f>
        <v>739.68179999999995</v>
      </c>
      <c r="P25" s="42">
        <f>F25/6*G25</f>
        <v>739.68179999999995</v>
      </c>
      <c r="Q25" s="42">
        <f>F25/6*G25</f>
        <v>739.68179999999995</v>
      </c>
      <c r="R25" s="42">
        <f>F25/6*G25</f>
        <v>739.68179999999995</v>
      </c>
      <c r="S25" s="42">
        <v>0</v>
      </c>
      <c r="T25" s="42">
        <v>0</v>
      </c>
      <c r="U25" s="42">
        <f t="shared" si="3"/>
        <v>4438.0907999999999</v>
      </c>
    </row>
    <row r="26" spans="1:21">
      <c r="A26" s="31" t="s">
        <v>44</v>
      </c>
      <c r="B26" s="12" t="s">
        <v>45</v>
      </c>
      <c r="C26" s="31" t="s">
        <v>42</v>
      </c>
      <c r="D26" s="12" t="s">
        <v>46</v>
      </c>
      <c r="E26" s="40">
        <v>583.25</v>
      </c>
      <c r="F26" s="40">
        <f>SUM(E26/1000)</f>
        <v>0.58325000000000005</v>
      </c>
      <c r="G26" s="40">
        <v>3020.33</v>
      </c>
      <c r="H26" s="41">
        <f t="shared" si="2"/>
        <v>1.7616074725000002</v>
      </c>
      <c r="I26" s="42">
        <v>0</v>
      </c>
      <c r="J26" s="42">
        <v>0</v>
      </c>
      <c r="K26" s="42">
        <v>0</v>
      </c>
      <c r="L26" s="42">
        <v>0</v>
      </c>
      <c r="M26" s="42">
        <f>F26*G26</f>
        <v>1761.6074725000001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f t="shared" si="3"/>
        <v>1761.6074725000001</v>
      </c>
    </row>
    <row r="27" spans="1:21">
      <c r="A27" s="31" t="s">
        <v>47</v>
      </c>
      <c r="B27" s="12" t="s">
        <v>48</v>
      </c>
      <c r="C27" s="31" t="s">
        <v>49</v>
      </c>
      <c r="D27" s="12" t="s">
        <v>50</v>
      </c>
      <c r="E27" s="54">
        <v>0.33333333333333331</v>
      </c>
      <c r="F27" s="40">
        <f>155/3</f>
        <v>51.666666666666664</v>
      </c>
      <c r="G27" s="40">
        <v>56.69</v>
      </c>
      <c r="H27" s="41">
        <f>SUM(G27*155/3/1000)</f>
        <v>2.9289833333333331</v>
      </c>
      <c r="I27" s="42">
        <v>0</v>
      </c>
      <c r="J27" s="42">
        <v>0</v>
      </c>
      <c r="K27" s="42">
        <v>0</v>
      </c>
      <c r="L27" s="42">
        <v>0</v>
      </c>
      <c r="M27" s="42">
        <f>F27/6*G27</f>
        <v>488.16388888888883</v>
      </c>
      <c r="N27" s="42">
        <f>F27/6*G27</f>
        <v>488.16388888888883</v>
      </c>
      <c r="O27" s="42">
        <f>F27/6*G27</f>
        <v>488.16388888888883</v>
      </c>
      <c r="P27" s="42">
        <f>F27/6*G27</f>
        <v>488.16388888888883</v>
      </c>
      <c r="Q27" s="42">
        <f>F27/6*G27</f>
        <v>488.16388888888883</v>
      </c>
      <c r="R27" s="42">
        <f>F27/6*G27</f>
        <v>488.16388888888883</v>
      </c>
      <c r="S27" s="42">
        <v>0</v>
      </c>
      <c r="T27" s="42">
        <v>0</v>
      </c>
      <c r="U27" s="42">
        <f t="shared" si="3"/>
        <v>2928.9833333333331</v>
      </c>
    </row>
    <row r="28" spans="1:21" ht="12.75" customHeight="1">
      <c r="A28" s="31" t="s">
        <v>51</v>
      </c>
      <c r="B28" s="12" t="s">
        <v>52</v>
      </c>
      <c r="C28" s="31" t="s">
        <v>53</v>
      </c>
      <c r="D28" s="12" t="s">
        <v>54</v>
      </c>
      <c r="E28" s="55">
        <v>0.1</v>
      </c>
      <c r="F28" s="40">
        <f>SUM(E28*365)</f>
        <v>36.5</v>
      </c>
      <c r="G28" s="40">
        <v>147.03</v>
      </c>
      <c r="H28" s="41">
        <f t="shared" si="2"/>
        <v>5.3665950000000002</v>
      </c>
      <c r="I28" s="42">
        <f>F28/12*G28</f>
        <v>447.21625</v>
      </c>
      <c r="J28" s="42">
        <f>F28/12*G28</f>
        <v>447.21625</v>
      </c>
      <c r="K28" s="42">
        <f>F28/12*G28</f>
        <v>447.21625</v>
      </c>
      <c r="L28" s="42">
        <f>F28/12*G28</f>
        <v>447.21625</v>
      </c>
      <c r="M28" s="42">
        <f>F28/12*G28</f>
        <v>447.21625</v>
      </c>
      <c r="N28" s="42">
        <f>F28/12*G28</f>
        <v>447.21625</v>
      </c>
      <c r="O28" s="42">
        <f>F28/12*G28</f>
        <v>447.21625</v>
      </c>
      <c r="P28" s="42">
        <f>F28/12*G28</f>
        <v>447.21625</v>
      </c>
      <c r="Q28" s="42">
        <f>F28/12*G28</f>
        <v>447.21625</v>
      </c>
      <c r="R28" s="42">
        <f>F28/12*G28</f>
        <v>447.21625</v>
      </c>
      <c r="S28" s="42">
        <f>F28/12*G28</f>
        <v>447.21625</v>
      </c>
      <c r="T28" s="42">
        <f>F28/12*G28</f>
        <v>447.21625</v>
      </c>
      <c r="U28" s="42">
        <f t="shared" si="3"/>
        <v>5366.5950000000012</v>
      </c>
    </row>
    <row r="29" spans="1:21" ht="12.75" customHeight="1">
      <c r="A29" s="31" t="s">
        <v>56</v>
      </c>
      <c r="B29" s="12" t="s">
        <v>57</v>
      </c>
      <c r="C29" s="31" t="s">
        <v>53</v>
      </c>
      <c r="D29" s="12" t="s">
        <v>55</v>
      </c>
      <c r="E29" s="39"/>
      <c r="F29" s="40">
        <v>2</v>
      </c>
      <c r="G29" s="40">
        <v>191.32</v>
      </c>
      <c r="H29" s="41">
        <f t="shared" si="2"/>
        <v>0.38263999999999998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f t="shared" si="3"/>
        <v>0</v>
      </c>
    </row>
    <row r="30" spans="1:21" ht="13.5" customHeight="1">
      <c r="A30" s="31" t="s">
        <v>58</v>
      </c>
      <c r="B30" s="12" t="s">
        <v>59</v>
      </c>
      <c r="C30" s="31" t="s">
        <v>60</v>
      </c>
      <c r="D30" s="12" t="s">
        <v>55</v>
      </c>
      <c r="E30" s="39"/>
      <c r="F30" s="40">
        <v>3</v>
      </c>
      <c r="G30" s="40">
        <v>1136.32</v>
      </c>
      <c r="H30" s="41">
        <f t="shared" si="2"/>
        <v>3.40896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f t="shared" si="3"/>
        <v>0</v>
      </c>
    </row>
    <row r="31" spans="1:21">
      <c r="A31" s="31"/>
      <c r="B31" s="56" t="s">
        <v>61</v>
      </c>
      <c r="C31" s="31" t="s">
        <v>62</v>
      </c>
      <c r="D31" s="56" t="s">
        <v>54</v>
      </c>
      <c r="E31" s="39">
        <v>1810.5</v>
      </c>
      <c r="F31" s="40">
        <f>SUM(E31*12)</f>
        <v>21726</v>
      </c>
      <c r="G31" s="40">
        <v>5.25</v>
      </c>
      <c r="H31" s="41">
        <f t="shared" si="2"/>
        <v>114.0615</v>
      </c>
      <c r="I31" s="42">
        <f>F31/12*G31</f>
        <v>9505.125</v>
      </c>
      <c r="J31" s="42">
        <f>F31/12*G31</f>
        <v>9505.125</v>
      </c>
      <c r="K31" s="42">
        <f>F31/12*G31</f>
        <v>9505.125</v>
      </c>
      <c r="L31" s="42">
        <f>F31/12*G31</f>
        <v>9505.125</v>
      </c>
      <c r="M31" s="42">
        <f>F31/12*G31</f>
        <v>9505.125</v>
      </c>
      <c r="N31" s="42">
        <f>F31/12*G31</f>
        <v>9505.125</v>
      </c>
      <c r="O31" s="42">
        <f>F31/12*G31</f>
        <v>9505.125</v>
      </c>
      <c r="P31" s="42">
        <f>F31/12*G31</f>
        <v>9505.125</v>
      </c>
      <c r="Q31" s="42">
        <f>F31/12*G31</f>
        <v>9505.125</v>
      </c>
      <c r="R31" s="42">
        <f>F31/12*G31</f>
        <v>9505.125</v>
      </c>
      <c r="S31" s="42">
        <f>F31/12*G31</f>
        <v>9505.125</v>
      </c>
      <c r="T31" s="42">
        <f>F31/12*G31</f>
        <v>9505.125</v>
      </c>
      <c r="U31" s="42">
        <f t="shared" si="3"/>
        <v>114061.5</v>
      </c>
    </row>
    <row r="32" spans="1:21" s="20" customFormat="1">
      <c r="A32" s="47"/>
      <c r="B32" s="21" t="s">
        <v>35</v>
      </c>
      <c r="C32" s="48"/>
      <c r="D32" s="21"/>
      <c r="E32" s="49"/>
      <c r="F32" s="50"/>
      <c r="G32" s="50"/>
      <c r="H32" s="57">
        <f>SUM(H24:H31)</f>
        <v>137.07636441583332</v>
      </c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>
        <f>SUM(U24:U31)</f>
        <v>133284.76441583334</v>
      </c>
    </row>
    <row r="33" spans="1:21">
      <c r="A33" s="31"/>
      <c r="B33" s="13" t="s">
        <v>64</v>
      </c>
      <c r="C33" s="31"/>
      <c r="D33" s="12"/>
      <c r="E33" s="39"/>
      <c r="F33" s="40"/>
      <c r="G33" s="40"/>
      <c r="H33" s="41" t="s">
        <v>63</v>
      </c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 ht="25.5">
      <c r="A34" s="31" t="s">
        <v>58</v>
      </c>
      <c r="B34" s="14" t="s">
        <v>65</v>
      </c>
      <c r="C34" s="31" t="s">
        <v>60</v>
      </c>
      <c r="D34" s="12"/>
      <c r="E34" s="39"/>
      <c r="F34" s="40">
        <v>4</v>
      </c>
      <c r="G34" s="40">
        <v>1527.22</v>
      </c>
      <c r="H34" s="41">
        <f t="shared" ref="H34:H40" si="4">SUM(F34*G34/1000)</f>
        <v>6.1088800000000001</v>
      </c>
      <c r="I34" s="42">
        <f>F34/6*G34</f>
        <v>1018.1466666666666</v>
      </c>
      <c r="J34" s="42">
        <f>F34/6*G34</f>
        <v>1018.1466666666666</v>
      </c>
      <c r="K34" s="42">
        <f>F34/6*G34</f>
        <v>1018.1466666666666</v>
      </c>
      <c r="L34" s="42">
        <f>F34/6*G34</f>
        <v>1018.1466666666666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f>F34/6*G34</f>
        <v>1018.1466666666666</v>
      </c>
      <c r="T34" s="42">
        <f>F34/6*G34</f>
        <v>1018.1466666666666</v>
      </c>
      <c r="U34" s="42">
        <f t="shared" ref="U34:U40" si="5">SUM(I34:T34)</f>
        <v>6108.88</v>
      </c>
    </row>
    <row r="35" spans="1:21" s="2" customFormat="1">
      <c r="A35" s="58" t="s">
        <v>66</v>
      </c>
      <c r="B35" s="14" t="s">
        <v>67</v>
      </c>
      <c r="C35" s="58" t="s">
        <v>68</v>
      </c>
      <c r="D35" s="14" t="s">
        <v>69</v>
      </c>
      <c r="E35" s="59">
        <v>220</v>
      </c>
      <c r="F35" s="59">
        <f>SUM(E35*50/1000)</f>
        <v>11</v>
      </c>
      <c r="G35" s="59">
        <v>2102.71</v>
      </c>
      <c r="H35" s="41">
        <f t="shared" si="4"/>
        <v>23.129810000000003</v>
      </c>
      <c r="I35" s="60">
        <f>F35/6*G35</f>
        <v>3854.9683333333332</v>
      </c>
      <c r="J35" s="60">
        <f>F35/6*G35</f>
        <v>3854.9683333333332</v>
      </c>
      <c r="K35" s="60">
        <f>F35/6*G35</f>
        <v>3854.9683333333332</v>
      </c>
      <c r="L35" s="60">
        <f>F35/6*G35</f>
        <v>3854.9683333333332</v>
      </c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60">
        <v>0</v>
      </c>
      <c r="S35" s="60">
        <f>F35/6*G35</f>
        <v>3854.9683333333332</v>
      </c>
      <c r="T35" s="60">
        <f>F35/6*G35</f>
        <v>3854.9683333333332</v>
      </c>
      <c r="U35" s="42">
        <f t="shared" si="5"/>
        <v>23129.81</v>
      </c>
    </row>
    <row r="36" spans="1:21">
      <c r="A36" s="31" t="s">
        <v>58</v>
      </c>
      <c r="B36" s="12" t="s">
        <v>154</v>
      </c>
      <c r="C36" s="31" t="s">
        <v>105</v>
      </c>
      <c r="D36" s="12" t="s">
        <v>55</v>
      </c>
      <c r="E36" s="39"/>
      <c r="F36" s="59">
        <v>20</v>
      </c>
      <c r="G36" s="40">
        <v>213.2</v>
      </c>
      <c r="H36" s="41">
        <f>G36*F36/1000</f>
        <v>4.2640000000000002</v>
      </c>
      <c r="I36" s="42">
        <f>0</f>
        <v>0</v>
      </c>
      <c r="J36" s="42">
        <v>0</v>
      </c>
      <c r="K36" s="42">
        <f>20*G36</f>
        <v>4264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f t="shared" si="5"/>
        <v>4264</v>
      </c>
    </row>
    <row r="37" spans="1:21" ht="24.75" customHeight="1">
      <c r="A37" s="31" t="s">
        <v>70</v>
      </c>
      <c r="B37" s="12" t="s">
        <v>71</v>
      </c>
      <c r="C37" s="31" t="s">
        <v>68</v>
      </c>
      <c r="D37" s="12" t="s">
        <v>72</v>
      </c>
      <c r="E37" s="40">
        <v>106</v>
      </c>
      <c r="F37" s="59">
        <f>SUM(E37*155/1000)</f>
        <v>16.43</v>
      </c>
      <c r="G37" s="40">
        <v>350.75</v>
      </c>
      <c r="H37" s="41">
        <f t="shared" si="4"/>
        <v>5.7628225000000004</v>
      </c>
      <c r="I37" s="42">
        <f>F37/6*G37</f>
        <v>960.47041666666667</v>
      </c>
      <c r="J37" s="42">
        <f>F37/6*G37</f>
        <v>960.47041666666667</v>
      </c>
      <c r="K37" s="42">
        <f>F37/6*G37</f>
        <v>960.47041666666667</v>
      </c>
      <c r="L37" s="42">
        <f>F37/6*G37</f>
        <v>960.47041666666667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f>F37/6*G37</f>
        <v>960.47041666666667</v>
      </c>
      <c r="T37" s="42">
        <f>F37/6*G37</f>
        <v>960.47041666666667</v>
      </c>
      <c r="U37" s="42">
        <f t="shared" si="5"/>
        <v>5762.8225000000002</v>
      </c>
    </row>
    <row r="38" spans="1:21" ht="51" customHeight="1">
      <c r="A38" s="31" t="s">
        <v>73</v>
      </c>
      <c r="B38" s="12" t="s">
        <v>74</v>
      </c>
      <c r="C38" s="31" t="s">
        <v>42</v>
      </c>
      <c r="D38" s="12" t="s">
        <v>160</v>
      </c>
      <c r="E38" s="40">
        <v>34.200000000000003</v>
      </c>
      <c r="F38" s="59">
        <f>SUM(E38*20/1000)</f>
        <v>0.68400000000000005</v>
      </c>
      <c r="G38" s="40">
        <v>5803.28</v>
      </c>
      <c r="H38" s="41">
        <f t="shared" si="4"/>
        <v>3.9694435200000004</v>
      </c>
      <c r="I38" s="42">
        <f>F38/6*G38</f>
        <v>661.57392000000004</v>
      </c>
      <c r="J38" s="42">
        <f>F38/6*G38</f>
        <v>661.57392000000004</v>
      </c>
      <c r="K38" s="42">
        <f>F38/6*G38</f>
        <v>661.57392000000004</v>
      </c>
      <c r="L38" s="42">
        <f>F38/6*G38</f>
        <v>661.57392000000004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f>F38/6*G38</f>
        <v>661.57392000000004</v>
      </c>
      <c r="T38" s="42">
        <f>F38/6*G38</f>
        <v>661.57392000000004</v>
      </c>
      <c r="U38" s="42">
        <f t="shared" si="5"/>
        <v>3969.4435199999998</v>
      </c>
    </row>
    <row r="39" spans="1:21" ht="12.75" customHeight="1">
      <c r="A39" s="31" t="s">
        <v>75</v>
      </c>
      <c r="B39" s="12" t="s">
        <v>76</v>
      </c>
      <c r="C39" s="31" t="s">
        <v>42</v>
      </c>
      <c r="D39" s="12" t="s">
        <v>77</v>
      </c>
      <c r="E39" s="40">
        <v>34.200000000000003</v>
      </c>
      <c r="F39" s="59">
        <f>SUM(E39*45/1000)</f>
        <v>1.5390000000000001</v>
      </c>
      <c r="G39" s="40">
        <v>428.7</v>
      </c>
      <c r="H39" s="41">
        <f t="shared" si="4"/>
        <v>0.6597693</v>
      </c>
      <c r="I39" s="42">
        <f>F39/6*G39</f>
        <v>109.96155</v>
      </c>
      <c r="J39" s="42">
        <f>F39/6*G39</f>
        <v>109.96155</v>
      </c>
      <c r="K39" s="42">
        <f>F39/6*G39</f>
        <v>109.96155</v>
      </c>
      <c r="L39" s="42">
        <f>F39/6*G39</f>
        <v>109.96155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42">
        <f>F39/6*G39</f>
        <v>109.96155</v>
      </c>
      <c r="T39" s="42">
        <f>F39/6*G39</f>
        <v>109.96155</v>
      </c>
      <c r="U39" s="42">
        <f t="shared" si="5"/>
        <v>659.76930000000004</v>
      </c>
    </row>
    <row r="40" spans="1:21" s="3" customFormat="1">
      <c r="A40" s="58"/>
      <c r="B40" s="14" t="s">
        <v>78</v>
      </c>
      <c r="C40" s="58" t="s">
        <v>53</v>
      </c>
      <c r="D40" s="14"/>
      <c r="E40" s="55"/>
      <c r="F40" s="59">
        <v>0.5</v>
      </c>
      <c r="G40" s="59">
        <v>798</v>
      </c>
      <c r="H40" s="41">
        <f t="shared" si="4"/>
        <v>0.39900000000000002</v>
      </c>
      <c r="I40" s="60">
        <f>F40/6*G40</f>
        <v>66.5</v>
      </c>
      <c r="J40" s="60">
        <f>F40/6*G40</f>
        <v>66.5</v>
      </c>
      <c r="K40" s="60">
        <f>F40/6*G40</f>
        <v>66.5</v>
      </c>
      <c r="L40" s="60">
        <f>F40/6*G40</f>
        <v>66.5</v>
      </c>
      <c r="M40" s="60">
        <v>0</v>
      </c>
      <c r="N40" s="60">
        <v>0</v>
      </c>
      <c r="O40" s="60">
        <v>0</v>
      </c>
      <c r="P40" s="60">
        <v>0</v>
      </c>
      <c r="Q40" s="60">
        <v>0</v>
      </c>
      <c r="R40" s="60">
        <v>0</v>
      </c>
      <c r="S40" s="60">
        <f>F40/6*G40</f>
        <v>66.5</v>
      </c>
      <c r="T40" s="60">
        <f>F40/6*G40</f>
        <v>66.5</v>
      </c>
      <c r="U40" s="42">
        <f t="shared" si="5"/>
        <v>399</v>
      </c>
    </row>
    <row r="41" spans="1:21" s="20" customFormat="1">
      <c r="A41" s="47"/>
      <c r="B41" s="21" t="s">
        <v>35</v>
      </c>
      <c r="C41" s="48"/>
      <c r="D41" s="21"/>
      <c r="E41" s="49"/>
      <c r="F41" s="50" t="s">
        <v>63</v>
      </c>
      <c r="G41" s="50"/>
      <c r="H41" s="57">
        <f>SUM(H34:H40)</f>
        <v>44.29372532</v>
      </c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>
        <f>SUM(U34:U40)</f>
        <v>44293.725320000005</v>
      </c>
    </row>
    <row r="42" spans="1:21">
      <c r="A42" s="31"/>
      <c r="B42" s="15" t="s">
        <v>79</v>
      </c>
      <c r="C42" s="31"/>
      <c r="D42" s="12"/>
      <c r="E42" s="39"/>
      <c r="F42" s="40"/>
      <c r="G42" s="40"/>
      <c r="H42" s="41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</row>
    <row r="43" spans="1:21">
      <c r="A43" s="31" t="s">
        <v>161</v>
      </c>
      <c r="B43" s="12" t="s">
        <v>162</v>
      </c>
      <c r="C43" s="31" t="s">
        <v>42</v>
      </c>
      <c r="D43" s="12" t="s">
        <v>80</v>
      </c>
      <c r="E43" s="39">
        <v>1033.2</v>
      </c>
      <c r="F43" s="40">
        <f>SUM(E43*2/1000)</f>
        <v>2.0664000000000002</v>
      </c>
      <c r="G43" s="61">
        <v>809.74</v>
      </c>
      <c r="H43" s="41">
        <f t="shared" ref="H43:H53" si="6">SUM(F43*G43/1000)</f>
        <v>1.6732467360000003</v>
      </c>
      <c r="I43" s="42">
        <v>0</v>
      </c>
      <c r="J43" s="42">
        <v>0</v>
      </c>
      <c r="K43" s="42">
        <v>0</v>
      </c>
      <c r="L43" s="42">
        <f>F43/2*G43</f>
        <v>836.62336800000014</v>
      </c>
      <c r="M43" s="42">
        <v>0</v>
      </c>
      <c r="N43" s="42">
        <v>0</v>
      </c>
      <c r="O43" s="42">
        <v>0</v>
      </c>
      <c r="P43" s="42">
        <v>0</v>
      </c>
      <c r="Q43" s="42">
        <v>0</v>
      </c>
      <c r="R43" s="42">
        <f>F43/2*G43</f>
        <v>836.62336800000014</v>
      </c>
      <c r="S43" s="42">
        <v>0</v>
      </c>
      <c r="T43" s="42">
        <v>0</v>
      </c>
      <c r="U43" s="42">
        <f t="shared" ref="U43:U53" si="7">SUM(I43:T43)</f>
        <v>1673.2467360000003</v>
      </c>
    </row>
    <row r="44" spans="1:21">
      <c r="A44" s="31" t="s">
        <v>81</v>
      </c>
      <c r="B44" s="12" t="s">
        <v>82</v>
      </c>
      <c r="C44" s="31" t="s">
        <v>42</v>
      </c>
      <c r="D44" s="12" t="s">
        <v>80</v>
      </c>
      <c r="E44" s="39">
        <v>19.8</v>
      </c>
      <c r="F44" s="40">
        <f>SUM(E44*2/1000)</f>
        <v>3.9600000000000003E-2</v>
      </c>
      <c r="G44" s="61">
        <v>579.48</v>
      </c>
      <c r="H44" s="41">
        <f t="shared" si="6"/>
        <v>2.2947408000000002E-2</v>
      </c>
      <c r="I44" s="42">
        <v>0</v>
      </c>
      <c r="J44" s="42">
        <v>0</v>
      </c>
      <c r="K44" s="42">
        <v>0</v>
      </c>
      <c r="L44" s="42">
        <f>F44/2*G44</f>
        <v>11.473704000000001</v>
      </c>
      <c r="M44" s="42">
        <v>0</v>
      </c>
      <c r="N44" s="42">
        <v>0</v>
      </c>
      <c r="O44" s="42">
        <v>0</v>
      </c>
      <c r="P44" s="42">
        <v>0</v>
      </c>
      <c r="Q44" s="42">
        <v>0</v>
      </c>
      <c r="R44" s="42">
        <f>F44/2*G44</f>
        <v>11.473704000000001</v>
      </c>
      <c r="S44" s="42">
        <v>0</v>
      </c>
      <c r="T44" s="42">
        <v>0</v>
      </c>
      <c r="U44" s="42">
        <f t="shared" si="7"/>
        <v>22.947408000000003</v>
      </c>
    </row>
    <row r="45" spans="1:21" ht="25.5">
      <c r="A45" s="31" t="s">
        <v>83</v>
      </c>
      <c r="B45" s="12" t="s">
        <v>84</v>
      </c>
      <c r="C45" s="31" t="s">
        <v>42</v>
      </c>
      <c r="D45" s="12" t="s">
        <v>80</v>
      </c>
      <c r="E45" s="39">
        <v>660.84</v>
      </c>
      <c r="F45" s="40">
        <f>SUM(E45*2/1000)</f>
        <v>1.32168</v>
      </c>
      <c r="G45" s="61">
        <v>579.48</v>
      </c>
      <c r="H45" s="41">
        <f t="shared" si="6"/>
        <v>0.76588712640000001</v>
      </c>
      <c r="I45" s="42">
        <v>0</v>
      </c>
      <c r="J45" s="42">
        <v>0</v>
      </c>
      <c r="K45" s="42">
        <v>0</v>
      </c>
      <c r="L45" s="42">
        <f>F45/2*G45</f>
        <v>382.94356320000003</v>
      </c>
      <c r="M45" s="42">
        <v>0</v>
      </c>
      <c r="N45" s="42">
        <v>0</v>
      </c>
      <c r="O45" s="42">
        <v>0</v>
      </c>
      <c r="P45" s="42">
        <v>0</v>
      </c>
      <c r="Q45" s="42">
        <v>0</v>
      </c>
      <c r="R45" s="42">
        <f>F45/2*G45</f>
        <v>382.94356320000003</v>
      </c>
      <c r="S45" s="42">
        <v>0</v>
      </c>
      <c r="T45" s="42">
        <v>0</v>
      </c>
      <c r="U45" s="42">
        <f t="shared" si="7"/>
        <v>765.88712640000006</v>
      </c>
    </row>
    <row r="46" spans="1:21">
      <c r="A46" s="31" t="s">
        <v>85</v>
      </c>
      <c r="B46" s="12" t="s">
        <v>86</v>
      </c>
      <c r="C46" s="31" t="s">
        <v>42</v>
      </c>
      <c r="D46" s="12" t="s">
        <v>80</v>
      </c>
      <c r="E46" s="39">
        <v>1156.21</v>
      </c>
      <c r="F46" s="40">
        <f>SUM(E46*2/1000)</f>
        <v>2.3124199999999999</v>
      </c>
      <c r="G46" s="61">
        <v>606.77</v>
      </c>
      <c r="H46" s="41">
        <f t="shared" si="6"/>
        <v>1.4031070833999999</v>
      </c>
      <c r="I46" s="42">
        <v>0</v>
      </c>
      <c r="J46" s="42">
        <v>0</v>
      </c>
      <c r="K46" s="42">
        <v>0</v>
      </c>
      <c r="L46" s="42">
        <f>F46/2*G46</f>
        <v>701.55354169999998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  <c r="R46" s="42">
        <f>F46/2*G46</f>
        <v>701.55354169999998</v>
      </c>
      <c r="S46" s="42">
        <v>0</v>
      </c>
      <c r="T46" s="42">
        <v>0</v>
      </c>
      <c r="U46" s="42">
        <f t="shared" si="7"/>
        <v>1403.1070834</v>
      </c>
    </row>
    <row r="47" spans="1:21">
      <c r="A47" s="31" t="s">
        <v>163</v>
      </c>
      <c r="B47" s="12" t="s">
        <v>164</v>
      </c>
      <c r="C47" s="31" t="s">
        <v>165</v>
      </c>
      <c r="D47" s="12" t="s">
        <v>46</v>
      </c>
      <c r="E47" s="39">
        <v>17.14</v>
      </c>
      <c r="F47" s="40">
        <f>SUM(E47/100)</f>
        <v>0.1714</v>
      </c>
      <c r="G47" s="61">
        <v>72.81</v>
      </c>
      <c r="H47" s="41">
        <f t="shared" si="6"/>
        <v>1.2479634000000002E-2</v>
      </c>
      <c r="I47" s="42">
        <v>0</v>
      </c>
      <c r="J47" s="42">
        <v>0</v>
      </c>
      <c r="K47" s="42">
        <v>0</v>
      </c>
      <c r="L47" s="42">
        <f>F47/2*G47</f>
        <v>6.2398170000000004</v>
      </c>
      <c r="M47" s="42">
        <v>0</v>
      </c>
      <c r="N47" s="42">
        <v>0</v>
      </c>
      <c r="O47" s="42">
        <v>0</v>
      </c>
      <c r="P47" s="42">
        <v>0</v>
      </c>
      <c r="Q47" s="42">
        <v>0</v>
      </c>
      <c r="R47" s="42">
        <f>F47/2*G47</f>
        <v>6.2398170000000004</v>
      </c>
      <c r="S47" s="42">
        <v>0</v>
      </c>
      <c r="T47" s="42">
        <v>0</v>
      </c>
      <c r="U47" s="42">
        <f t="shared" si="7"/>
        <v>12.479634000000001</v>
      </c>
    </row>
    <row r="48" spans="1:21" ht="25.5">
      <c r="A48" s="31" t="s">
        <v>87</v>
      </c>
      <c r="B48" s="12" t="s">
        <v>88</v>
      </c>
      <c r="C48" s="31" t="s">
        <v>42</v>
      </c>
      <c r="D48" s="12" t="s">
        <v>89</v>
      </c>
      <c r="E48" s="39">
        <v>823</v>
      </c>
      <c r="F48" s="40">
        <f>SUM(E48*5/1000)</f>
        <v>4.1150000000000002</v>
      </c>
      <c r="G48" s="61">
        <v>1213.55</v>
      </c>
      <c r="H48" s="41">
        <f t="shared" si="6"/>
        <v>4.99375825</v>
      </c>
      <c r="I48" s="42">
        <f>F48/5*G48</f>
        <v>998.75165000000004</v>
      </c>
      <c r="J48" s="42">
        <f>F48/5*G48</f>
        <v>998.75165000000004</v>
      </c>
      <c r="K48" s="42">
        <v>0</v>
      </c>
      <c r="L48" s="42">
        <v>0</v>
      </c>
      <c r="M48" s="42">
        <f>F48/5*G48</f>
        <v>998.75165000000004</v>
      </c>
      <c r="N48" s="42">
        <v>0</v>
      </c>
      <c r="O48" s="42">
        <v>0</v>
      </c>
      <c r="P48" s="42">
        <f>F48/5*G48</f>
        <v>998.75165000000004</v>
      </c>
      <c r="Q48" s="42">
        <v>0</v>
      </c>
      <c r="R48" s="42">
        <v>0</v>
      </c>
      <c r="S48" s="42">
        <v>0</v>
      </c>
      <c r="T48" s="42">
        <f>F48/5*G48</f>
        <v>998.75165000000004</v>
      </c>
      <c r="U48" s="42">
        <f t="shared" si="7"/>
        <v>4993.7582499999999</v>
      </c>
    </row>
    <row r="49" spans="1:21" ht="39.6" customHeight="1">
      <c r="A49" s="31" t="s">
        <v>90</v>
      </c>
      <c r="B49" s="12" t="s">
        <v>91</v>
      </c>
      <c r="C49" s="31" t="s">
        <v>42</v>
      </c>
      <c r="D49" s="12" t="s">
        <v>80</v>
      </c>
      <c r="E49" s="39">
        <v>823</v>
      </c>
      <c r="F49" s="40">
        <f>SUM(E49*2/1000)</f>
        <v>1.6459999999999999</v>
      </c>
      <c r="G49" s="61">
        <v>1213.55</v>
      </c>
      <c r="H49" s="41">
        <f t="shared" si="6"/>
        <v>1.9975032999999998</v>
      </c>
      <c r="I49" s="42">
        <f>F49/2*G49</f>
        <v>998.75164999999993</v>
      </c>
      <c r="J49" s="42">
        <v>0</v>
      </c>
      <c r="K49" s="42">
        <v>0</v>
      </c>
      <c r="L49" s="42">
        <v>0</v>
      </c>
      <c r="M49" s="42">
        <v>0</v>
      </c>
      <c r="N49" s="42">
        <f>F49/2*G49</f>
        <v>998.75164999999993</v>
      </c>
      <c r="O49" s="42">
        <v>0</v>
      </c>
      <c r="P49" s="42">
        <v>0</v>
      </c>
      <c r="Q49" s="42">
        <v>0</v>
      </c>
      <c r="R49" s="42">
        <v>0</v>
      </c>
      <c r="S49" s="42">
        <v>0</v>
      </c>
      <c r="T49" s="42">
        <v>0</v>
      </c>
      <c r="U49" s="42">
        <f t="shared" si="7"/>
        <v>1997.5032999999999</v>
      </c>
    </row>
    <row r="50" spans="1:21" ht="28.9" customHeight="1">
      <c r="A50" s="31" t="s">
        <v>92</v>
      </c>
      <c r="B50" s="12" t="s">
        <v>93</v>
      </c>
      <c r="C50" s="31" t="s">
        <v>94</v>
      </c>
      <c r="D50" s="12" t="s">
        <v>80</v>
      </c>
      <c r="E50" s="39">
        <v>9</v>
      </c>
      <c r="F50" s="40">
        <f>SUM(E50*2/100)</f>
        <v>0.18</v>
      </c>
      <c r="G50" s="61">
        <v>2730.49</v>
      </c>
      <c r="H50" s="41">
        <f t="shared" si="6"/>
        <v>0.49148819999999993</v>
      </c>
      <c r="I50" s="42">
        <f>F50/2*G50</f>
        <v>245.74409999999997</v>
      </c>
      <c r="J50" s="42">
        <v>0</v>
      </c>
      <c r="K50" s="42">
        <v>0</v>
      </c>
      <c r="L50" s="42">
        <v>0</v>
      </c>
      <c r="M50" s="42">
        <v>0</v>
      </c>
      <c r="N50" s="42">
        <f>F50/2*G50</f>
        <v>245.74409999999997</v>
      </c>
      <c r="O50" s="42">
        <v>0</v>
      </c>
      <c r="P50" s="42">
        <v>0</v>
      </c>
      <c r="Q50" s="42">
        <v>0</v>
      </c>
      <c r="R50" s="42">
        <v>0</v>
      </c>
      <c r="S50" s="42">
        <v>0</v>
      </c>
      <c r="T50" s="42">
        <v>0</v>
      </c>
      <c r="U50" s="42">
        <f t="shared" si="7"/>
        <v>491.48819999999995</v>
      </c>
    </row>
    <row r="51" spans="1:21">
      <c r="A51" s="31" t="s">
        <v>95</v>
      </c>
      <c r="B51" s="12" t="s">
        <v>96</v>
      </c>
      <c r="C51" s="31" t="s">
        <v>97</v>
      </c>
      <c r="D51" s="12" t="s">
        <v>80</v>
      </c>
      <c r="E51" s="39">
        <v>1</v>
      </c>
      <c r="F51" s="40">
        <v>0.02</v>
      </c>
      <c r="G51" s="61">
        <v>5652.13</v>
      </c>
      <c r="H51" s="41">
        <f t="shared" si="6"/>
        <v>0.11304260000000001</v>
      </c>
      <c r="I51" s="42">
        <f>F51/2*G51</f>
        <v>56.521300000000004</v>
      </c>
      <c r="J51" s="42">
        <v>0</v>
      </c>
      <c r="K51" s="42">
        <v>0</v>
      </c>
      <c r="L51" s="42">
        <v>0</v>
      </c>
      <c r="M51" s="42">
        <v>0</v>
      </c>
      <c r="N51" s="42">
        <f>F51/2*G51</f>
        <v>56.521300000000004</v>
      </c>
      <c r="O51" s="42">
        <v>0</v>
      </c>
      <c r="P51" s="42">
        <v>0</v>
      </c>
      <c r="Q51" s="42">
        <v>0</v>
      </c>
      <c r="R51" s="42">
        <v>0</v>
      </c>
      <c r="S51" s="42">
        <v>0</v>
      </c>
      <c r="T51" s="42">
        <v>0</v>
      </c>
      <c r="U51" s="42">
        <f t="shared" si="7"/>
        <v>113.04260000000001</v>
      </c>
    </row>
    <row r="52" spans="1:21">
      <c r="A52" s="31" t="s">
        <v>166</v>
      </c>
      <c r="B52" s="12" t="s">
        <v>167</v>
      </c>
      <c r="C52" s="31" t="s">
        <v>49</v>
      </c>
      <c r="D52" s="12" t="s">
        <v>148</v>
      </c>
      <c r="E52" s="39">
        <v>36</v>
      </c>
      <c r="F52" s="40">
        <f>E52*3</f>
        <v>108</v>
      </c>
      <c r="G52" s="61">
        <v>141.12</v>
      </c>
      <c r="H52" s="41">
        <f t="shared" si="6"/>
        <v>15.240960000000001</v>
      </c>
      <c r="I52" s="42">
        <v>0</v>
      </c>
      <c r="J52" s="42">
        <f>E52*G52</f>
        <v>5080.32</v>
      </c>
      <c r="K52" s="42">
        <v>0</v>
      </c>
      <c r="L52" s="42">
        <f>E52*G52</f>
        <v>5080.32</v>
      </c>
      <c r="M52" s="42">
        <v>0</v>
      </c>
      <c r="N52" s="42">
        <v>0</v>
      </c>
      <c r="O52" s="42">
        <v>0</v>
      </c>
      <c r="P52" s="42">
        <f>E52*G52</f>
        <v>5080.32</v>
      </c>
      <c r="Q52" s="42">
        <v>0</v>
      </c>
      <c r="R52" s="42">
        <v>0</v>
      </c>
      <c r="S52" s="42">
        <v>0</v>
      </c>
      <c r="T52" s="42">
        <v>0</v>
      </c>
      <c r="U52" s="42">
        <f t="shared" si="7"/>
        <v>15240.96</v>
      </c>
    </row>
    <row r="53" spans="1:21" ht="13.5" customHeight="1">
      <c r="A53" s="31" t="s">
        <v>99</v>
      </c>
      <c r="B53" s="12" t="s">
        <v>100</v>
      </c>
      <c r="C53" s="31" t="s">
        <v>49</v>
      </c>
      <c r="D53" s="12" t="s">
        <v>148</v>
      </c>
      <c r="E53" s="39">
        <v>36</v>
      </c>
      <c r="F53" s="40">
        <f>SUM(E53)*3</f>
        <v>108</v>
      </c>
      <c r="G53" s="62">
        <v>65.67</v>
      </c>
      <c r="H53" s="41">
        <f t="shared" si="6"/>
        <v>7.0923600000000002</v>
      </c>
      <c r="I53" s="42">
        <v>0</v>
      </c>
      <c r="J53" s="42">
        <f>E53*G53</f>
        <v>2364.12</v>
      </c>
      <c r="K53" s="42">
        <v>0</v>
      </c>
      <c r="L53" s="42">
        <f>E53*G53</f>
        <v>2364.12</v>
      </c>
      <c r="M53" s="42">
        <v>0</v>
      </c>
      <c r="N53" s="42">
        <v>0</v>
      </c>
      <c r="O53" s="42">
        <v>0</v>
      </c>
      <c r="P53" s="42">
        <f>E53*G53</f>
        <v>2364.12</v>
      </c>
      <c r="Q53" s="42">
        <v>0</v>
      </c>
      <c r="R53" s="42">
        <v>0</v>
      </c>
      <c r="S53" s="42">
        <v>0</v>
      </c>
      <c r="T53" s="42">
        <v>0</v>
      </c>
      <c r="U53" s="42">
        <f t="shared" si="7"/>
        <v>7092.36</v>
      </c>
    </row>
    <row r="54" spans="1:21" s="22" customFormat="1">
      <c r="A54" s="63"/>
      <c r="B54" s="21" t="s">
        <v>35</v>
      </c>
      <c r="C54" s="64"/>
      <c r="D54" s="21"/>
      <c r="E54" s="65"/>
      <c r="F54" s="66"/>
      <c r="G54" s="66"/>
      <c r="H54" s="57">
        <f>SUM(H43:H53)</f>
        <v>33.806780337799999</v>
      </c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>
        <f>SUM(U43:U53)</f>
        <v>33806.780337800003</v>
      </c>
    </row>
    <row r="55" spans="1:21">
      <c r="A55" s="31"/>
      <c r="B55" s="13" t="s">
        <v>101</v>
      </c>
      <c r="C55" s="31"/>
      <c r="D55" s="12"/>
      <c r="E55" s="39"/>
      <c r="F55" s="40"/>
      <c r="G55" s="40"/>
      <c r="H55" s="41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</row>
    <row r="56" spans="1:21" ht="25.5">
      <c r="A56" s="31" t="s">
        <v>102</v>
      </c>
      <c r="B56" s="12" t="s">
        <v>168</v>
      </c>
      <c r="C56" s="31" t="s">
        <v>14</v>
      </c>
      <c r="D56" s="12" t="s">
        <v>169</v>
      </c>
      <c r="E56" s="68">
        <v>5.85</v>
      </c>
      <c r="F56" s="61">
        <f>E56*12/100</f>
        <v>0.70199999999999985</v>
      </c>
      <c r="G56" s="59">
        <v>1547.28</v>
      </c>
      <c r="H56" s="41">
        <f>SUM(F56*G56/1000)</f>
        <v>1.0861905599999997</v>
      </c>
      <c r="I56" s="42">
        <f>F56/6*G56</f>
        <v>181.03175999999996</v>
      </c>
      <c r="J56" s="42">
        <f>F56/6*G56</f>
        <v>181.03175999999996</v>
      </c>
      <c r="K56" s="42">
        <f>F56/6*G56</f>
        <v>181.03175999999996</v>
      </c>
      <c r="L56" s="42">
        <f>F56/6*G56</f>
        <v>181.03175999999996</v>
      </c>
      <c r="M56" s="42">
        <v>0</v>
      </c>
      <c r="N56" s="42">
        <v>0</v>
      </c>
      <c r="O56" s="42">
        <v>0</v>
      </c>
      <c r="P56" s="42">
        <v>0</v>
      </c>
      <c r="Q56" s="42">
        <v>0</v>
      </c>
      <c r="R56" s="42">
        <v>0</v>
      </c>
      <c r="S56" s="42">
        <f>F56/6*G56</f>
        <v>181.03175999999996</v>
      </c>
      <c r="T56" s="42">
        <f>F56/6*G56</f>
        <v>181.03175999999996</v>
      </c>
      <c r="U56" s="42">
        <f>SUM(I56:T56)</f>
        <v>1086.1905599999998</v>
      </c>
    </row>
    <row r="57" spans="1:21" ht="38.25">
      <c r="A57" s="31" t="s">
        <v>170</v>
      </c>
      <c r="B57" s="12" t="s">
        <v>171</v>
      </c>
      <c r="C57" s="31" t="s">
        <v>155</v>
      </c>
      <c r="D57" s="12" t="s">
        <v>172</v>
      </c>
      <c r="E57" s="39">
        <v>78.66</v>
      </c>
      <c r="F57" s="40">
        <f>E57*6/100</f>
        <v>4.7195999999999998</v>
      </c>
      <c r="G57" s="69">
        <v>1547.28</v>
      </c>
      <c r="H57" s="41">
        <f>F57*G57/1000</f>
        <v>7.3025426879999999</v>
      </c>
      <c r="I57" s="42">
        <f>F57/6*G57</f>
        <v>1217.0904479999999</v>
      </c>
      <c r="J57" s="42">
        <f>F57/6*G57</f>
        <v>1217.0904479999999</v>
      </c>
      <c r="K57" s="42">
        <f>F57/6*G57</f>
        <v>1217.0904479999999</v>
      </c>
      <c r="L57" s="42">
        <f>F57/6*G57</f>
        <v>1217.0904479999999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f>F57/6*G57</f>
        <v>1217.0904479999999</v>
      </c>
      <c r="T57" s="42">
        <f>F57/6*G57</f>
        <v>1217.0904479999999</v>
      </c>
      <c r="U57" s="42">
        <f>SUM(I57:T57)</f>
        <v>7302.5426879999995</v>
      </c>
    </row>
    <row r="58" spans="1:21" ht="12.75" customHeight="1">
      <c r="A58" s="70"/>
      <c r="B58" s="27" t="s">
        <v>103</v>
      </c>
      <c r="C58" s="70"/>
      <c r="D58" s="26"/>
      <c r="E58" s="71"/>
      <c r="F58" s="72"/>
      <c r="G58" s="73"/>
      <c r="H58" s="74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</row>
    <row r="59" spans="1:21" ht="12.75" customHeight="1">
      <c r="A59" s="70" t="s">
        <v>104</v>
      </c>
      <c r="B59" s="26" t="s">
        <v>173</v>
      </c>
      <c r="C59" s="70" t="s">
        <v>30</v>
      </c>
      <c r="D59" s="26" t="s">
        <v>46</v>
      </c>
      <c r="E59" s="71">
        <v>816</v>
      </c>
      <c r="F59" s="72">
        <f>E59/100</f>
        <v>8.16</v>
      </c>
      <c r="G59" s="75">
        <v>793.61</v>
      </c>
      <c r="H59" s="74">
        <f>G59*F59/1000</f>
        <v>6.4758576000000003</v>
      </c>
      <c r="I59" s="42">
        <v>0</v>
      </c>
      <c r="J59" s="42">
        <v>0</v>
      </c>
      <c r="K59" s="42">
        <v>0</v>
      </c>
      <c r="L59" s="42">
        <v>0</v>
      </c>
      <c r="M59" s="42">
        <f>F59*G59</f>
        <v>6475.8576000000003</v>
      </c>
      <c r="N59" s="42">
        <v>0</v>
      </c>
      <c r="O59" s="42">
        <v>0</v>
      </c>
      <c r="P59" s="42">
        <v>0</v>
      </c>
      <c r="Q59" s="42">
        <v>0</v>
      </c>
      <c r="R59" s="42">
        <v>0</v>
      </c>
      <c r="S59" s="42">
        <v>0</v>
      </c>
      <c r="T59" s="42">
        <v>0</v>
      </c>
      <c r="U59" s="42">
        <f>SUM(I59:T59)</f>
        <v>6475.8576000000003</v>
      </c>
    </row>
    <row r="60" spans="1:21">
      <c r="A60" s="70"/>
      <c r="B60" s="16" t="s">
        <v>106</v>
      </c>
      <c r="C60" s="70"/>
      <c r="D60" s="26"/>
      <c r="E60" s="71"/>
      <c r="F60" s="72"/>
      <c r="G60" s="72"/>
      <c r="H60" s="74" t="s">
        <v>63</v>
      </c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</row>
    <row r="61" spans="1:21" ht="12.75" customHeight="1">
      <c r="A61" s="76" t="s">
        <v>107</v>
      </c>
      <c r="B61" s="17" t="s">
        <v>108</v>
      </c>
      <c r="C61" s="76" t="s">
        <v>98</v>
      </c>
      <c r="D61" s="10" t="s">
        <v>55</v>
      </c>
      <c r="E61" s="45">
        <v>10</v>
      </c>
      <c r="F61" s="40">
        <v>10</v>
      </c>
      <c r="G61" s="61">
        <v>222.4</v>
      </c>
      <c r="H61" s="135">
        <f t="shared" ref="H61:H77" si="8">SUM(F61*G61/1000)</f>
        <v>2.2240000000000002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42">
        <v>0</v>
      </c>
      <c r="P61" s="42">
        <v>0</v>
      </c>
      <c r="Q61" s="42">
        <v>0</v>
      </c>
      <c r="R61" s="42">
        <v>0</v>
      </c>
      <c r="S61" s="42">
        <v>0</v>
      </c>
      <c r="T61" s="42">
        <v>0</v>
      </c>
      <c r="U61" s="42">
        <f t="shared" ref="U61:U68" si="9">SUM(I61:T61)</f>
        <v>0</v>
      </c>
    </row>
    <row r="62" spans="1:21" ht="12.75" customHeight="1">
      <c r="A62" s="76" t="s">
        <v>109</v>
      </c>
      <c r="B62" s="17" t="s">
        <v>110</v>
      </c>
      <c r="C62" s="76" t="s">
        <v>98</v>
      </c>
      <c r="D62" s="10" t="s">
        <v>55</v>
      </c>
      <c r="E62" s="45">
        <v>3</v>
      </c>
      <c r="F62" s="40">
        <v>3</v>
      </c>
      <c r="G62" s="61">
        <v>76.25</v>
      </c>
      <c r="H62" s="135">
        <f t="shared" si="8"/>
        <v>0.22875000000000001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  <c r="Q62" s="42">
        <v>0</v>
      </c>
      <c r="R62" s="42">
        <v>0</v>
      </c>
      <c r="S62" s="42">
        <v>0</v>
      </c>
      <c r="T62" s="42">
        <v>0</v>
      </c>
      <c r="U62" s="42">
        <f t="shared" si="9"/>
        <v>0</v>
      </c>
    </row>
    <row r="63" spans="1:21" s="3" customFormat="1">
      <c r="A63" s="77" t="s">
        <v>111</v>
      </c>
      <c r="B63" s="17" t="s">
        <v>112</v>
      </c>
      <c r="C63" s="77" t="s">
        <v>113</v>
      </c>
      <c r="D63" s="10" t="s">
        <v>46</v>
      </c>
      <c r="E63" s="39">
        <v>7508</v>
      </c>
      <c r="F63" s="62">
        <f>SUM(E63/100)</f>
        <v>75.08</v>
      </c>
      <c r="G63" s="61">
        <v>212.15</v>
      </c>
      <c r="H63" s="135">
        <f t="shared" si="8"/>
        <v>15.928222</v>
      </c>
      <c r="I63" s="60">
        <v>0</v>
      </c>
      <c r="J63" s="60">
        <v>0</v>
      </c>
      <c r="K63" s="60">
        <v>0</v>
      </c>
      <c r="L63" s="60">
        <v>0</v>
      </c>
      <c r="M63" s="60">
        <f>F63*G63</f>
        <v>15928.222</v>
      </c>
      <c r="N63" s="60">
        <v>0</v>
      </c>
      <c r="O63" s="60">
        <v>0</v>
      </c>
      <c r="P63" s="60">
        <v>0</v>
      </c>
      <c r="Q63" s="60">
        <v>0</v>
      </c>
      <c r="R63" s="60">
        <v>0</v>
      </c>
      <c r="S63" s="60">
        <v>0</v>
      </c>
      <c r="T63" s="60">
        <v>0</v>
      </c>
      <c r="U63" s="42">
        <f t="shared" si="9"/>
        <v>15928.222</v>
      </c>
    </row>
    <row r="64" spans="1:21" ht="25.5">
      <c r="A64" s="76" t="s">
        <v>114</v>
      </c>
      <c r="B64" s="17" t="s">
        <v>115</v>
      </c>
      <c r="C64" s="76" t="s">
        <v>116</v>
      </c>
      <c r="D64" s="10"/>
      <c r="E64" s="39">
        <v>7508</v>
      </c>
      <c r="F64" s="61">
        <f>SUM(E64/1000)</f>
        <v>7.508</v>
      </c>
      <c r="G64" s="61">
        <v>165.21</v>
      </c>
      <c r="H64" s="135">
        <f t="shared" si="8"/>
        <v>1.2403966800000001</v>
      </c>
      <c r="I64" s="42">
        <v>0</v>
      </c>
      <c r="J64" s="42">
        <v>0</v>
      </c>
      <c r="K64" s="42">
        <v>0</v>
      </c>
      <c r="L64" s="42">
        <v>0</v>
      </c>
      <c r="M64" s="42">
        <f>F64*G64</f>
        <v>1240.3966800000001</v>
      </c>
      <c r="N64" s="42">
        <v>0</v>
      </c>
      <c r="O64" s="42">
        <v>0</v>
      </c>
      <c r="P64" s="42">
        <v>0</v>
      </c>
      <c r="Q64" s="42">
        <v>0</v>
      </c>
      <c r="R64" s="42">
        <v>0</v>
      </c>
      <c r="S64" s="42">
        <v>0</v>
      </c>
      <c r="T64" s="42">
        <v>0</v>
      </c>
      <c r="U64" s="42">
        <f t="shared" si="9"/>
        <v>1240.3966800000001</v>
      </c>
    </row>
    <row r="65" spans="1:21">
      <c r="A65" s="76" t="s">
        <v>117</v>
      </c>
      <c r="B65" s="17" t="s">
        <v>118</v>
      </c>
      <c r="C65" s="76" t="s">
        <v>119</v>
      </c>
      <c r="D65" s="10" t="s">
        <v>46</v>
      </c>
      <c r="E65" s="39">
        <v>1090</v>
      </c>
      <c r="F65" s="61">
        <f>SUM(E65/100)</f>
        <v>10.9</v>
      </c>
      <c r="G65" s="61">
        <v>2074.63</v>
      </c>
      <c r="H65" s="135">
        <f t="shared" si="8"/>
        <v>22.613467</v>
      </c>
      <c r="I65" s="42">
        <v>0</v>
      </c>
      <c r="J65" s="42">
        <v>0</v>
      </c>
      <c r="K65" s="42">
        <v>0</v>
      </c>
      <c r="L65" s="42">
        <v>0</v>
      </c>
      <c r="M65" s="42">
        <f>F65*G65</f>
        <v>22613.467000000001</v>
      </c>
      <c r="N65" s="42">
        <v>0</v>
      </c>
      <c r="O65" s="42">
        <v>0</v>
      </c>
      <c r="P65" s="42">
        <v>0</v>
      </c>
      <c r="Q65" s="42">
        <v>0</v>
      </c>
      <c r="R65" s="42">
        <v>0</v>
      </c>
      <c r="S65" s="42">
        <v>0</v>
      </c>
      <c r="T65" s="42">
        <v>0</v>
      </c>
      <c r="U65" s="42">
        <f t="shared" si="9"/>
        <v>22613.467000000001</v>
      </c>
    </row>
    <row r="66" spans="1:21">
      <c r="A66" s="76"/>
      <c r="B66" s="18" t="s">
        <v>149</v>
      </c>
      <c r="C66" s="76" t="s">
        <v>53</v>
      </c>
      <c r="D66" s="10"/>
      <c r="E66" s="39">
        <v>7.8</v>
      </c>
      <c r="F66" s="61">
        <f>SUM(E66)</f>
        <v>7.8</v>
      </c>
      <c r="G66" s="61">
        <v>42.67</v>
      </c>
      <c r="H66" s="135">
        <f t="shared" si="8"/>
        <v>0.33282600000000001</v>
      </c>
      <c r="I66" s="42">
        <v>0</v>
      </c>
      <c r="J66" s="42">
        <v>0</v>
      </c>
      <c r="K66" s="42">
        <v>0</v>
      </c>
      <c r="L66" s="42">
        <v>0</v>
      </c>
      <c r="M66" s="42">
        <f>F66*G66</f>
        <v>332.82600000000002</v>
      </c>
      <c r="N66" s="42">
        <v>0</v>
      </c>
      <c r="O66" s="42">
        <v>0</v>
      </c>
      <c r="P66" s="42">
        <v>0</v>
      </c>
      <c r="Q66" s="42">
        <v>0</v>
      </c>
      <c r="R66" s="42">
        <v>0</v>
      </c>
      <c r="S66" s="42">
        <v>0</v>
      </c>
      <c r="T66" s="42">
        <v>0</v>
      </c>
      <c r="U66" s="42">
        <f t="shared" si="9"/>
        <v>332.82600000000002</v>
      </c>
    </row>
    <row r="67" spans="1:21" ht="25.5">
      <c r="A67" s="76"/>
      <c r="B67" s="18" t="s">
        <v>150</v>
      </c>
      <c r="C67" s="76" t="s">
        <v>53</v>
      </c>
      <c r="D67" s="10"/>
      <c r="E67" s="39">
        <v>7.8</v>
      </c>
      <c r="F67" s="61">
        <f>SUM(E67)</f>
        <v>7.8</v>
      </c>
      <c r="G67" s="61">
        <v>39.81</v>
      </c>
      <c r="H67" s="135">
        <f t="shared" si="8"/>
        <v>0.31051800000000002</v>
      </c>
      <c r="I67" s="42">
        <v>0</v>
      </c>
      <c r="J67" s="42">
        <v>0</v>
      </c>
      <c r="K67" s="42">
        <v>0</v>
      </c>
      <c r="L67" s="42">
        <v>0</v>
      </c>
      <c r="M67" s="42">
        <f>F67*G67</f>
        <v>310.51800000000003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  <c r="S67" s="42">
        <v>0</v>
      </c>
      <c r="T67" s="42">
        <v>0</v>
      </c>
      <c r="U67" s="42">
        <f t="shared" si="9"/>
        <v>310.51800000000003</v>
      </c>
    </row>
    <row r="68" spans="1:21">
      <c r="A68" s="76" t="s">
        <v>120</v>
      </c>
      <c r="B68" s="10" t="s">
        <v>121</v>
      </c>
      <c r="C68" s="76" t="s">
        <v>122</v>
      </c>
      <c r="D68" s="10" t="s">
        <v>46</v>
      </c>
      <c r="E68" s="45">
        <v>3</v>
      </c>
      <c r="F68" s="40">
        <f>SUM(E68)</f>
        <v>3</v>
      </c>
      <c r="G68" s="61">
        <v>49.88</v>
      </c>
      <c r="H68" s="135">
        <f t="shared" si="8"/>
        <v>0.14964000000000002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2">
        <v>0</v>
      </c>
      <c r="P68" s="42">
        <v>0</v>
      </c>
      <c r="Q68" s="42">
        <f>F68*G68</f>
        <v>149.64000000000001</v>
      </c>
      <c r="R68" s="42">
        <v>0</v>
      </c>
      <c r="S68" s="42">
        <v>0</v>
      </c>
      <c r="T68" s="42">
        <v>0</v>
      </c>
      <c r="U68" s="42">
        <f t="shared" si="9"/>
        <v>149.64000000000001</v>
      </c>
    </row>
    <row r="69" spans="1:21">
      <c r="A69" s="76"/>
      <c r="B69" s="19" t="s">
        <v>123</v>
      </c>
      <c r="C69" s="76"/>
      <c r="D69" s="10"/>
      <c r="E69" s="45"/>
      <c r="F69" s="61"/>
      <c r="G69" s="61"/>
      <c r="H69" s="135" t="s">
        <v>63</v>
      </c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</row>
    <row r="70" spans="1:21">
      <c r="A70" s="76" t="s">
        <v>126</v>
      </c>
      <c r="B70" s="10" t="s">
        <v>175</v>
      </c>
      <c r="C70" s="76" t="s">
        <v>174</v>
      </c>
      <c r="D70" s="10"/>
      <c r="E70" s="45">
        <v>5</v>
      </c>
      <c r="F70" s="73">
        <v>0.5</v>
      </c>
      <c r="G70" s="61">
        <v>501.62</v>
      </c>
      <c r="H70" s="135">
        <v>0.251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v>0</v>
      </c>
      <c r="S70" s="42">
        <v>0</v>
      </c>
      <c r="T70" s="42">
        <v>0</v>
      </c>
      <c r="U70" s="42">
        <f>SUM(I70:T70)</f>
        <v>0</v>
      </c>
    </row>
    <row r="71" spans="1:21">
      <c r="A71" s="76" t="s">
        <v>126</v>
      </c>
      <c r="B71" s="10" t="s">
        <v>124</v>
      </c>
      <c r="C71" s="76" t="s">
        <v>49</v>
      </c>
      <c r="D71" s="10"/>
      <c r="E71" s="45">
        <v>1</v>
      </c>
      <c r="F71" s="61">
        <v>1</v>
      </c>
      <c r="G71" s="61">
        <v>99.85</v>
      </c>
      <c r="H71" s="135">
        <v>0.1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v>0</v>
      </c>
      <c r="R71" s="42">
        <v>0</v>
      </c>
      <c r="S71" s="42">
        <v>0</v>
      </c>
      <c r="T71" s="42">
        <v>0</v>
      </c>
      <c r="U71" s="42">
        <f>SUM(I71:T71)</f>
        <v>0</v>
      </c>
    </row>
    <row r="72" spans="1:21">
      <c r="A72" s="76" t="s">
        <v>126</v>
      </c>
      <c r="B72" s="10" t="s">
        <v>125</v>
      </c>
      <c r="C72" s="76" t="s">
        <v>49</v>
      </c>
      <c r="D72" s="10"/>
      <c r="E72" s="45">
        <v>1</v>
      </c>
      <c r="F72" s="73">
        <v>1</v>
      </c>
      <c r="G72" s="61">
        <v>120.26</v>
      </c>
      <c r="H72" s="135">
        <v>0.12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2">
        <v>0</v>
      </c>
      <c r="P72" s="42">
        <v>0</v>
      </c>
      <c r="Q72" s="42">
        <v>0</v>
      </c>
      <c r="R72" s="42">
        <v>0</v>
      </c>
      <c r="S72" s="42">
        <v>0</v>
      </c>
      <c r="T72" s="42">
        <v>0</v>
      </c>
      <c r="U72" s="42">
        <f>SUM(I72:T72)</f>
        <v>0</v>
      </c>
    </row>
    <row r="73" spans="1:21">
      <c r="A73" s="76" t="s">
        <v>126</v>
      </c>
      <c r="B73" s="10" t="s">
        <v>127</v>
      </c>
      <c r="C73" s="76" t="s">
        <v>49</v>
      </c>
      <c r="D73" s="10"/>
      <c r="E73" s="45">
        <v>1</v>
      </c>
      <c r="F73" s="40">
        <f>SUM(E73)</f>
        <v>1</v>
      </c>
      <c r="G73" s="61">
        <v>358.51</v>
      </c>
      <c r="H73" s="135">
        <f t="shared" si="8"/>
        <v>0.35851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  <c r="U73" s="42">
        <f>SUM(I73:T73)</f>
        <v>0</v>
      </c>
    </row>
    <row r="74" spans="1:21" hidden="1">
      <c r="A74" s="76" t="s">
        <v>128</v>
      </c>
      <c r="B74" s="10" t="s">
        <v>129</v>
      </c>
      <c r="C74" s="76" t="s">
        <v>130</v>
      </c>
      <c r="D74" s="10"/>
      <c r="E74" s="45"/>
      <c r="F74" s="61"/>
      <c r="G74" s="61">
        <v>31.54</v>
      </c>
      <c r="H74" s="135">
        <f t="shared" si="8"/>
        <v>0</v>
      </c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</row>
    <row r="75" spans="1:21">
      <c r="A75" s="76" t="s">
        <v>151</v>
      </c>
      <c r="B75" s="10" t="s">
        <v>152</v>
      </c>
      <c r="C75" s="76" t="s">
        <v>49</v>
      </c>
      <c r="D75" s="10"/>
      <c r="E75" s="45">
        <v>1</v>
      </c>
      <c r="F75" s="61">
        <v>1</v>
      </c>
      <c r="G75" s="61">
        <v>852.99</v>
      </c>
      <c r="H75" s="135">
        <f>F75*G75/1000</f>
        <v>0.85299000000000003</v>
      </c>
      <c r="I75" s="42">
        <v>0</v>
      </c>
      <c r="J75" s="42">
        <v>0</v>
      </c>
      <c r="K75" s="42">
        <v>0</v>
      </c>
      <c r="L75" s="42">
        <v>0</v>
      </c>
      <c r="M75" s="42">
        <v>0</v>
      </c>
      <c r="N75" s="42">
        <v>0</v>
      </c>
      <c r="O75" s="42">
        <v>0</v>
      </c>
      <c r="P75" s="42">
        <v>0</v>
      </c>
      <c r="Q75" s="42">
        <v>0</v>
      </c>
      <c r="R75" s="42">
        <v>0</v>
      </c>
      <c r="S75" s="42">
        <v>0</v>
      </c>
      <c r="T75" s="42">
        <v>0</v>
      </c>
      <c r="U75" s="42">
        <f>SUM(I75:T75)</f>
        <v>0</v>
      </c>
    </row>
    <row r="76" spans="1:21">
      <c r="A76" s="76"/>
      <c r="B76" s="78" t="s">
        <v>131</v>
      </c>
      <c r="C76" s="76"/>
      <c r="D76" s="10"/>
      <c r="E76" s="45"/>
      <c r="F76" s="61"/>
      <c r="G76" s="61" t="s">
        <v>63</v>
      </c>
      <c r="H76" s="135" t="s">
        <v>63</v>
      </c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</row>
    <row r="77" spans="1:21" s="3" customFormat="1">
      <c r="A77" s="77" t="s">
        <v>132</v>
      </c>
      <c r="B77" s="79" t="s">
        <v>133</v>
      </c>
      <c r="C77" s="77" t="s">
        <v>119</v>
      </c>
      <c r="D77" s="17"/>
      <c r="E77" s="80"/>
      <c r="F77" s="62">
        <v>1.35</v>
      </c>
      <c r="G77" s="62">
        <v>2759.44</v>
      </c>
      <c r="H77" s="135">
        <f t="shared" si="8"/>
        <v>3.725244</v>
      </c>
      <c r="I77" s="60">
        <v>0</v>
      </c>
      <c r="J77" s="60">
        <v>0</v>
      </c>
      <c r="K77" s="60">
        <v>0</v>
      </c>
      <c r="L77" s="60">
        <v>0</v>
      </c>
      <c r="M77" s="60">
        <v>0</v>
      </c>
      <c r="N77" s="60">
        <v>0</v>
      </c>
      <c r="O77" s="60">
        <v>0</v>
      </c>
      <c r="P77" s="60">
        <v>0</v>
      </c>
      <c r="Q77" s="60">
        <v>0</v>
      </c>
      <c r="R77" s="60">
        <v>0</v>
      </c>
      <c r="S77" s="60">
        <v>0</v>
      </c>
      <c r="T77" s="60">
        <v>0</v>
      </c>
      <c r="U77" s="42">
        <f>SUM(I77:T77)</f>
        <v>0</v>
      </c>
    </row>
    <row r="78" spans="1:21" s="22" customFormat="1">
      <c r="A78" s="81"/>
      <c r="B78" s="21" t="s">
        <v>35</v>
      </c>
      <c r="C78" s="82"/>
      <c r="D78" s="83"/>
      <c r="E78" s="84"/>
      <c r="F78" s="67"/>
      <c r="G78" s="67"/>
      <c r="H78" s="85">
        <f>SUM(H56:H77)</f>
        <v>63.300154527999993</v>
      </c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>
        <f>SUM(U56:U77)</f>
        <v>55439.660528000008</v>
      </c>
    </row>
    <row r="79" spans="1:21">
      <c r="A79" s="141" t="s">
        <v>197</v>
      </c>
      <c r="B79" s="12" t="s">
        <v>198</v>
      </c>
      <c r="C79" s="87" t="s">
        <v>199</v>
      </c>
      <c r="D79" s="88"/>
      <c r="E79" s="142"/>
      <c r="F79" s="89">
        <f>68/10</f>
        <v>6.8</v>
      </c>
      <c r="G79" s="90">
        <v>9</v>
      </c>
      <c r="H79" s="135">
        <f>G79*F79/1000</f>
        <v>6.1199999999999997E-2</v>
      </c>
      <c r="I79" s="42">
        <v>0</v>
      </c>
      <c r="J79" s="42">
        <v>0</v>
      </c>
      <c r="K79" s="42">
        <v>0</v>
      </c>
      <c r="L79" s="42">
        <v>0</v>
      </c>
      <c r="M79" s="43">
        <v>0</v>
      </c>
      <c r="N79" s="42">
        <f>F79*G79</f>
        <v>61.199999999999996</v>
      </c>
      <c r="O79" s="42">
        <v>0</v>
      </c>
      <c r="P79" s="42">
        <v>0</v>
      </c>
      <c r="Q79" s="42">
        <v>0</v>
      </c>
      <c r="R79" s="42">
        <v>0</v>
      </c>
      <c r="S79" s="42">
        <v>0</v>
      </c>
      <c r="T79" s="42">
        <v>0</v>
      </c>
      <c r="U79" s="42">
        <f>SUM(I79:T79)</f>
        <v>61.199999999999996</v>
      </c>
    </row>
    <row r="80" spans="1:21" ht="12.75" customHeight="1">
      <c r="A80" s="91"/>
      <c r="B80" s="86" t="s">
        <v>134</v>
      </c>
      <c r="C80" s="76" t="s">
        <v>135</v>
      </c>
      <c r="D80" s="92"/>
      <c r="E80" s="61">
        <v>1810.5</v>
      </c>
      <c r="F80" s="61">
        <f>SUM(E80*12)</f>
        <v>21726</v>
      </c>
      <c r="G80" s="93">
        <v>2.1</v>
      </c>
      <c r="H80" s="135">
        <f>SUM(F80*G80/1000)</f>
        <v>45.624600000000001</v>
      </c>
      <c r="I80" s="42">
        <f>F80/12*G80</f>
        <v>3802.05</v>
      </c>
      <c r="J80" s="42">
        <f>F80/12*G80</f>
        <v>3802.05</v>
      </c>
      <c r="K80" s="42">
        <f>F80/12*G80</f>
        <v>3802.05</v>
      </c>
      <c r="L80" s="42">
        <f>F80/12*G80</f>
        <v>3802.05</v>
      </c>
      <c r="M80" s="42">
        <f>F80/12*G80</f>
        <v>3802.05</v>
      </c>
      <c r="N80" s="42">
        <f>F80/12*G80</f>
        <v>3802.05</v>
      </c>
      <c r="O80" s="42">
        <f>F80/12*G80</f>
        <v>3802.05</v>
      </c>
      <c r="P80" s="42">
        <f>F80/12*G80</f>
        <v>3802.05</v>
      </c>
      <c r="Q80" s="42">
        <f>F80/12*G80</f>
        <v>3802.05</v>
      </c>
      <c r="R80" s="42">
        <f>F80/12*G80</f>
        <v>3802.05</v>
      </c>
      <c r="S80" s="42">
        <f>F80/12*G80</f>
        <v>3802.05</v>
      </c>
      <c r="T80" s="42">
        <f>F80/12*G80</f>
        <v>3802.05</v>
      </c>
      <c r="U80" s="42">
        <f>SUM(I80:T80)</f>
        <v>45624.600000000006</v>
      </c>
    </row>
    <row r="81" spans="1:26" s="20" customFormat="1">
      <c r="A81" s="94"/>
      <c r="B81" s="21" t="s">
        <v>35</v>
      </c>
      <c r="C81" s="95"/>
      <c r="D81" s="96"/>
      <c r="E81" s="97"/>
      <c r="F81" s="52"/>
      <c r="G81" s="98"/>
      <c r="H81" s="53">
        <f>SUM(H79:H80)</f>
        <v>45.6858</v>
      </c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>
        <f>SUM(U79:U80)</f>
        <v>45685.8</v>
      </c>
    </row>
    <row r="82" spans="1:26" ht="35.25" customHeight="1">
      <c r="A82" s="99"/>
      <c r="B82" s="10" t="s">
        <v>136</v>
      </c>
      <c r="C82" s="76"/>
      <c r="D82" s="100"/>
      <c r="E82" s="39">
        <f>E80</f>
        <v>1810.5</v>
      </c>
      <c r="F82" s="61">
        <f>E82*12</f>
        <v>21726</v>
      </c>
      <c r="G82" s="61">
        <v>1.63</v>
      </c>
      <c r="H82" s="135">
        <f>F82*G82/1000</f>
        <v>35.413379999999997</v>
      </c>
      <c r="I82" s="42">
        <f>F82/12*G82</f>
        <v>2951.1149999999998</v>
      </c>
      <c r="J82" s="42">
        <f>F82/12*G82</f>
        <v>2951.1149999999998</v>
      </c>
      <c r="K82" s="42">
        <f>F82/12*G82</f>
        <v>2951.1149999999998</v>
      </c>
      <c r="L82" s="42">
        <f>F82/12*G82</f>
        <v>2951.1149999999998</v>
      </c>
      <c r="M82" s="42">
        <f>F82/12*G82</f>
        <v>2951.1149999999998</v>
      </c>
      <c r="N82" s="42">
        <f>F82/12*G82</f>
        <v>2951.1149999999998</v>
      </c>
      <c r="O82" s="42">
        <f>F82/12*G82</f>
        <v>2951.1149999999998</v>
      </c>
      <c r="P82" s="42">
        <f>F82/12*G82</f>
        <v>2951.1149999999998</v>
      </c>
      <c r="Q82" s="42">
        <f>F82/12*G82</f>
        <v>2951.1149999999998</v>
      </c>
      <c r="R82" s="42">
        <f>F82/12*G82</f>
        <v>2951.1149999999998</v>
      </c>
      <c r="S82" s="42">
        <f>F82/12*G82</f>
        <v>2951.1149999999998</v>
      </c>
      <c r="T82" s="42">
        <f>F82/12*G82</f>
        <v>2951.1149999999998</v>
      </c>
      <c r="U82" s="42">
        <f>SUM(I82:T82)</f>
        <v>35413.37999999999</v>
      </c>
      <c r="W82" s="149"/>
      <c r="X82" s="149"/>
      <c r="Y82" s="149"/>
      <c r="Z82" s="149"/>
    </row>
    <row r="83" spans="1:26" s="20" customFormat="1">
      <c r="A83" s="94"/>
      <c r="B83" s="101" t="s">
        <v>137</v>
      </c>
      <c r="C83" s="102"/>
      <c r="D83" s="101"/>
      <c r="E83" s="52"/>
      <c r="F83" s="52"/>
      <c r="G83" s="52"/>
      <c r="H83" s="85">
        <f>H82</f>
        <v>35.413379999999997</v>
      </c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137">
        <f>U82</f>
        <v>35413.37999999999</v>
      </c>
    </row>
    <row r="84" spans="1:26" s="20" customFormat="1">
      <c r="A84" s="94"/>
      <c r="B84" s="101" t="s">
        <v>138</v>
      </c>
      <c r="C84" s="103"/>
      <c r="D84" s="104"/>
      <c r="E84" s="105"/>
      <c r="F84" s="105"/>
      <c r="G84" s="105"/>
      <c r="H84" s="85">
        <f>SUM(H83+H81+H78+H54+H41+H32+H22)</f>
        <v>415.60318514163333</v>
      </c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37">
        <f>SUM(U83+U81+U78+U54+U41+U32+U22)*1.064</f>
        <v>429803.9609746979</v>
      </c>
    </row>
    <row r="85" spans="1:26" s="134" customFormat="1" ht="50.25" customHeight="1">
      <c r="A85" s="99"/>
      <c r="B85" s="78"/>
      <c r="C85" s="76"/>
      <c r="D85" s="100"/>
      <c r="E85" s="61"/>
      <c r="F85" s="61"/>
      <c r="G85" s="61"/>
      <c r="H85" s="133"/>
      <c r="I85" s="61"/>
      <c r="J85" s="61"/>
      <c r="K85" s="61"/>
      <c r="L85" s="61"/>
      <c r="M85" s="61"/>
      <c r="N85" s="61"/>
      <c r="O85" s="61"/>
      <c r="P85" s="61"/>
      <c r="Q85" s="61"/>
      <c r="R85" s="145"/>
      <c r="S85" s="145"/>
      <c r="T85" s="145"/>
      <c r="U85" s="144" t="s">
        <v>204</v>
      </c>
    </row>
    <row r="86" spans="1:26">
      <c r="A86" s="99"/>
      <c r="B86" s="100" t="s">
        <v>139</v>
      </c>
      <c r="C86" s="76"/>
      <c r="D86" s="100"/>
      <c r="E86" s="61"/>
      <c r="F86" s="61"/>
      <c r="G86" s="61" t="s">
        <v>140</v>
      </c>
      <c r="H86" s="106">
        <f>E82</f>
        <v>1810.5</v>
      </c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</row>
    <row r="87" spans="1:26" s="20" customFormat="1">
      <c r="A87" s="94"/>
      <c r="B87" s="104" t="s">
        <v>141</v>
      </c>
      <c r="C87" s="103"/>
      <c r="D87" s="104"/>
      <c r="E87" s="105"/>
      <c r="F87" s="105"/>
      <c r="G87" s="105"/>
      <c r="H87" s="107">
        <f>SUM(H84/H86/12*1000)</f>
        <v>19.129300614086041</v>
      </c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38"/>
    </row>
    <row r="88" spans="1:26">
      <c r="A88" s="99"/>
      <c r="B88" s="100"/>
      <c r="C88" s="76"/>
      <c r="D88" s="100"/>
      <c r="E88" s="61"/>
      <c r="F88" s="61"/>
      <c r="G88" s="61"/>
      <c r="H88" s="108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139"/>
    </row>
    <row r="89" spans="1:26">
      <c r="A89" s="99"/>
      <c r="B89" s="78" t="s">
        <v>142</v>
      </c>
      <c r="C89" s="76"/>
      <c r="D89" s="100"/>
      <c r="E89" s="61"/>
      <c r="F89" s="61"/>
      <c r="G89" s="61"/>
      <c r="H89" s="61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</row>
    <row r="90" spans="1:26">
      <c r="A90" s="132" t="s">
        <v>189</v>
      </c>
      <c r="B90" s="23" t="s">
        <v>190</v>
      </c>
      <c r="C90" s="132" t="s">
        <v>191</v>
      </c>
      <c r="D90" s="100"/>
      <c r="E90" s="61"/>
      <c r="F90" s="61">
        <v>1</v>
      </c>
      <c r="G90" s="61">
        <v>265.92</v>
      </c>
      <c r="H90" s="61">
        <f t="shared" ref="H90:H101" si="10">G90*F90/1000</f>
        <v>0.26591999999999999</v>
      </c>
      <c r="I90" s="42">
        <f>G90*1</f>
        <v>265.92</v>
      </c>
      <c r="J90" s="42">
        <v>0</v>
      </c>
      <c r="K90" s="42">
        <v>0</v>
      </c>
      <c r="L90" s="42">
        <v>0</v>
      </c>
      <c r="M90" s="42">
        <v>0</v>
      </c>
      <c r="N90" s="42">
        <v>0</v>
      </c>
      <c r="O90" s="42">
        <v>0</v>
      </c>
      <c r="P90" s="42">
        <v>0</v>
      </c>
      <c r="Q90" s="42">
        <v>0</v>
      </c>
      <c r="R90" s="42">
        <v>0</v>
      </c>
      <c r="S90" s="42">
        <v>0</v>
      </c>
      <c r="T90" s="42">
        <v>0</v>
      </c>
      <c r="U90" s="42">
        <f>SUM(I90:L90)</f>
        <v>265.92</v>
      </c>
    </row>
    <row r="91" spans="1:26">
      <c r="A91" s="132" t="s">
        <v>192</v>
      </c>
      <c r="B91" s="23" t="s">
        <v>193</v>
      </c>
      <c r="C91" s="132" t="s">
        <v>194</v>
      </c>
      <c r="D91" s="100"/>
      <c r="E91" s="61"/>
      <c r="F91" s="61">
        <v>5.5</v>
      </c>
      <c r="G91" s="61">
        <v>1372</v>
      </c>
      <c r="H91" s="135">
        <f t="shared" si="10"/>
        <v>7.5460000000000003</v>
      </c>
      <c r="I91" s="42">
        <v>0</v>
      </c>
      <c r="J91" s="42">
        <f>G91*2</f>
        <v>2744</v>
      </c>
      <c r="K91" s="42">
        <v>0</v>
      </c>
      <c r="L91" s="42">
        <v>0</v>
      </c>
      <c r="M91" s="42">
        <v>0</v>
      </c>
      <c r="N91" s="42">
        <v>0</v>
      </c>
      <c r="O91" s="42">
        <v>0</v>
      </c>
      <c r="P91" s="42">
        <v>0</v>
      </c>
      <c r="Q91" s="42">
        <v>0</v>
      </c>
      <c r="R91" s="42">
        <v>0</v>
      </c>
      <c r="S91" s="42">
        <f>G91</f>
        <v>1372</v>
      </c>
      <c r="T91" s="42">
        <f>G91*2.5</f>
        <v>3430</v>
      </c>
      <c r="U91" s="42">
        <f t="shared" ref="U91:U99" si="11">SUM(I91:T91)</f>
        <v>7546</v>
      </c>
    </row>
    <row r="92" spans="1:26" ht="25.5">
      <c r="A92" s="132" t="s">
        <v>203</v>
      </c>
      <c r="B92" s="23" t="s">
        <v>201</v>
      </c>
      <c r="C92" s="132" t="s">
        <v>202</v>
      </c>
      <c r="D92" s="100"/>
      <c r="E92" s="61"/>
      <c r="F92" s="61">
        <v>1</v>
      </c>
      <c r="G92" s="61">
        <v>179.12</v>
      </c>
      <c r="H92" s="143">
        <f t="shared" si="10"/>
        <v>0.17912</v>
      </c>
      <c r="I92" s="42">
        <v>0</v>
      </c>
      <c r="J92" s="42">
        <v>0</v>
      </c>
      <c r="K92" s="42">
        <v>0</v>
      </c>
      <c r="L92" s="42">
        <v>0</v>
      </c>
      <c r="M92" s="42">
        <f>G92</f>
        <v>179.12</v>
      </c>
      <c r="N92" s="42">
        <v>0</v>
      </c>
      <c r="O92" s="42">
        <v>0</v>
      </c>
      <c r="P92" s="42">
        <v>0</v>
      </c>
      <c r="Q92" s="42">
        <v>0</v>
      </c>
      <c r="R92" s="42">
        <v>0</v>
      </c>
      <c r="S92" s="42">
        <v>0</v>
      </c>
      <c r="T92" s="42">
        <v>0</v>
      </c>
      <c r="U92" s="42">
        <f t="shared" si="11"/>
        <v>179.12</v>
      </c>
    </row>
    <row r="93" spans="1:26">
      <c r="A93" s="132" t="s">
        <v>205</v>
      </c>
      <c r="B93" s="23" t="s">
        <v>207</v>
      </c>
      <c r="C93" s="132" t="s">
        <v>206</v>
      </c>
      <c r="D93" s="100"/>
      <c r="E93" s="61"/>
      <c r="F93" s="61">
        <v>1</v>
      </c>
      <c r="G93" s="61">
        <v>1465</v>
      </c>
      <c r="H93" s="143">
        <f t="shared" si="10"/>
        <v>1.4650000000000001</v>
      </c>
      <c r="I93" s="42">
        <v>0</v>
      </c>
      <c r="J93" s="42">
        <v>0</v>
      </c>
      <c r="K93" s="42">
        <v>0</v>
      </c>
      <c r="L93" s="42">
        <v>0</v>
      </c>
      <c r="M93" s="42">
        <v>0</v>
      </c>
      <c r="N93" s="42">
        <f>G93</f>
        <v>1465</v>
      </c>
      <c r="O93" s="42">
        <v>0</v>
      </c>
      <c r="P93" s="42">
        <v>0</v>
      </c>
      <c r="Q93" s="42">
        <v>0</v>
      </c>
      <c r="R93" s="42">
        <v>0</v>
      </c>
      <c r="S93" s="42">
        <v>0</v>
      </c>
      <c r="T93" s="42">
        <v>0</v>
      </c>
      <c r="U93" s="42">
        <f t="shared" si="11"/>
        <v>1465</v>
      </c>
    </row>
    <row r="94" spans="1:26" ht="25.5">
      <c r="A94" s="132" t="s">
        <v>215</v>
      </c>
      <c r="B94" s="23" t="s">
        <v>216</v>
      </c>
      <c r="C94" s="132" t="s">
        <v>214</v>
      </c>
      <c r="D94" s="100"/>
      <c r="E94" s="61"/>
      <c r="F94" s="61">
        <v>1</v>
      </c>
      <c r="G94" s="61">
        <v>169.85</v>
      </c>
      <c r="H94" s="143">
        <f t="shared" si="10"/>
        <v>0.16985</v>
      </c>
      <c r="I94" s="42">
        <v>0</v>
      </c>
      <c r="J94" s="42">
        <v>0</v>
      </c>
      <c r="K94" s="42">
        <v>0</v>
      </c>
      <c r="L94" s="42">
        <v>0</v>
      </c>
      <c r="M94" s="42">
        <v>0</v>
      </c>
      <c r="N94" s="42">
        <v>0</v>
      </c>
      <c r="O94" s="42">
        <v>0</v>
      </c>
      <c r="P94" s="42">
        <v>0</v>
      </c>
      <c r="Q94" s="42">
        <f>G94</f>
        <v>169.85</v>
      </c>
      <c r="R94" s="42">
        <v>0</v>
      </c>
      <c r="S94" s="42">
        <v>0</v>
      </c>
      <c r="T94" s="42">
        <v>0</v>
      </c>
      <c r="U94" s="42">
        <f t="shared" si="11"/>
        <v>169.85</v>
      </c>
    </row>
    <row r="95" spans="1:26">
      <c r="A95" s="146" t="s">
        <v>218</v>
      </c>
      <c r="B95" s="23" t="s">
        <v>217</v>
      </c>
      <c r="C95" s="132" t="s">
        <v>98</v>
      </c>
      <c r="D95" s="100"/>
      <c r="E95" s="61"/>
      <c r="F95" s="61">
        <v>2</v>
      </c>
      <c r="G95" s="61">
        <v>443.02</v>
      </c>
      <c r="H95" s="143">
        <f t="shared" si="10"/>
        <v>0.88603999999999994</v>
      </c>
      <c r="I95" s="42">
        <v>0</v>
      </c>
      <c r="J95" s="42">
        <v>0</v>
      </c>
      <c r="K95" s="42">
        <v>0</v>
      </c>
      <c r="L95" s="42">
        <v>0</v>
      </c>
      <c r="M95" s="42">
        <v>0</v>
      </c>
      <c r="N95" s="42">
        <v>0</v>
      </c>
      <c r="O95" s="42">
        <v>0</v>
      </c>
      <c r="P95" s="42">
        <v>0</v>
      </c>
      <c r="Q95" s="42">
        <f>G95*2</f>
        <v>886.04</v>
      </c>
      <c r="R95" s="42">
        <v>0</v>
      </c>
      <c r="S95" s="42">
        <v>0</v>
      </c>
      <c r="T95" s="42">
        <v>0</v>
      </c>
      <c r="U95" s="42">
        <f t="shared" si="11"/>
        <v>886.04</v>
      </c>
    </row>
    <row r="96" spans="1:26" ht="25.5">
      <c r="A96" s="146" t="s">
        <v>220</v>
      </c>
      <c r="B96" s="23" t="s">
        <v>219</v>
      </c>
      <c r="C96" s="132" t="s">
        <v>98</v>
      </c>
      <c r="D96" s="100"/>
      <c r="E96" s="61"/>
      <c r="F96" s="61">
        <v>2</v>
      </c>
      <c r="G96" s="61">
        <v>72.290000000000006</v>
      </c>
      <c r="H96" s="143">
        <f t="shared" si="10"/>
        <v>0.14458000000000001</v>
      </c>
      <c r="I96" s="42">
        <v>0</v>
      </c>
      <c r="J96" s="42">
        <v>0</v>
      </c>
      <c r="K96" s="42">
        <v>0</v>
      </c>
      <c r="L96" s="42">
        <v>0</v>
      </c>
      <c r="M96" s="42">
        <v>0</v>
      </c>
      <c r="N96" s="42">
        <v>0</v>
      </c>
      <c r="O96" s="42">
        <v>0</v>
      </c>
      <c r="P96" s="42">
        <v>0</v>
      </c>
      <c r="Q96" s="42">
        <f>G96</f>
        <v>72.290000000000006</v>
      </c>
      <c r="R96" s="42">
        <f>G96</f>
        <v>72.290000000000006</v>
      </c>
      <c r="S96" s="42">
        <v>0</v>
      </c>
      <c r="T96" s="42">
        <v>0</v>
      </c>
      <c r="U96" s="42">
        <f t="shared" si="11"/>
        <v>144.58000000000001</v>
      </c>
    </row>
    <row r="97" spans="1:21" ht="25.5">
      <c r="A97" s="146" t="s">
        <v>205</v>
      </c>
      <c r="B97" s="23" t="s">
        <v>221</v>
      </c>
      <c r="C97" s="132" t="s">
        <v>224</v>
      </c>
      <c r="D97" s="100"/>
      <c r="E97" s="61"/>
      <c r="F97" s="61">
        <v>10</v>
      </c>
      <c r="G97" s="61">
        <v>2057</v>
      </c>
      <c r="H97" s="143">
        <f t="shared" si="10"/>
        <v>20.57</v>
      </c>
      <c r="I97" s="42">
        <v>0</v>
      </c>
      <c r="J97" s="42">
        <v>0</v>
      </c>
      <c r="K97" s="42">
        <v>0</v>
      </c>
      <c r="L97" s="42">
        <v>0</v>
      </c>
      <c r="M97" s="42">
        <v>0</v>
      </c>
      <c r="N97" s="42">
        <v>0</v>
      </c>
      <c r="O97" s="42">
        <v>0</v>
      </c>
      <c r="P97" s="42">
        <v>0</v>
      </c>
      <c r="Q97" s="42">
        <f>G97*10</f>
        <v>20570</v>
      </c>
      <c r="R97" s="42">
        <v>0</v>
      </c>
      <c r="S97" s="42">
        <v>0</v>
      </c>
      <c r="T97" s="42">
        <v>0</v>
      </c>
      <c r="U97" s="42">
        <f t="shared" si="11"/>
        <v>20570</v>
      </c>
    </row>
    <row r="98" spans="1:21" ht="38.25">
      <c r="A98" s="147" t="s">
        <v>222</v>
      </c>
      <c r="B98" s="23" t="s">
        <v>223</v>
      </c>
      <c r="C98" s="132" t="s">
        <v>49</v>
      </c>
      <c r="D98" s="100"/>
      <c r="E98" s="61"/>
      <c r="F98" s="61">
        <v>2</v>
      </c>
      <c r="G98" s="61">
        <v>167.91</v>
      </c>
      <c r="H98" s="143">
        <f t="shared" si="10"/>
        <v>0.33582000000000001</v>
      </c>
      <c r="I98" s="42">
        <v>0</v>
      </c>
      <c r="J98" s="42">
        <v>0</v>
      </c>
      <c r="K98" s="42">
        <v>0</v>
      </c>
      <c r="L98" s="42">
        <v>0</v>
      </c>
      <c r="M98" s="42">
        <v>0</v>
      </c>
      <c r="N98" s="42">
        <v>0</v>
      </c>
      <c r="O98" s="42">
        <v>0</v>
      </c>
      <c r="P98" s="42">
        <v>0</v>
      </c>
      <c r="Q98" s="42">
        <v>0</v>
      </c>
      <c r="R98" s="42">
        <f>G98*2</f>
        <v>335.82</v>
      </c>
      <c r="S98" s="42">
        <v>0</v>
      </c>
      <c r="T98" s="42">
        <v>0</v>
      </c>
      <c r="U98" s="42">
        <f t="shared" si="11"/>
        <v>335.82</v>
      </c>
    </row>
    <row r="99" spans="1:21">
      <c r="A99" s="147" t="s">
        <v>226</v>
      </c>
      <c r="B99" s="148" t="s">
        <v>225</v>
      </c>
      <c r="C99" s="132" t="s">
        <v>135</v>
      </c>
      <c r="D99" s="100"/>
      <c r="E99" s="61"/>
      <c r="F99" s="61">
        <v>3.75</v>
      </c>
      <c r="G99" s="61">
        <v>392.64</v>
      </c>
      <c r="H99" s="143">
        <f t="shared" si="10"/>
        <v>1.4723999999999999</v>
      </c>
      <c r="I99" s="42">
        <v>0</v>
      </c>
      <c r="J99" s="42">
        <v>0</v>
      </c>
      <c r="K99" s="42">
        <v>0</v>
      </c>
      <c r="L99" s="42">
        <v>0</v>
      </c>
      <c r="M99" s="42">
        <v>0</v>
      </c>
      <c r="N99" s="42">
        <f>G99*3.75</f>
        <v>1472.3999999999999</v>
      </c>
      <c r="O99" s="42">
        <v>0</v>
      </c>
      <c r="P99" s="42">
        <v>0</v>
      </c>
      <c r="Q99" s="42">
        <v>0</v>
      </c>
      <c r="R99" s="42">
        <v>0</v>
      </c>
      <c r="S99" s="42">
        <v>0</v>
      </c>
      <c r="T99" s="42">
        <v>0</v>
      </c>
      <c r="U99" s="42">
        <f t="shared" si="11"/>
        <v>1472.3999999999999</v>
      </c>
    </row>
    <row r="100" spans="1:21" ht="25.5">
      <c r="A100" s="132" t="s">
        <v>228</v>
      </c>
      <c r="B100" s="23" t="s">
        <v>227</v>
      </c>
      <c r="C100" s="132" t="s">
        <v>98</v>
      </c>
      <c r="D100" s="100"/>
      <c r="E100" s="61"/>
      <c r="F100" s="61">
        <v>1</v>
      </c>
      <c r="G100" s="61">
        <v>164.67</v>
      </c>
      <c r="H100" s="143">
        <f t="shared" si="10"/>
        <v>0.16466999999999998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42">
        <v>0</v>
      </c>
      <c r="P100" s="42">
        <v>0</v>
      </c>
      <c r="Q100" s="42">
        <v>0</v>
      </c>
      <c r="R100" s="42">
        <v>0</v>
      </c>
      <c r="S100" s="42">
        <f>G100</f>
        <v>164.67</v>
      </c>
      <c r="T100" s="42">
        <v>0</v>
      </c>
      <c r="U100" s="42">
        <f>SUM(I100:T100)</f>
        <v>164.67</v>
      </c>
    </row>
    <row r="101" spans="1:21">
      <c r="A101" s="132" t="s">
        <v>205</v>
      </c>
      <c r="B101" s="23" t="s">
        <v>229</v>
      </c>
      <c r="C101" s="132" t="s">
        <v>230</v>
      </c>
      <c r="D101" s="100"/>
      <c r="E101" s="61"/>
      <c r="F101" s="61">
        <v>0.17199999999999999</v>
      </c>
      <c r="G101" s="61">
        <v>3402</v>
      </c>
      <c r="H101" s="143">
        <f t="shared" si="10"/>
        <v>0.585144</v>
      </c>
      <c r="I101" s="42">
        <v>0</v>
      </c>
      <c r="J101" s="42">
        <v>0</v>
      </c>
      <c r="K101" s="42">
        <v>0</v>
      </c>
      <c r="L101" s="42">
        <v>0</v>
      </c>
      <c r="M101" s="42">
        <v>0</v>
      </c>
      <c r="N101" s="42">
        <v>0</v>
      </c>
      <c r="O101" s="42">
        <v>0</v>
      </c>
      <c r="P101" s="42">
        <v>0</v>
      </c>
      <c r="Q101" s="42">
        <v>0</v>
      </c>
      <c r="R101" s="42">
        <v>0</v>
      </c>
      <c r="S101" s="42">
        <v>0</v>
      </c>
      <c r="T101" s="42">
        <f>G101*0.172</f>
        <v>585.14400000000001</v>
      </c>
      <c r="U101" s="42">
        <f>SUM(I101:T101)</f>
        <v>585.14400000000001</v>
      </c>
    </row>
    <row r="102" spans="1:21" s="20" customFormat="1">
      <c r="A102" s="109"/>
      <c r="B102" s="110" t="s">
        <v>143</v>
      </c>
      <c r="C102" s="109"/>
      <c r="D102" s="109"/>
      <c r="E102" s="105"/>
      <c r="F102" s="105"/>
      <c r="G102" s="105"/>
      <c r="H102" s="53">
        <f>SUM(H90:H101)</f>
        <v>33.784544000000004</v>
      </c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52">
        <f>SUM(U90:U101)</f>
        <v>33784.544000000002</v>
      </c>
    </row>
    <row r="103" spans="1:21">
      <c r="A103" s="111"/>
      <c r="B103" s="112"/>
      <c r="C103" s="111"/>
      <c r="D103" s="111"/>
      <c r="E103" s="61"/>
      <c r="F103" s="61"/>
      <c r="G103" s="61"/>
      <c r="H103" s="113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140"/>
    </row>
    <row r="104" spans="1:21" ht="12" customHeight="1">
      <c r="A104" s="99"/>
      <c r="B104" s="19" t="s">
        <v>144</v>
      </c>
      <c r="C104" s="76"/>
      <c r="D104" s="100"/>
      <c r="E104" s="61"/>
      <c r="F104" s="61"/>
      <c r="G104" s="61"/>
      <c r="H104" s="114">
        <f>H102/E105/12*1000</f>
        <v>1.5550282610696864</v>
      </c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140"/>
    </row>
    <row r="105" spans="1:21" s="20" customFormat="1">
      <c r="A105" s="115"/>
      <c r="B105" s="116" t="s">
        <v>145</v>
      </c>
      <c r="C105" s="117"/>
      <c r="D105" s="116"/>
      <c r="E105" s="118">
        <v>1810.5</v>
      </c>
      <c r="F105" s="119">
        <f>SUM(E105*12)</f>
        <v>21726</v>
      </c>
      <c r="G105" s="120">
        <f>H87+H104</f>
        <v>20.684328875155728</v>
      </c>
      <c r="H105" s="121">
        <f>SUM(F105*G105/1000)</f>
        <v>449.38772914163337</v>
      </c>
      <c r="I105" s="105">
        <f t="shared" ref="I105:R105" si="12">SUM(I11:I104)</f>
        <v>31929.73237666666</v>
      </c>
      <c r="J105" s="105">
        <f t="shared" si="12"/>
        <v>40551.235326666661</v>
      </c>
      <c r="K105" s="105">
        <f t="shared" si="12"/>
        <v>33628.043676666668</v>
      </c>
      <c r="L105" s="105">
        <f t="shared" si="12"/>
        <v>38747.317670566663</v>
      </c>
      <c r="M105" s="105">
        <f t="shared" si="12"/>
        <v>73150.910641722221</v>
      </c>
      <c r="N105" s="105">
        <f t="shared" si="12"/>
        <v>28571.20984522222</v>
      </c>
      <c r="O105" s="105">
        <f t="shared" si="12"/>
        <v>23310.144239222223</v>
      </c>
      <c r="P105" s="105">
        <f t="shared" si="12"/>
        <v>31753.335889222217</v>
      </c>
      <c r="Q105" s="105">
        <f t="shared" si="12"/>
        <v>45157.964239222223</v>
      </c>
      <c r="R105" s="105">
        <f t="shared" si="12"/>
        <v>25657.088233122224</v>
      </c>
      <c r="S105" s="105">
        <f>SUM(S11:S104)</f>
        <v>30900.713676666666</v>
      </c>
      <c r="T105" s="105">
        <f>SUM(T11:T104)</f>
        <v>34377.939326666667</v>
      </c>
      <c r="U105" s="52">
        <f>U84+U102</f>
        <v>463588.50497469789</v>
      </c>
    </row>
    <row r="106" spans="1:21">
      <c r="A106" s="123"/>
      <c r="B106" s="123"/>
      <c r="C106" s="123"/>
      <c r="D106" s="123"/>
      <c r="E106" s="122"/>
      <c r="F106" s="122"/>
      <c r="G106" s="122"/>
      <c r="H106" s="122"/>
      <c r="I106" s="122"/>
      <c r="J106" s="122"/>
      <c r="K106" s="122"/>
      <c r="L106" s="122"/>
      <c r="M106" s="123"/>
      <c r="N106" s="122"/>
      <c r="O106" s="123"/>
      <c r="P106" s="123"/>
      <c r="Q106" s="123"/>
      <c r="R106" s="123"/>
      <c r="S106" s="123"/>
      <c r="T106" s="123"/>
      <c r="U106" s="123"/>
    </row>
    <row r="107" spans="1:21">
      <c r="A107" s="123"/>
      <c r="B107" s="123"/>
      <c r="C107" s="123"/>
      <c r="D107" s="123"/>
      <c r="E107" s="122"/>
      <c r="F107" s="122"/>
      <c r="G107" s="122"/>
      <c r="H107" s="122"/>
      <c r="I107" s="122"/>
      <c r="J107" s="124"/>
      <c r="K107" s="125"/>
      <c r="L107" s="124"/>
      <c r="M107" s="122"/>
      <c r="N107" s="123"/>
      <c r="O107" s="123"/>
      <c r="P107" s="123"/>
      <c r="Q107" s="123"/>
      <c r="R107" s="123"/>
      <c r="S107" s="123"/>
      <c r="T107" s="123"/>
      <c r="U107" s="123"/>
    </row>
    <row r="108" spans="1:21" ht="45">
      <c r="A108" s="123"/>
      <c r="B108" s="126" t="s">
        <v>188</v>
      </c>
      <c r="C108" s="153">
        <v>-371886.06</v>
      </c>
      <c r="D108" s="154"/>
      <c r="E108" s="154"/>
      <c r="F108" s="155"/>
      <c r="G108" s="122"/>
      <c r="H108" s="122"/>
      <c r="I108" s="122"/>
      <c r="J108" s="124"/>
      <c r="K108" s="125"/>
      <c r="L108" s="124"/>
      <c r="M108" s="122"/>
      <c r="N108" s="123"/>
      <c r="O108" s="123"/>
      <c r="P108" s="123"/>
      <c r="Q108" s="123"/>
      <c r="R108" s="123"/>
      <c r="S108" s="123"/>
      <c r="T108" s="123"/>
      <c r="U108" s="123"/>
    </row>
    <row r="109" spans="1:21" ht="30">
      <c r="A109" s="123"/>
      <c r="B109" s="24" t="s">
        <v>208</v>
      </c>
      <c r="C109" s="157">
        <v>490572.84</v>
      </c>
      <c r="D109" s="158"/>
      <c r="E109" s="158"/>
      <c r="F109" s="159"/>
      <c r="G109" s="122"/>
      <c r="H109" s="122"/>
      <c r="I109" s="122"/>
      <c r="J109" s="124"/>
      <c r="K109" s="125"/>
      <c r="L109" s="124"/>
      <c r="M109" s="122"/>
      <c r="N109" s="123"/>
      <c r="O109" s="123"/>
      <c r="P109" s="123"/>
      <c r="Q109" s="123"/>
      <c r="R109" s="123"/>
      <c r="S109" s="123"/>
      <c r="T109" s="123"/>
      <c r="U109" s="123"/>
    </row>
    <row r="110" spans="1:21" ht="30">
      <c r="A110" s="123"/>
      <c r="B110" s="24" t="s">
        <v>209</v>
      </c>
      <c r="C110" s="157">
        <f>SUM(U105-U102)</f>
        <v>429803.9609746979</v>
      </c>
      <c r="D110" s="158"/>
      <c r="E110" s="158"/>
      <c r="F110" s="159"/>
      <c r="G110" s="122"/>
      <c r="H110" s="122"/>
      <c r="I110" s="122"/>
      <c r="J110" s="124"/>
      <c r="K110" s="125"/>
      <c r="L110" s="124"/>
      <c r="M110" s="122"/>
      <c r="N110" s="123"/>
      <c r="O110" s="123"/>
      <c r="P110" s="123"/>
      <c r="Q110" s="123"/>
      <c r="R110" s="123"/>
      <c r="S110" s="123"/>
      <c r="T110" s="123"/>
      <c r="U110" s="123"/>
    </row>
    <row r="111" spans="1:21" ht="30">
      <c r="A111" s="123"/>
      <c r="B111" s="24" t="s">
        <v>210</v>
      </c>
      <c r="C111" s="157">
        <f>SUM(U102)</f>
        <v>33784.544000000002</v>
      </c>
      <c r="D111" s="158"/>
      <c r="E111" s="158"/>
      <c r="F111" s="159"/>
      <c r="G111" s="122"/>
      <c r="H111" s="122"/>
      <c r="I111" s="122"/>
      <c r="J111" s="124"/>
      <c r="K111" s="125"/>
      <c r="L111" s="124"/>
      <c r="M111" s="122"/>
      <c r="N111" s="123"/>
      <c r="O111" s="123"/>
      <c r="P111" s="123"/>
      <c r="Q111" s="123"/>
      <c r="R111" s="123"/>
      <c r="S111" s="123"/>
      <c r="T111" s="123"/>
      <c r="U111" s="123"/>
    </row>
    <row r="112" spans="1:21" ht="18">
      <c r="A112" s="123"/>
      <c r="B112" s="136" t="s">
        <v>211</v>
      </c>
      <c r="C112" s="153">
        <v>469067.63</v>
      </c>
      <c r="D112" s="154"/>
      <c r="E112" s="154"/>
      <c r="F112" s="155"/>
      <c r="G112" s="123"/>
      <c r="H112" s="127" t="s">
        <v>153</v>
      </c>
      <c r="I112" s="128"/>
      <c r="J112" s="128"/>
      <c r="K112" s="129"/>
      <c r="L112" s="130"/>
      <c r="M112" s="127"/>
      <c r="N112" s="127"/>
      <c r="O112" s="123"/>
      <c r="P112" s="123"/>
      <c r="Q112" s="123"/>
      <c r="R112" s="123"/>
      <c r="S112" s="123"/>
      <c r="T112" s="123"/>
      <c r="U112" s="123"/>
    </row>
    <row r="113" spans="1:21" ht="78.75">
      <c r="A113" s="123"/>
      <c r="B113" s="25" t="s">
        <v>212</v>
      </c>
      <c r="C113" s="160">
        <v>104484.68</v>
      </c>
      <c r="D113" s="161"/>
      <c r="E113" s="161"/>
      <c r="F113" s="162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</row>
    <row r="114" spans="1:21" ht="45">
      <c r="A114" s="123"/>
      <c r="B114" s="131" t="s">
        <v>213</v>
      </c>
      <c r="C114" s="156">
        <f>SUM(U105-C109)+C108</f>
        <v>-398870.39502530213</v>
      </c>
      <c r="D114" s="154"/>
      <c r="E114" s="154"/>
      <c r="F114" s="155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</row>
    <row r="116" spans="1:21">
      <c r="J116" s="5"/>
      <c r="K116" s="6"/>
      <c r="L116" s="6"/>
      <c r="M116" s="4"/>
    </row>
    <row r="117" spans="1:21">
      <c r="G117" s="7"/>
      <c r="H117" s="7"/>
    </row>
    <row r="118" spans="1:21">
      <c r="G118" s="8"/>
    </row>
  </sheetData>
  <mergeCells count="12">
    <mergeCell ref="C108:F108"/>
    <mergeCell ref="C114:F114"/>
    <mergeCell ref="C109:F109"/>
    <mergeCell ref="C110:F110"/>
    <mergeCell ref="C111:F111"/>
    <mergeCell ref="C112:F112"/>
    <mergeCell ref="C113:F113"/>
    <mergeCell ref="W82:Z82"/>
    <mergeCell ref="B3:L3"/>
    <mergeCell ref="B4:L4"/>
    <mergeCell ref="B5:L5"/>
    <mergeCell ref="B6:L6"/>
  </mergeCells>
  <pageMargins left="0.31496062992125984" right="0.31496062992125984" top="0.15748031496062992" bottom="0.19685039370078741" header="0.15748031496062992" footer="0.15748031496062992"/>
  <pageSetup paperSize="9" scale="3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Нефт. 5</vt:lpstr>
      <vt:lpstr>'Нефт. 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dcterms:created xsi:type="dcterms:W3CDTF">2014-02-05T12:20:20Z</dcterms:created>
  <dcterms:modified xsi:type="dcterms:W3CDTF">2016-03-09T10:28:21Z</dcterms:modified>
</cp:coreProperties>
</file>