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6" r:id="rId11"/>
    <sheet name="12.16" sheetId="8" r:id="rId12"/>
  </sheets>
  <definedNames>
    <definedName name="_xlnm._FilterDatabase" localSheetId="0" hidden="1">'01.16'!$I$12:$I$61</definedName>
    <definedName name="_xlnm._FilterDatabase" localSheetId="1" hidden="1">'02.16'!$I$12:$I$61</definedName>
    <definedName name="_xlnm._FilterDatabase" localSheetId="2" hidden="1">'03.16'!$I$12:$I$61</definedName>
    <definedName name="_xlnm._FilterDatabase" localSheetId="3" hidden="1">'04.16'!$I$12:$I$61</definedName>
    <definedName name="_xlnm._FilterDatabase" localSheetId="4" hidden="1">'05.16'!$I$12:$I$61</definedName>
    <definedName name="_xlnm._FilterDatabase" localSheetId="5" hidden="1">'06.16'!$I$12:$I$61</definedName>
    <definedName name="_xlnm._FilterDatabase" localSheetId="6" hidden="1">'07.16'!$I$12:$I$61</definedName>
    <definedName name="_xlnm._FilterDatabase" localSheetId="7" hidden="1">'08.16'!$I$12:$I$61</definedName>
    <definedName name="_xlnm._FilterDatabase" localSheetId="8" hidden="1">'09.16'!$I$12:$I$60</definedName>
    <definedName name="_xlnm._FilterDatabase" localSheetId="9" hidden="1">'10.16'!$I$12:$I$61</definedName>
    <definedName name="_xlnm._FilterDatabase" localSheetId="11" hidden="1">'12.16'!$G$12:$G$66</definedName>
    <definedName name="_xlnm.Print_Area" localSheetId="0">'01.16'!$A$1:$I$136</definedName>
    <definedName name="_xlnm.Print_Area" localSheetId="1">'02.16'!$A$1:$I$110</definedName>
    <definedName name="_xlnm.Print_Area" localSheetId="2">'03.16'!$A$1:$I$114</definedName>
    <definedName name="_xlnm.Print_Area" localSheetId="3">'04.16'!$A$1:$I$110</definedName>
    <definedName name="_xlnm.Print_Area" localSheetId="4">'05.16'!$A$1:$I$114</definedName>
    <definedName name="_xlnm.Print_Area" localSheetId="5">'06.16'!$A$1:$I$110</definedName>
    <definedName name="_xlnm.Print_Area" localSheetId="6">'07.16'!$A$1:$I$112</definedName>
    <definedName name="_xlnm.Print_Area" localSheetId="7">'08.16'!$A$1:$I$109</definedName>
    <definedName name="_xlnm.Print_Area" localSheetId="8">'09.16'!$A$1:$I$111</definedName>
    <definedName name="_xlnm.Print_Area" localSheetId="9">'10.16'!$A$1:$I$111</definedName>
    <definedName name="_xlnm.Print_Area" localSheetId="10">'11.16'!$A$1:$G$110</definedName>
    <definedName name="_xlnm.Print_Area" localSheetId="11">'12.16'!$A$1:$G$112</definedName>
  </definedNames>
  <calcPr calcId="124519"/>
</workbook>
</file>

<file path=xl/calcChain.xml><?xml version="1.0" encoding="utf-8"?>
<calcChain xmlns="http://schemas.openxmlformats.org/spreadsheetml/2006/main">
  <c r="I87" i="26"/>
  <c r="I86"/>
  <c r="I85"/>
  <c r="H87"/>
  <c r="F86"/>
  <c r="H86" s="1"/>
  <c r="H85"/>
  <c r="I84"/>
  <c r="H84"/>
  <c r="E81"/>
  <c r="F81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F61"/>
  <c r="H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F40"/>
  <c r="I40" s="1"/>
  <c r="F39"/>
  <c r="I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5"/>
  <c r="I86"/>
  <c r="I85"/>
  <c r="I53"/>
  <c r="F87"/>
  <c r="H87" s="1"/>
  <c r="H86"/>
  <c r="H85"/>
  <c r="I84"/>
  <c r="H84"/>
  <c r="I83"/>
  <c r="H83"/>
  <c r="E80"/>
  <c r="F80" s="1"/>
  <c r="H80" s="1"/>
  <c r="H81" s="1"/>
  <c r="F79"/>
  <c r="H79" s="1"/>
  <c r="H77"/>
  <c r="H75"/>
  <c r="H73"/>
  <c r="H72"/>
  <c r="H71"/>
  <c r="I69"/>
  <c r="H69"/>
  <c r="F68"/>
  <c r="I68" s="1"/>
  <c r="F67"/>
  <c r="H67" s="1"/>
  <c r="F66"/>
  <c r="I66" s="1"/>
  <c r="F65"/>
  <c r="H65" s="1"/>
  <c r="F64"/>
  <c r="I64" s="1"/>
  <c r="H63"/>
  <c r="H62"/>
  <c r="F60"/>
  <c r="H60" s="1"/>
  <c r="H59"/>
  <c r="H58"/>
  <c r="F56"/>
  <c r="I56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5" i="24"/>
  <c r="H85"/>
  <c r="I84"/>
  <c r="H84"/>
  <c r="I86"/>
  <c r="E81"/>
  <c r="F81" s="1"/>
  <c r="F80"/>
  <c r="I80" s="1"/>
  <c r="H78"/>
  <c r="H76"/>
  <c r="H74"/>
  <c r="H73"/>
  <c r="H72"/>
  <c r="I70"/>
  <c r="H70"/>
  <c r="F69"/>
  <c r="I69" s="1"/>
  <c r="F68"/>
  <c r="I68" s="1"/>
  <c r="F67"/>
  <c r="I67" s="1"/>
  <c r="F66"/>
  <c r="I66" s="1"/>
  <c r="F65"/>
  <c r="I65" s="1"/>
  <c r="H64"/>
  <c r="H63"/>
  <c r="F61"/>
  <c r="I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23"/>
  <c r="I87"/>
  <c r="I86"/>
  <c r="I85"/>
  <c r="I63"/>
  <c r="H67" i="26" l="1"/>
  <c r="H65"/>
  <c r="H69"/>
  <c r="H41"/>
  <c r="H39"/>
  <c r="I18"/>
  <c r="H18"/>
  <c r="H81"/>
  <c r="H82" s="1"/>
  <c r="I81"/>
  <c r="I16"/>
  <c r="H17"/>
  <c r="I20"/>
  <c r="H21"/>
  <c r="I26"/>
  <c r="H27"/>
  <c r="I30"/>
  <c r="H31"/>
  <c r="I32"/>
  <c r="H40"/>
  <c r="H42"/>
  <c r="I50"/>
  <c r="H57"/>
  <c r="H77" s="1"/>
  <c r="I61"/>
  <c r="I66"/>
  <c r="I68"/>
  <c r="I80"/>
  <c r="I49" i="25"/>
  <c r="I47"/>
  <c r="I45"/>
  <c r="I48"/>
  <c r="I46"/>
  <c r="I51"/>
  <c r="I52"/>
  <c r="H64"/>
  <c r="H68"/>
  <c r="H56"/>
  <c r="H66"/>
  <c r="H42"/>
  <c r="H40"/>
  <c r="I18"/>
  <c r="H18"/>
  <c r="I16"/>
  <c r="H17"/>
  <c r="I20"/>
  <c r="H21"/>
  <c r="I26"/>
  <c r="H27"/>
  <c r="I30"/>
  <c r="H31"/>
  <c r="I32"/>
  <c r="I39"/>
  <c r="I41"/>
  <c r="I50"/>
  <c r="I60"/>
  <c r="I65"/>
  <c r="I67"/>
  <c r="I79"/>
  <c r="I80"/>
  <c r="H61" i="24"/>
  <c r="H68"/>
  <c r="H80"/>
  <c r="H66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H57"/>
  <c r="H65"/>
  <c r="H67"/>
  <c r="H69"/>
  <c r="F88" i="23"/>
  <c r="H88" s="1"/>
  <c r="H87"/>
  <c r="H86"/>
  <c r="H85"/>
  <c r="I84"/>
  <c r="H84"/>
  <c r="E81"/>
  <c r="F81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F61"/>
  <c r="H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6" i="22"/>
  <c r="I85"/>
  <c r="I72"/>
  <c r="H86"/>
  <c r="H85"/>
  <c r="I84"/>
  <c r="H84"/>
  <c r="E81"/>
  <c r="F81" s="1"/>
  <c r="H81" s="1"/>
  <c r="H82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F61"/>
  <c r="H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1"/>
  <c r="I86"/>
  <c r="I88"/>
  <c r="I89"/>
  <c r="I90"/>
  <c r="I85"/>
  <c r="H90"/>
  <c r="H89"/>
  <c r="H88"/>
  <c r="F87"/>
  <c r="H87" s="1"/>
  <c r="H86"/>
  <c r="H85"/>
  <c r="I84"/>
  <c r="H84"/>
  <c r="E81"/>
  <c r="F81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F61"/>
  <c r="H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6" i="20"/>
  <c r="I63"/>
  <c r="H86"/>
  <c r="I85"/>
  <c r="H85"/>
  <c r="I84"/>
  <c r="H84"/>
  <c r="E81"/>
  <c r="F81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F61"/>
  <c r="H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19"/>
  <c r="I87"/>
  <c r="I89"/>
  <c r="I86"/>
  <c r="I90"/>
  <c r="I85"/>
  <c r="I78"/>
  <c r="F90"/>
  <c r="H90" s="1"/>
  <c r="H89"/>
  <c r="H88"/>
  <c r="H87"/>
  <c r="H86"/>
  <c r="H85"/>
  <c r="I84"/>
  <c r="H84"/>
  <c r="E81"/>
  <c r="F81" s="1"/>
  <c r="F80"/>
  <c r="I80" s="1"/>
  <c r="H78"/>
  <c r="H76"/>
  <c r="H74"/>
  <c r="H73"/>
  <c r="H72"/>
  <c r="I70"/>
  <c r="H70"/>
  <c r="F69"/>
  <c r="I69" s="1"/>
  <c r="F68"/>
  <c r="I68" s="1"/>
  <c r="F67"/>
  <c r="I67" s="1"/>
  <c r="F66"/>
  <c r="I66" s="1"/>
  <c r="F65"/>
  <c r="I65" s="1"/>
  <c r="H64"/>
  <c r="H63"/>
  <c r="F61"/>
  <c r="I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6" i="18"/>
  <c r="I85"/>
  <c r="I53"/>
  <c r="H86"/>
  <c r="H85"/>
  <c r="I84"/>
  <c r="H84"/>
  <c r="E81"/>
  <c r="F81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F61"/>
  <c r="H61" s="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113" i="17"/>
  <c r="I115" s="1"/>
  <c r="I82"/>
  <c r="I70"/>
  <c r="I33"/>
  <c r="H112"/>
  <c r="F111"/>
  <c r="H111" s="1"/>
  <c r="H110"/>
  <c r="F109"/>
  <c r="H109" s="1"/>
  <c r="H108"/>
  <c r="F107"/>
  <c r="H107" s="1"/>
  <c r="H106"/>
  <c r="H105"/>
  <c r="H104"/>
  <c r="H103"/>
  <c r="F102"/>
  <c r="H102" s="1"/>
  <c r="H101"/>
  <c r="H100"/>
  <c r="H99"/>
  <c r="F98"/>
  <c r="H98" s="1"/>
  <c r="H97"/>
  <c r="H96"/>
  <c r="H95"/>
  <c r="H94"/>
  <c r="H93"/>
  <c r="H92"/>
  <c r="G91"/>
  <c r="F91"/>
  <c r="I90"/>
  <c r="F90"/>
  <c r="H90" s="1"/>
  <c r="I89"/>
  <c r="H89"/>
  <c r="I88"/>
  <c r="F88"/>
  <c r="H88" s="1"/>
  <c r="F87"/>
  <c r="H87" s="1"/>
  <c r="I86"/>
  <c r="F86"/>
  <c r="H86" s="1"/>
  <c r="I85"/>
  <c r="H85"/>
  <c r="I84"/>
  <c r="H84"/>
  <c r="E81"/>
  <c r="F80"/>
  <c r="I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F61"/>
  <c r="I61" s="1"/>
  <c r="H60"/>
  <c r="H59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F39"/>
  <c r="I39" s="1"/>
  <c r="I38"/>
  <c r="H38"/>
  <c r="F27"/>
  <c r="I27" s="1"/>
  <c r="H36"/>
  <c r="H35"/>
  <c r="F26"/>
  <c r="H26" s="1"/>
  <c r="H34"/>
  <c r="F34"/>
  <c r="I34" s="1"/>
  <c r="H33"/>
  <c r="F32"/>
  <c r="H32" s="1"/>
  <c r="F31"/>
  <c r="H31" s="1"/>
  <c r="F30"/>
  <c r="H30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8" i="26" l="1"/>
  <c r="I82"/>
  <c r="H76" i="25"/>
  <c r="I81"/>
  <c r="I88"/>
  <c r="I82" i="24"/>
  <c r="H77"/>
  <c r="I88"/>
  <c r="H65" i="23"/>
  <c r="H69"/>
  <c r="H67"/>
  <c r="H57"/>
  <c r="H77" s="1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I61"/>
  <c r="I66"/>
  <c r="I68"/>
  <c r="I80"/>
  <c r="I89"/>
  <c r="I18" i="22"/>
  <c r="H18"/>
  <c r="I16"/>
  <c r="H17"/>
  <c r="I20"/>
  <c r="H21"/>
  <c r="I26"/>
  <c r="H27"/>
  <c r="I30"/>
  <c r="H31"/>
  <c r="I32"/>
  <c r="I39"/>
  <c r="H40"/>
  <c r="I41"/>
  <c r="H42"/>
  <c r="I50"/>
  <c r="H57"/>
  <c r="I61"/>
  <c r="H65"/>
  <c r="I66"/>
  <c r="H67"/>
  <c r="I68"/>
  <c r="H69"/>
  <c r="I80"/>
  <c r="I81"/>
  <c r="I19" i="21"/>
  <c r="I49"/>
  <c r="I47"/>
  <c r="I22"/>
  <c r="I24"/>
  <c r="I45"/>
  <c r="I48"/>
  <c r="I46"/>
  <c r="I25"/>
  <c r="I23"/>
  <c r="H67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H57"/>
  <c r="I61"/>
  <c r="H65"/>
  <c r="I66"/>
  <c r="I68"/>
  <c r="H69"/>
  <c r="I80"/>
  <c r="I91"/>
  <c r="I51" i="20"/>
  <c r="I52"/>
  <c r="H67"/>
  <c r="H65"/>
  <c r="H69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H57"/>
  <c r="I61"/>
  <c r="I66"/>
  <c r="I68"/>
  <c r="I80"/>
  <c r="I87"/>
  <c r="I91" i="19"/>
  <c r="H80"/>
  <c r="H66"/>
  <c r="H61"/>
  <c r="H68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H57"/>
  <c r="H65"/>
  <c r="H67"/>
  <c r="H69"/>
  <c r="I51" i="18"/>
  <c r="H69"/>
  <c r="I52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H57"/>
  <c r="I61"/>
  <c r="H65"/>
  <c r="I66"/>
  <c r="H67"/>
  <c r="I68"/>
  <c r="I80"/>
  <c r="I87"/>
  <c r="I68" i="17"/>
  <c r="I66"/>
  <c r="I65"/>
  <c r="I69"/>
  <c r="I67"/>
  <c r="H91"/>
  <c r="I30"/>
  <c r="I32"/>
  <c r="I31"/>
  <c r="H80"/>
  <c r="F81"/>
  <c r="H81" s="1"/>
  <c r="H82" s="1"/>
  <c r="H20"/>
  <c r="H16"/>
  <c r="H61"/>
  <c r="H77" s="1"/>
  <c r="H17"/>
  <c r="H18"/>
  <c r="H21"/>
  <c r="I26"/>
  <c r="H27"/>
  <c r="H39"/>
  <c r="I40"/>
  <c r="H41"/>
  <c r="I42"/>
  <c r="I50"/>
  <c r="I57"/>
  <c r="I81"/>
  <c r="I87"/>
  <c r="I91"/>
  <c r="I90" i="26" l="1"/>
  <c r="I90" i="25"/>
  <c r="I82" i="23"/>
  <c r="I91" s="1"/>
  <c r="I87" i="22"/>
  <c r="I82"/>
  <c r="H77"/>
  <c r="I82" i="21"/>
  <c r="H77"/>
  <c r="I93"/>
  <c r="I82" i="20"/>
  <c r="H77"/>
  <c r="I89"/>
  <c r="I82" i="19"/>
  <c r="H77"/>
  <c r="I93"/>
  <c r="I82" i="18"/>
  <c r="H77"/>
  <c r="I89"/>
  <c r="I89" i="22" l="1"/>
  <c r="G87" i="16" l="1"/>
  <c r="G89" i="8"/>
  <c r="G82"/>
  <c r="E31"/>
  <c r="G82" i="16"/>
  <c r="G91" i="8" l="1"/>
  <c r="G89" i="16"/>
  <c r="E31"/>
</calcChain>
</file>

<file path=xl/sharedStrings.xml><?xml version="1.0" encoding="utf-8"?>
<sst xmlns="http://schemas.openxmlformats.org/spreadsheetml/2006/main" count="2641" uniqueCount="239">
  <si>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</si>
  <si>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</si>
  <si>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</si>
  <si>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</si>
  <si>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</si>
  <si>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</si>
  <si>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</si>
  <si>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</si>
  <si>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</si>
  <si>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</si>
  <si>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</si>
  <si>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</si>
  <si>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</si>
  <si>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</si>
  <si>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</si>
  <si>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</si>
  <si>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</si>
  <si>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</si>
  <si>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</si>
  <si>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</si>
  <si>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</si>
  <si>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</si>
  <si>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</si>
  <si>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</si>
  <si>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</si>
  <si>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</si>
  <si>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</si>
  <si>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</si>
  <si>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</si>
  <si>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</si>
  <si>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</si>
  <si>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</si>
  <si>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</si>
  <si>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</si>
  <si>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</si>
  <si>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</si>
  <si>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</si>
  <si>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</si>
  <si>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</si>
  <si>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</si>
  <si>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</si>
  <si>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</si>
  <si>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</si>
  <si>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</si>
  <si>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</si>
  <si>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</si>
  <si>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</si>
  <si>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</si>
  <si>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</si>
  <si>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</si>
  <si>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</si>
  <si>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</si>
  <si>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</si>
  <si>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</si>
  <si>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</si>
  <si>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</si>
  <si>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</si>
  <si>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</si>
  <si>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</si>
  <si>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</si>
  <si>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</si>
  <si>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</si>
  <si>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</si>
  <si>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</si>
  <si>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</si>
  <si>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</si>
  <si>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Проведение технических осмотров и мелкий ремонт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</si>
  <si>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</si>
  <si>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</si>
  <si>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</si>
  <si>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</si>
  <si>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</si>
  <si>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</si>
  <si>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</si>
  <si>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</si>
  <si>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</si>
  <si>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</si>
  <si>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</si>
  <si>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</si>
  <si>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</si>
  <si>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</si>
  <si>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</si>
  <si>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</si>
  <si>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</si>
  <si>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</si>
  <si>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</si>
  <si>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</si>
  <si>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</si>
  <si>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</si>
  <si>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</si>
  <si>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</si>
  <si>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</si>
  <si>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</si>
  <si>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</si>
  <si>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</si>
  <si>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</si>
  <si>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</si>
  <si>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</si>
  <si>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</si>
  <si>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</si>
  <si>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</si>
  <si>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ООО «Жилсервис»</t>
  </si>
  <si>
    <t>АКТ №11</t>
  </si>
  <si>
    <t>за период с 01.11.2016 г. по 30.11.2016 г.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</si>
  <si>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</si>
  <si>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</si>
  <si>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</si>
  <si>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</si>
  <si>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</si>
  <si>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</si>
  <si>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</si>
  <si>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</si>
  <si>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</si>
  <si>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</si>
  <si>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</si>
  <si>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</si>
  <si>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</si>
  <si>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</si>
  <si>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</si>
  <si>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</si>
  <si>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</si>
  <si>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</si>
  <si>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</si>
  <si>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</si>
  <si>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</si>
  <si>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</si>
  <si>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</si>
  <si>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</si>
  <si>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1 раз в месяц (5 раз за сезон)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</si>
  <si>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</si>
  <si>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</si>
  <si>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</si>
  <si>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</si>
  <si>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</si>
  <si>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</si>
  <si>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</si>
  <si>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</si>
  <si>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</si>
  <si>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АКТ №12</t>
  </si>
  <si>
    <t>за период с 01.12.2016 г. по 31.12.2016 г.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</si>
  <si>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</si>
  <si>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</si>
  <si>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</si>
  <si>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ежедневно 365 раз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</si>
  <si>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</si>
  <si>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</si>
  <si>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Прочистка каналов</t>
  </si>
  <si>
    <t xml:space="preserve">2 раза в месяц 24 раза в год </t>
  </si>
  <si>
    <t>Очистка края кровли от слежавшегося снега со сбрасыванием сосулек (10% от S кровли и козырьки)</t>
  </si>
  <si>
    <t xml:space="preserve"> </t>
  </si>
  <si>
    <t>Очистка урн от мусора</t>
  </si>
  <si>
    <t>10 м2</t>
  </si>
  <si>
    <t>Снятие показаний эл.счетчика коммунального назначения</t>
  </si>
  <si>
    <t xml:space="preserve">1 раз в год  </t>
  </si>
  <si>
    <t>20 раз за сезон</t>
  </si>
  <si>
    <t>50 раз за сезон</t>
  </si>
  <si>
    <t>Осмотр шиферной кровли</t>
  </si>
  <si>
    <t>Очистка подвала от чердака</t>
  </si>
  <si>
    <t>Очистка подвала от мусора</t>
  </si>
  <si>
    <t>Внеплановый осмотр электросетей, армазуры и электрооборудования на лестничных клетках</t>
  </si>
  <si>
    <t>Смена стекол в деревянных переплетах при площади стекла до 1,0 м2</t>
  </si>
  <si>
    <t>Очистка подъезда №1 после пожара от сажи</t>
  </si>
  <si>
    <t>тыс.руб.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</si>
  <si>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ул.Строительная пгт.Ярега
</t>
  </si>
  <si>
    <t>Очистка стены от наледи</t>
  </si>
  <si>
    <t>2. Всего за период с 01.12.2016 по 31.12.2016 выполнено работ (оказано услуг) на общую сумму: 62829,35 руб.</t>
  </si>
  <si>
    <t>(шестьдесят две тысячи восемьсот двадцать девять рублей 35 копеек)</t>
  </si>
  <si>
    <t>Смена вентилей диаметром до 32 мм (без учёта материала)</t>
  </si>
  <si>
    <t>1 шт</t>
  </si>
  <si>
    <t>2. Всего за период с 01.11.2016 по 30.11.2016 выполнено работ (оказано услуг) на общую сумму: 51771,58 руб.</t>
  </si>
  <si>
    <t>(пятьдесят одна тысяча семьсот семьдесят один рубль 58 копеек)</t>
  </si>
  <si>
    <r>
      <t xml:space="preserve">    Собственники помещений в многоквартирном доме, расположенном по адресу: пгт.Ярега, ул.Строительная, д.11,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29.12.2012г.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</si>
  <si>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11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д.11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</si>
  <si>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</si>
  <si>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</si>
  <si>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</si>
  <si>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</si>
  <si>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III. Содержание общего имущества МКД</t>
  </si>
  <si>
    <t>IV. Прочие услуги</t>
  </si>
  <si>
    <t>АКТ №1</t>
  </si>
  <si>
    <t>по мере необходимости</t>
  </si>
  <si>
    <t>Замена прокладки</t>
  </si>
  <si>
    <t>Внеплановый осмотр элекгросетей, арматуры и электрооборудования на чердаках и подвалах</t>
  </si>
  <si>
    <t>Внеплановый осмотр вводных электрических щитков</t>
  </si>
  <si>
    <t>100шт</t>
  </si>
  <si>
    <t>Ремонт поверхности кирпичных стен при глубине заделки в 1 кирпич площадью в одном месте до 1 м2</t>
  </si>
  <si>
    <t>Окраска известковыми составами по штукатурке помещений площадью более 5 м2</t>
  </si>
  <si>
    <t>Смена арматуры - вентилей и клапанов обратных муфтовых диаметром до 20 мм</t>
  </si>
  <si>
    <t>Работа автовышки</t>
  </si>
  <si>
    <t>маш/час</t>
  </si>
  <si>
    <t xml:space="preserve">Смена тройников диаметром до 20 мм </t>
  </si>
  <si>
    <t xml:space="preserve">Смена тройников диаметром до 32 мм </t>
  </si>
  <si>
    <t>2 шт</t>
  </si>
  <si>
    <t>Смена арматуры - вентилей и клапанов обратных муфтовых диаметром до 32 мм</t>
  </si>
  <si>
    <t>Устройство хомута диаметром до 50 мм</t>
  </si>
  <si>
    <t>Смена светодиодных светильников</t>
  </si>
  <si>
    <t>Замена кран-буксы</t>
  </si>
  <si>
    <t xml:space="preserve">Смена сгонов у трубопроводов диаметром до 20 мм </t>
  </si>
  <si>
    <t>1 сгон</t>
  </si>
  <si>
    <t>Настройка таймера освещения ТО-2</t>
  </si>
  <si>
    <t>Ремонт ограждений контейнерной площадки</t>
  </si>
  <si>
    <t>Смена патронов</t>
  </si>
  <si>
    <t>Прочистка засоров ГВС, XВC</t>
  </si>
  <si>
    <t>3м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</si>
  <si>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</si>
  <si>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</si>
  <si>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Ремонт штукатурки потолков по камню и бетону цементно-известковым раствором площадью до 1 м2 толщиной слоя до 20 мм</t>
  </si>
  <si>
    <t>Смена внутренних трубопроводов из стальных труб диаметром до 32 мм</t>
  </si>
  <si>
    <t>Ремонт дверных полотен</t>
  </si>
  <si>
    <t>5 раз в год</t>
  </si>
  <si>
    <t>2. Всего за период с 01.01.2016 по 31.01.2016 выполнено работ (оказано услуг) на общую сумму: 63255,84 руб.</t>
  </si>
  <si>
    <t>(шестьдесят три тысячи двести пятьдесят пять рублей 84 копейки)</t>
  </si>
  <si>
    <t>АКТ №2</t>
  </si>
  <si>
    <t>2. Всего за период с 01.02.2016 по 29.02.2016 выполнено работ (оказано услуг) на общую сумму: 56038,32 руб.</t>
  </si>
  <si>
    <t>(пятьдесят шесть тысяч тридцать восемь рублей 32 копейки)</t>
  </si>
  <si>
    <t>АКТ №3</t>
  </si>
  <si>
    <t>2. Всего за период с 01.03.2016 по 31.03.2016 выполнено работ (оказано услуг) на общую сумму: 66746,58 руб.</t>
  </si>
  <si>
    <t>(шестьдесят тшесть тысяч семьсот сорок шесть рублей 58 копеек)</t>
  </si>
  <si>
    <t>АКТ №4</t>
  </si>
  <si>
    <t>2. Всего за период с 01.04.2016 по 30.04.2016 выполнено работ (оказано услуг) на общую сумму: 62925,87 руб.</t>
  </si>
  <si>
    <t>(шестьдесят две тысячи девятьсот двадцать пять рублей 87 копеек)</t>
  </si>
  <si>
    <t>АКТ №5</t>
  </si>
  <si>
    <t>2. Всего за период с 01.05.2016 по 31.05.2016 выполнено работ (оказано услуг) на общую сумму: 135497,39 руб.</t>
  </si>
  <si>
    <t>(сто тридцать пять тысяч четыреста девяносто семь рублей 39 копеек)</t>
  </si>
  <si>
    <t>АКТ №6</t>
  </si>
  <si>
    <t>2. Всего за период с 01.06.2016 по 30.06.2016 выполнено работ (оказано услуг) на общую сумму: 44048,16 руб.</t>
  </si>
  <si>
    <t>(сорок четыре тысячи сорок восемь рублей 16 копеек)</t>
  </si>
  <si>
    <t>АКТ №7</t>
  </si>
  <si>
    <t>2. Всего за период с 01.07.2016 по 31.07.2016 выполнено работ (оказано услуг) на общую сумму: 47284,11 руб.</t>
  </si>
  <si>
    <t>(сорок семь тысяч двести восемьдесят четыре рубля 11 копеек)</t>
  </si>
  <si>
    <t>АКТ №8</t>
  </si>
  <si>
    <t>2. Всего за период с 01.08.2016 по 31.08.2016 выполнено работ (оказано услуг) на общую сумму: 51600,19 руб.</t>
  </si>
  <si>
    <t>(пятьдесят одна тысяча шестьсот рублей 19 копеек)</t>
  </si>
  <si>
    <t>АКТ №9</t>
  </si>
  <si>
    <t>2. Всего за период с 01.09.2016 по 30.09.2016 выполнено работ (оказано услуг) на общую сумму: 55972,29 руб.</t>
  </si>
  <si>
    <t>(пятьдесят пять тысяч девятьсот семьдесят два рубля 29 копеек)</t>
  </si>
  <si>
    <t>АКТ №10</t>
  </si>
  <si>
    <t>2. Всего за период с 01.10.2016 по 31.10.2016 выполнено работ (оказано услуг) на общую сумму: 45743,83 руб.</t>
  </si>
  <si>
    <t>(сорок пять тысяч семьсот сорок три рубля 83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</si>
</sst>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1" fillId="5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4" fillId="0" borderId="7" xfId="0" applyFont="1" applyBorder="1"/>
    <xf numFmtId="0" fontId="14" fillId="0" borderId="7" xfId="0" applyFont="1" applyBorder="1" applyAlignment="1"/>
    <xf numFmtId="2" fontId="14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4" fontId="11" fillId="2" borderId="1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179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86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42400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hidden="1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hidden="1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hidden="1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hidden="1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hidden="1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174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customHeight="1">
      <c r="A57" s="38">
        <v>16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17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hidden="1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175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18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19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I16+I17+I18+I20+I21+I26+I27+I38+I39+I40+I41+I42+I43+I50+I54+I57+I61+I80+I81</f>
        <v>57959.596919333329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20</v>
      </c>
      <c r="B84" s="82" t="s">
        <v>181</v>
      </c>
      <c r="C84" s="100" t="s">
        <v>168</v>
      </c>
      <c r="D84" s="176"/>
      <c r="E84" s="177"/>
      <c r="F84" s="177">
        <v>1</v>
      </c>
      <c r="G84" s="178">
        <v>251.02</v>
      </c>
      <c r="H84" s="169">
        <f>SUM(F84*G84/1000)</f>
        <v>0.25102000000000002</v>
      </c>
      <c r="I84" s="178">
        <f>G84</f>
        <v>251.02</v>
      </c>
    </row>
    <row r="85" spans="1:9" ht="15.75" customHeight="1">
      <c r="A85" s="38">
        <v>21</v>
      </c>
      <c r="B85" s="82" t="s">
        <v>152</v>
      </c>
      <c r="C85" s="155" t="s">
        <v>129</v>
      </c>
      <c r="D85" s="166"/>
      <c r="E85" s="167"/>
      <c r="F85" s="168">
        <v>732</v>
      </c>
      <c r="G85" s="178">
        <v>50.68</v>
      </c>
      <c r="H85" s="169">
        <f>SUM(F85*G85/1000)</f>
        <v>37.097760000000001</v>
      </c>
      <c r="I85" s="178">
        <f>G85*61</f>
        <v>3091.48</v>
      </c>
    </row>
    <row r="86" spans="1:9" ht="31.5" customHeight="1">
      <c r="A86" s="38">
        <v>22</v>
      </c>
      <c r="B86" s="82" t="s">
        <v>159</v>
      </c>
      <c r="C86" s="100" t="s">
        <v>39</v>
      </c>
      <c r="D86" s="18"/>
      <c r="E86" s="23"/>
      <c r="F86" s="16">
        <f>2/100</f>
        <v>0.02</v>
      </c>
      <c r="G86" s="16">
        <v>3397.65</v>
      </c>
      <c r="H86" s="169">
        <f>SUM(F86*G86/1000)</f>
        <v>6.7953E-2</v>
      </c>
      <c r="I86" s="178">
        <f>G86*0.01</f>
        <v>33.976500000000001</v>
      </c>
    </row>
    <row r="87" spans="1:9" ht="31.5" customHeight="1">
      <c r="A87" s="38">
        <v>23</v>
      </c>
      <c r="B87" s="82" t="s">
        <v>182</v>
      </c>
      <c r="C87" s="100" t="s">
        <v>29</v>
      </c>
      <c r="D87" s="18"/>
      <c r="E87" s="23"/>
      <c r="F87" s="21">
        <f>1/1000</f>
        <v>1E-3</v>
      </c>
      <c r="G87" s="16">
        <v>1510.06</v>
      </c>
      <c r="H87" s="179">
        <f t="shared" ref="H87:H88" si="8">SUM(F87*G87/1000)</f>
        <v>1.5100599999999999E-3</v>
      </c>
      <c r="I87" s="178">
        <f>G87*F87</f>
        <v>1.51006</v>
      </c>
    </row>
    <row r="88" spans="1:9" ht="15.75" customHeight="1">
      <c r="A88" s="38">
        <v>24</v>
      </c>
      <c r="B88" s="82" t="s">
        <v>183</v>
      </c>
      <c r="C88" s="100" t="s">
        <v>184</v>
      </c>
      <c r="D88" s="18"/>
      <c r="E88" s="23"/>
      <c r="F88" s="16">
        <f>1/100</f>
        <v>0.01</v>
      </c>
      <c r="G88" s="16">
        <v>7033.13</v>
      </c>
      <c r="H88" s="169">
        <f t="shared" si="8"/>
        <v>7.0331299999999999E-2</v>
      </c>
      <c r="I88" s="178">
        <f>G88*0.01</f>
        <v>70.331299999999999</v>
      </c>
    </row>
    <row r="89" spans="1:9" ht="31.5" customHeight="1">
      <c r="A89" s="38">
        <v>25</v>
      </c>
      <c r="B89" s="82" t="s">
        <v>87</v>
      </c>
      <c r="C89" s="100" t="s">
        <v>31</v>
      </c>
      <c r="D89" s="180"/>
      <c r="E89" s="23"/>
      <c r="F89" s="181">
        <v>4</v>
      </c>
      <c r="G89" s="16">
        <v>79.09</v>
      </c>
      <c r="H89" s="181">
        <f>G89*F89/1000</f>
        <v>0.31636000000000003</v>
      </c>
      <c r="I89" s="178">
        <f>G89</f>
        <v>79.09</v>
      </c>
    </row>
    <row r="90" spans="1:9" ht="31.5" customHeight="1">
      <c r="A90" s="38">
        <v>26</v>
      </c>
      <c r="B90" s="182" t="s">
        <v>185</v>
      </c>
      <c r="C90" s="38" t="s">
        <v>115</v>
      </c>
      <c r="D90" s="180"/>
      <c r="E90" s="23"/>
      <c r="F90" s="181">
        <f>0.6/10</f>
        <v>0.06</v>
      </c>
      <c r="G90" s="16">
        <v>27163.200000000001</v>
      </c>
      <c r="H90" s="181">
        <f t="shared" ref="H90:H98" si="9">G90*F90/1000</f>
        <v>1.6297919999999999</v>
      </c>
      <c r="I90" s="178">
        <f>G90*0.06</f>
        <v>1629.7919999999999</v>
      </c>
    </row>
    <row r="91" spans="1:9" ht="31.5" customHeight="1">
      <c r="A91" s="38">
        <v>27</v>
      </c>
      <c r="B91" s="82" t="s">
        <v>186</v>
      </c>
      <c r="C91" s="106" t="s">
        <v>151</v>
      </c>
      <c r="D91" s="180"/>
      <c r="E91" s="23"/>
      <c r="F91" s="181">
        <f>1.2/10</f>
        <v>0.12</v>
      </c>
      <c r="G91" s="16">
        <f>1158.67</f>
        <v>1158.67</v>
      </c>
      <c r="H91" s="181">
        <f t="shared" si="9"/>
        <v>0.13904040000000001</v>
      </c>
      <c r="I91" s="178">
        <f>G91*0.12</f>
        <v>139.04040000000001</v>
      </c>
    </row>
    <row r="92" spans="1:9" ht="31.5" hidden="1" customHeight="1">
      <c r="A92" s="38"/>
      <c r="B92" s="82" t="s">
        <v>187</v>
      </c>
      <c r="C92" s="100" t="s">
        <v>168</v>
      </c>
      <c r="D92" s="180"/>
      <c r="E92" s="23"/>
      <c r="F92" s="181">
        <v>4</v>
      </c>
      <c r="G92" s="16">
        <v>559.62</v>
      </c>
      <c r="H92" s="181">
        <f t="shared" si="9"/>
        <v>2.23848</v>
      </c>
      <c r="I92" s="178">
        <v>0</v>
      </c>
    </row>
    <row r="93" spans="1:9" ht="15.75" hidden="1" customHeight="1">
      <c r="A93" s="38"/>
      <c r="B93" s="82" t="s">
        <v>188</v>
      </c>
      <c r="C93" s="100" t="s">
        <v>189</v>
      </c>
      <c r="D93" s="180"/>
      <c r="E93" s="23"/>
      <c r="F93" s="181">
        <v>1.5</v>
      </c>
      <c r="G93" s="16">
        <v>1501</v>
      </c>
      <c r="H93" s="183">
        <f t="shared" si="9"/>
        <v>2.2515000000000001</v>
      </c>
      <c r="I93" s="178">
        <v>0</v>
      </c>
    </row>
    <row r="94" spans="1:9" ht="15.75" hidden="1" customHeight="1">
      <c r="A94" s="38"/>
      <c r="B94" s="82" t="s">
        <v>190</v>
      </c>
      <c r="C94" s="100" t="s">
        <v>168</v>
      </c>
      <c r="D94" s="180"/>
      <c r="E94" s="23"/>
      <c r="F94" s="181">
        <v>1</v>
      </c>
      <c r="G94" s="16">
        <v>195.95</v>
      </c>
      <c r="H94" s="183">
        <f t="shared" si="9"/>
        <v>0.19594999999999999</v>
      </c>
      <c r="I94" s="178">
        <v>0</v>
      </c>
    </row>
    <row r="95" spans="1:9" ht="15.75" hidden="1" customHeight="1">
      <c r="A95" s="38"/>
      <c r="B95" s="82" t="s">
        <v>191</v>
      </c>
      <c r="C95" s="100" t="s">
        <v>192</v>
      </c>
      <c r="D95" s="180"/>
      <c r="E95" s="23"/>
      <c r="F95" s="181">
        <v>1</v>
      </c>
      <c r="G95" s="16">
        <v>290.67</v>
      </c>
      <c r="H95" s="183">
        <f t="shared" si="9"/>
        <v>0.29067000000000004</v>
      </c>
      <c r="I95" s="178">
        <v>0</v>
      </c>
    </row>
    <row r="96" spans="1:9" ht="31.5" hidden="1" customHeight="1">
      <c r="A96" s="38"/>
      <c r="B96" s="82" t="s">
        <v>193</v>
      </c>
      <c r="C96" s="100" t="s">
        <v>168</v>
      </c>
      <c r="D96" s="180"/>
      <c r="E96" s="23"/>
      <c r="F96" s="181">
        <v>2</v>
      </c>
      <c r="G96" s="16">
        <v>762.37</v>
      </c>
      <c r="H96" s="181">
        <f t="shared" si="9"/>
        <v>1.52474</v>
      </c>
      <c r="I96" s="178">
        <v>0</v>
      </c>
    </row>
    <row r="97" spans="1:9" ht="15.75" hidden="1" customHeight="1">
      <c r="A97" s="38"/>
      <c r="B97" s="82" t="s">
        <v>194</v>
      </c>
      <c r="C97" s="100" t="s">
        <v>98</v>
      </c>
      <c r="D97" s="180"/>
      <c r="E97" s="23"/>
      <c r="F97" s="181">
        <v>4</v>
      </c>
      <c r="G97" s="16">
        <v>185.81</v>
      </c>
      <c r="H97" s="183">
        <f t="shared" si="9"/>
        <v>0.74324000000000001</v>
      </c>
      <c r="I97" s="178">
        <v>0</v>
      </c>
    </row>
    <row r="98" spans="1:9" ht="31.5" hidden="1" customHeight="1">
      <c r="A98" s="38"/>
      <c r="B98" s="182" t="s">
        <v>185</v>
      </c>
      <c r="C98" s="38" t="s">
        <v>115</v>
      </c>
      <c r="D98" s="180"/>
      <c r="E98" s="23"/>
      <c r="F98" s="181">
        <f>0.27/10</f>
        <v>2.7000000000000003E-2</v>
      </c>
      <c r="G98" s="16">
        <v>39222.99</v>
      </c>
      <c r="H98" s="183">
        <f t="shared" si="9"/>
        <v>1.0590207299999999</v>
      </c>
      <c r="I98" s="178">
        <v>0</v>
      </c>
    </row>
    <row r="99" spans="1:9" ht="15.75" hidden="1" customHeight="1">
      <c r="A99" s="38"/>
      <c r="B99" s="82" t="s">
        <v>195</v>
      </c>
      <c r="C99" s="100" t="s">
        <v>129</v>
      </c>
      <c r="D99" s="18"/>
      <c r="E99" s="23"/>
      <c r="F99" s="16">
        <v>1</v>
      </c>
      <c r="G99" s="16">
        <v>1027.21</v>
      </c>
      <c r="H99" s="171">
        <f>G99*F99/1000</f>
        <v>1.02721</v>
      </c>
      <c r="I99" s="16">
        <v>0</v>
      </c>
    </row>
    <row r="100" spans="1:9" ht="15.75" hidden="1" customHeight="1">
      <c r="A100" s="38"/>
      <c r="B100" s="82" t="s">
        <v>196</v>
      </c>
      <c r="C100" s="100" t="s">
        <v>168</v>
      </c>
      <c r="D100" s="180"/>
      <c r="E100" s="23"/>
      <c r="F100" s="181">
        <v>1</v>
      </c>
      <c r="G100" s="16">
        <v>332.87</v>
      </c>
      <c r="H100" s="181">
        <f>G100*F100/1000</f>
        <v>0.33287</v>
      </c>
      <c r="I100" s="178">
        <v>0</v>
      </c>
    </row>
    <row r="101" spans="1:9" ht="15.75" hidden="1" customHeight="1">
      <c r="A101" s="38"/>
      <c r="B101" s="82" t="s">
        <v>197</v>
      </c>
      <c r="C101" s="100" t="s">
        <v>198</v>
      </c>
      <c r="D101" s="18"/>
      <c r="E101" s="23"/>
      <c r="F101" s="16">
        <v>1</v>
      </c>
      <c r="G101" s="16">
        <v>195.95</v>
      </c>
      <c r="H101" s="181">
        <f t="shared" ref="H101:H112" si="10">G101*F101/1000</f>
        <v>0.19594999999999999</v>
      </c>
      <c r="I101" s="16">
        <v>0</v>
      </c>
    </row>
    <row r="102" spans="1:9" ht="15.75" hidden="1" customHeight="1">
      <c r="A102" s="38"/>
      <c r="B102" s="82" t="s">
        <v>199</v>
      </c>
      <c r="C102" s="100" t="s">
        <v>184</v>
      </c>
      <c r="D102" s="18"/>
      <c r="E102" s="23"/>
      <c r="F102" s="16">
        <f>1/100</f>
        <v>0.01</v>
      </c>
      <c r="G102" s="16">
        <v>7033.13</v>
      </c>
      <c r="H102" s="181">
        <f t="shared" si="10"/>
        <v>7.0331299999999999E-2</v>
      </c>
      <c r="I102" s="16">
        <v>0</v>
      </c>
    </row>
    <row r="103" spans="1:9" ht="15.75" hidden="1" customHeight="1">
      <c r="A103" s="38"/>
      <c r="B103" s="82" t="s">
        <v>93</v>
      </c>
      <c r="C103" s="100" t="s">
        <v>129</v>
      </c>
      <c r="D103" s="18"/>
      <c r="E103" s="23"/>
      <c r="F103" s="16">
        <v>3</v>
      </c>
      <c r="G103" s="16">
        <v>180.15</v>
      </c>
      <c r="H103" s="181">
        <f t="shared" si="10"/>
        <v>0.5404500000000001</v>
      </c>
      <c r="I103" s="16">
        <v>0</v>
      </c>
    </row>
    <row r="104" spans="1:9" ht="15.75" hidden="1" customHeight="1">
      <c r="A104" s="38"/>
      <c r="B104" s="153" t="s">
        <v>99</v>
      </c>
      <c r="C104" s="100" t="s">
        <v>129</v>
      </c>
      <c r="D104" s="180"/>
      <c r="E104" s="23"/>
      <c r="F104" s="181">
        <v>3</v>
      </c>
      <c r="G104" s="16">
        <v>179.96</v>
      </c>
      <c r="H104" s="181">
        <f t="shared" si="10"/>
        <v>0.53988000000000003</v>
      </c>
      <c r="I104" s="178">
        <v>0</v>
      </c>
    </row>
    <row r="105" spans="1:9" ht="15.75" hidden="1" customHeight="1">
      <c r="A105" s="38"/>
      <c r="B105" s="153" t="s">
        <v>200</v>
      </c>
      <c r="C105" s="100" t="s">
        <v>162</v>
      </c>
      <c r="D105" s="180"/>
      <c r="E105" s="23"/>
      <c r="F105" s="181">
        <v>1</v>
      </c>
      <c r="G105" s="16">
        <v>424</v>
      </c>
      <c r="H105" s="181">
        <f t="shared" si="10"/>
        <v>0.42399999999999999</v>
      </c>
      <c r="I105" s="178">
        <v>0</v>
      </c>
    </row>
    <row r="106" spans="1:9" ht="15.75" hidden="1" customHeight="1">
      <c r="A106" s="38"/>
      <c r="B106" s="82" t="s">
        <v>201</v>
      </c>
      <c r="C106" s="100" t="s">
        <v>129</v>
      </c>
      <c r="D106" s="180"/>
      <c r="E106" s="23"/>
      <c r="F106" s="181">
        <v>1</v>
      </c>
      <c r="G106" s="16">
        <v>149.63999999999999</v>
      </c>
      <c r="H106" s="181">
        <f t="shared" si="10"/>
        <v>0.14964</v>
      </c>
      <c r="I106" s="178">
        <v>0</v>
      </c>
    </row>
    <row r="107" spans="1:9" ht="15.75" hidden="1" customHeight="1">
      <c r="A107" s="38"/>
      <c r="B107" s="154" t="s">
        <v>202</v>
      </c>
      <c r="C107" s="155" t="s">
        <v>203</v>
      </c>
      <c r="D107" s="180"/>
      <c r="E107" s="23"/>
      <c r="F107" s="181">
        <f>7/3</f>
        <v>2.3333333333333335</v>
      </c>
      <c r="G107" s="16">
        <v>1063.47</v>
      </c>
      <c r="H107" s="181">
        <f t="shared" si="10"/>
        <v>2.4814300000000005</v>
      </c>
      <c r="I107" s="178">
        <v>0</v>
      </c>
    </row>
    <row r="108" spans="1:9" ht="31.5" hidden="1" customHeight="1">
      <c r="A108" s="38"/>
      <c r="B108" s="82" t="s">
        <v>204</v>
      </c>
      <c r="C108" s="100" t="s">
        <v>205</v>
      </c>
      <c r="D108" s="18"/>
      <c r="E108" s="23"/>
      <c r="F108" s="16">
        <v>2</v>
      </c>
      <c r="G108" s="16">
        <v>51.39</v>
      </c>
      <c r="H108" s="181">
        <f t="shared" si="10"/>
        <v>0.10278</v>
      </c>
      <c r="I108" s="178">
        <v>0</v>
      </c>
    </row>
    <row r="109" spans="1:9" ht="31.5" hidden="1" customHeight="1">
      <c r="A109" s="38"/>
      <c r="B109" s="82" t="s">
        <v>206</v>
      </c>
      <c r="C109" s="100" t="s">
        <v>151</v>
      </c>
      <c r="D109" s="180"/>
      <c r="E109" s="23"/>
      <c r="F109" s="181">
        <f>1.6/10</f>
        <v>0.16</v>
      </c>
      <c r="G109" s="16">
        <v>12132.03</v>
      </c>
      <c r="H109" s="181">
        <f t="shared" si="10"/>
        <v>1.9411248000000001</v>
      </c>
      <c r="I109" s="178">
        <v>0</v>
      </c>
    </row>
    <row r="110" spans="1:9" ht="31.5" hidden="1" customHeight="1">
      <c r="A110" s="38"/>
      <c r="B110" s="82" t="s">
        <v>207</v>
      </c>
      <c r="C110" s="100" t="s">
        <v>90</v>
      </c>
      <c r="D110" s="180"/>
      <c r="E110" s="23"/>
      <c r="F110" s="181">
        <v>1</v>
      </c>
      <c r="G110" s="16">
        <v>994.03</v>
      </c>
      <c r="H110" s="181">
        <f t="shared" si="10"/>
        <v>0.99402999999999997</v>
      </c>
      <c r="I110" s="178">
        <v>0</v>
      </c>
    </row>
    <row r="111" spans="1:9" ht="31.5" hidden="1" customHeight="1">
      <c r="A111" s="38"/>
      <c r="B111" s="82" t="s">
        <v>160</v>
      </c>
      <c r="C111" s="106" t="s">
        <v>151</v>
      </c>
      <c r="D111" s="180"/>
      <c r="E111" s="23"/>
      <c r="F111" s="181">
        <f>1.295/10</f>
        <v>0.1295</v>
      </c>
      <c r="G111" s="16">
        <v>8916.31</v>
      </c>
      <c r="H111" s="181">
        <f t="shared" si="10"/>
        <v>1.1546621450000001</v>
      </c>
      <c r="I111" s="178">
        <v>0</v>
      </c>
    </row>
    <row r="112" spans="1:9" ht="15.75" hidden="1" customHeight="1">
      <c r="A112" s="38"/>
      <c r="B112" s="82" t="s">
        <v>208</v>
      </c>
      <c r="C112" s="106" t="s">
        <v>168</v>
      </c>
      <c r="D112" s="180"/>
      <c r="E112" s="23"/>
      <c r="F112" s="181">
        <v>1</v>
      </c>
      <c r="G112" s="16">
        <v>811.24</v>
      </c>
      <c r="H112" s="181">
        <f t="shared" si="10"/>
        <v>0.81123999999999996</v>
      </c>
      <c r="I112" s="178">
        <v>0</v>
      </c>
    </row>
    <row r="113" spans="1:9" ht="15.75" customHeight="1">
      <c r="A113" s="38"/>
      <c r="B113" s="61" t="s">
        <v>52</v>
      </c>
      <c r="C113" s="57"/>
      <c r="D113" s="71"/>
      <c r="E113" s="57">
        <v>1</v>
      </c>
      <c r="F113" s="57"/>
      <c r="G113" s="57"/>
      <c r="H113" s="57"/>
      <c r="I113" s="40">
        <f>SUM(I84:I112)</f>
        <v>5296.2402600000005</v>
      </c>
    </row>
    <row r="114" spans="1:9" ht="15.75" customHeight="1">
      <c r="A114" s="38"/>
      <c r="B114" s="67" t="s">
        <v>85</v>
      </c>
      <c r="C114" s="19"/>
      <c r="D114" s="19"/>
      <c r="E114" s="58"/>
      <c r="F114" s="58"/>
      <c r="G114" s="59"/>
      <c r="H114" s="59"/>
      <c r="I114" s="22">
        <v>0</v>
      </c>
    </row>
    <row r="115" spans="1:9" ht="15.75" customHeight="1">
      <c r="A115" s="72"/>
      <c r="B115" s="62" t="s">
        <v>53</v>
      </c>
      <c r="C115" s="46"/>
      <c r="D115" s="46"/>
      <c r="E115" s="46"/>
      <c r="F115" s="46"/>
      <c r="G115" s="46"/>
      <c r="H115" s="46"/>
      <c r="I115" s="60">
        <f>I82+I113</f>
        <v>63255.837179333328</v>
      </c>
    </row>
    <row r="116" spans="1:9" ht="15.75" customHeight="1">
      <c r="A116" s="146" t="s">
        <v>210</v>
      </c>
      <c r="B116" s="146"/>
      <c r="C116" s="146"/>
      <c r="D116" s="146"/>
      <c r="E116" s="146"/>
      <c r="F116" s="146"/>
      <c r="G116" s="146"/>
      <c r="H116" s="146"/>
      <c r="I116" s="146"/>
    </row>
    <row r="117" spans="1:9" ht="15.75" customHeight="1">
      <c r="A117" s="118"/>
      <c r="B117" s="147" t="s">
        <v>211</v>
      </c>
      <c r="C117" s="147"/>
      <c r="D117" s="147"/>
      <c r="E117" s="147"/>
      <c r="F117" s="147"/>
      <c r="G117" s="147"/>
      <c r="H117" s="152"/>
      <c r="I117" s="3"/>
    </row>
    <row r="118" spans="1:9">
      <c r="A118" s="73"/>
      <c r="B118" s="133" t="s">
        <v>6</v>
      </c>
      <c r="C118" s="133"/>
      <c r="D118" s="133"/>
      <c r="E118" s="133"/>
      <c r="F118" s="133"/>
      <c r="G118" s="133"/>
      <c r="H118" s="33"/>
      <c r="I118" s="74"/>
    </row>
    <row r="119" spans="1:9" ht="15.75" customHeight="1">
      <c r="A119" s="110"/>
      <c r="B119" s="110"/>
      <c r="C119" s="110"/>
      <c r="D119" s="110"/>
      <c r="E119" s="110"/>
      <c r="F119" s="110"/>
      <c r="G119" s="110"/>
      <c r="H119" s="110"/>
      <c r="I119" s="110"/>
    </row>
    <row r="120" spans="1:9" ht="15.75" customHeight="1">
      <c r="A120" s="130" t="s">
        <v>7</v>
      </c>
      <c r="B120" s="130"/>
      <c r="C120" s="130"/>
      <c r="D120" s="130"/>
      <c r="E120" s="130"/>
      <c r="F120" s="130"/>
      <c r="G120" s="130"/>
      <c r="H120" s="130"/>
      <c r="I120" s="130"/>
    </row>
    <row r="121" spans="1:9" ht="15.75" customHeight="1">
      <c r="A121" s="130" t="s">
        <v>8</v>
      </c>
      <c r="B121" s="130"/>
      <c r="C121" s="130"/>
      <c r="D121" s="130"/>
      <c r="E121" s="130"/>
      <c r="F121" s="130"/>
      <c r="G121" s="130"/>
      <c r="H121" s="130"/>
      <c r="I121" s="130"/>
    </row>
    <row r="122" spans="1:9" ht="15.75" customHeight="1">
      <c r="A122" s="126" t="s">
        <v>64</v>
      </c>
      <c r="B122" s="126"/>
      <c r="C122" s="126"/>
      <c r="D122" s="126"/>
      <c r="E122" s="126"/>
      <c r="F122" s="126"/>
      <c r="G122" s="126"/>
      <c r="H122" s="126"/>
      <c r="I122" s="126"/>
    </row>
    <row r="123" spans="1:9" ht="15.75" customHeight="1">
      <c r="A123" s="11"/>
    </row>
    <row r="124" spans="1:9" ht="15.75" customHeight="1">
      <c r="A124" s="132" t="s">
        <v>9</v>
      </c>
      <c r="B124" s="132"/>
      <c r="C124" s="132"/>
      <c r="D124" s="132"/>
      <c r="E124" s="132"/>
      <c r="F124" s="132"/>
      <c r="G124" s="132"/>
      <c r="H124" s="132"/>
      <c r="I124" s="132"/>
    </row>
    <row r="125" spans="1:9" ht="15.75" customHeight="1">
      <c r="A125" s="4"/>
    </row>
    <row r="126" spans="1:9" ht="15.75" customHeight="1">
      <c r="B126" s="115" t="s">
        <v>10</v>
      </c>
      <c r="C126" s="144" t="s">
        <v>176</v>
      </c>
      <c r="D126" s="144"/>
      <c r="E126" s="144"/>
      <c r="F126" s="150"/>
      <c r="I126" s="113"/>
    </row>
    <row r="127" spans="1:9" ht="15.75" customHeight="1">
      <c r="A127" s="114"/>
      <c r="C127" s="133" t="s">
        <v>11</v>
      </c>
      <c r="D127" s="133"/>
      <c r="E127" s="133"/>
      <c r="F127" s="33"/>
      <c r="I127" s="112" t="s">
        <v>12</v>
      </c>
    </row>
    <row r="128" spans="1:9" ht="15.75" customHeight="1">
      <c r="A128" s="34"/>
      <c r="C128" s="12"/>
      <c r="D128" s="12"/>
      <c r="G128" s="12"/>
      <c r="H128" s="12"/>
    </row>
    <row r="129" spans="1:9" ht="15.75">
      <c r="B129" s="115" t="s">
        <v>13</v>
      </c>
      <c r="C129" s="134"/>
      <c r="D129" s="134"/>
      <c r="E129" s="134"/>
      <c r="F129" s="151"/>
      <c r="I129" s="113"/>
    </row>
    <row r="130" spans="1:9">
      <c r="A130" s="114"/>
      <c r="C130" s="135" t="s">
        <v>11</v>
      </c>
      <c r="D130" s="135"/>
      <c r="E130" s="135"/>
      <c r="F130" s="114"/>
      <c r="I130" s="112" t="s">
        <v>12</v>
      </c>
    </row>
    <row r="131" spans="1:9" ht="15.75" customHeight="1">
      <c r="A131" s="4" t="s">
        <v>14</v>
      </c>
    </row>
    <row r="132" spans="1:9" ht="15.75" customHeight="1">
      <c r="A132" s="136" t="s">
        <v>15</v>
      </c>
      <c r="B132" s="136"/>
      <c r="C132" s="136"/>
      <c r="D132" s="136"/>
      <c r="E132" s="136"/>
      <c r="F132" s="136"/>
      <c r="G132" s="136"/>
      <c r="H132" s="136"/>
      <c r="I132" s="136"/>
    </row>
    <row r="133" spans="1:9" ht="45" customHeight="1">
      <c r="A133" s="131" t="s">
        <v>16</v>
      </c>
      <c r="B133" s="131"/>
      <c r="C133" s="131"/>
      <c r="D133" s="131"/>
      <c r="E133" s="131"/>
      <c r="F133" s="131"/>
      <c r="G133" s="131"/>
      <c r="H133" s="131"/>
      <c r="I133" s="131"/>
    </row>
    <row r="134" spans="1:9" ht="30" customHeight="1">
      <c r="A134" s="131" t="s">
        <v>17</v>
      </c>
      <c r="B134" s="131"/>
      <c r="C134" s="131"/>
      <c r="D134" s="131"/>
      <c r="E134" s="131"/>
      <c r="F134" s="131"/>
      <c r="G134" s="131"/>
      <c r="H134" s="131"/>
      <c r="I134" s="131"/>
    </row>
    <row r="135" spans="1:9" ht="30" customHeight="1">
      <c r="A135" s="131" t="s">
        <v>21</v>
      </c>
      <c r="B135" s="131"/>
      <c r="C135" s="131"/>
      <c r="D135" s="131"/>
      <c r="E135" s="131"/>
      <c r="F135" s="131"/>
      <c r="G135" s="131"/>
      <c r="H135" s="131"/>
      <c r="I135" s="131"/>
    </row>
    <row r="136" spans="1:9" ht="15" customHeight="1">
      <c r="A136" s="131" t="s">
        <v>20</v>
      </c>
      <c r="B136" s="131"/>
      <c r="C136" s="131"/>
      <c r="D136" s="131"/>
      <c r="E136" s="131"/>
      <c r="F136" s="131"/>
      <c r="G136" s="131"/>
      <c r="H136" s="131"/>
      <c r="I136" s="131"/>
    </row>
  </sheetData>
  <autoFilter ref="I12:I61"/>
  <mergeCells count="28">
    <mergeCell ref="A132:I132"/>
    <mergeCell ref="A133:I133"/>
    <mergeCell ref="A134:I134"/>
    <mergeCell ref="A135:I135"/>
    <mergeCell ref="A136:I136"/>
    <mergeCell ref="A122:I122"/>
    <mergeCell ref="A124:I124"/>
    <mergeCell ref="C126:E126"/>
    <mergeCell ref="C127:E127"/>
    <mergeCell ref="C129:E129"/>
    <mergeCell ref="C130:E130"/>
    <mergeCell ref="A79:I79"/>
    <mergeCell ref="A116:I116"/>
    <mergeCell ref="B117:G117"/>
    <mergeCell ref="B118:G118"/>
    <mergeCell ref="A120:I120"/>
    <mergeCell ref="A121:I121"/>
    <mergeCell ref="A15:I15"/>
    <mergeCell ref="A28:I28"/>
    <mergeCell ref="A44:I44"/>
    <mergeCell ref="A55:I55"/>
    <mergeCell ref="R66:U66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236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67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42674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hidden="1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hidden="1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hidden="1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hidden="1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hidden="1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hidden="1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hidden="1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hidden="1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hidden="1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hidden="1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177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hidden="1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hidden="1" customHeight="1">
      <c r="A57" s="38">
        <v>12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12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hidden="1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178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13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14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I16+I17+I18+I20+I21+I26+I27+I30+I31+I33+I34+I61+I80+I81</f>
        <v>40576.916538088888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15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31.5" customHeight="1">
      <c r="A85" s="38">
        <v>16</v>
      </c>
      <c r="B85" s="82" t="s">
        <v>207</v>
      </c>
      <c r="C85" s="100" t="s">
        <v>90</v>
      </c>
      <c r="D85" s="180"/>
      <c r="E85" s="23"/>
      <c r="F85" s="181">
        <v>1</v>
      </c>
      <c r="G85" s="16">
        <v>994.03</v>
      </c>
      <c r="H85" s="181">
        <f t="shared" ref="H85:H87" si="8">G85*F85/1000</f>
        <v>0.99402999999999997</v>
      </c>
      <c r="I85" s="178">
        <f>G85</f>
        <v>994.03</v>
      </c>
    </row>
    <row r="86" spans="1:9" ht="31.5" customHeight="1">
      <c r="A86" s="38">
        <v>17</v>
      </c>
      <c r="B86" s="82" t="s">
        <v>160</v>
      </c>
      <c r="C86" s="106" t="s">
        <v>151</v>
      </c>
      <c r="D86" s="180"/>
      <c r="E86" s="23"/>
      <c r="F86" s="181">
        <f>1.295/10</f>
        <v>0.1295</v>
      </c>
      <c r="G86" s="16">
        <v>8916.31</v>
      </c>
      <c r="H86" s="181">
        <f t="shared" si="8"/>
        <v>1.1546621450000001</v>
      </c>
      <c r="I86" s="178">
        <f>G86*(0.303/10)</f>
        <v>270.16419300000001</v>
      </c>
    </row>
    <row r="87" spans="1:9" ht="15.75" customHeight="1">
      <c r="A87" s="38">
        <v>18</v>
      </c>
      <c r="B87" s="82" t="s">
        <v>208</v>
      </c>
      <c r="C87" s="106" t="s">
        <v>168</v>
      </c>
      <c r="D87" s="180"/>
      <c r="E87" s="23"/>
      <c r="F87" s="181">
        <v>1</v>
      </c>
      <c r="G87" s="16">
        <v>811.24</v>
      </c>
      <c r="H87" s="181">
        <f t="shared" si="8"/>
        <v>0.81123999999999996</v>
      </c>
      <c r="I87" s="178">
        <f>G87</f>
        <v>811.24</v>
      </c>
    </row>
    <row r="88" spans="1:9" ht="15.75" customHeight="1">
      <c r="A88" s="38"/>
      <c r="B88" s="61" t="s">
        <v>52</v>
      </c>
      <c r="C88" s="57"/>
      <c r="D88" s="71"/>
      <c r="E88" s="57">
        <v>1</v>
      </c>
      <c r="F88" s="57"/>
      <c r="G88" s="57"/>
      <c r="H88" s="57"/>
      <c r="I88" s="40">
        <f>SUM(I84:I87)</f>
        <v>5166.9141929999996</v>
      </c>
    </row>
    <row r="89" spans="1:9" ht="15.75" customHeight="1">
      <c r="A89" s="38"/>
      <c r="B89" s="67" t="s">
        <v>85</v>
      </c>
      <c r="C89" s="19"/>
      <c r="D89" s="19"/>
      <c r="E89" s="58"/>
      <c r="F89" s="58"/>
      <c r="G89" s="59"/>
      <c r="H89" s="59"/>
      <c r="I89" s="22">
        <v>0</v>
      </c>
    </row>
    <row r="90" spans="1:9" ht="15.75" customHeight="1">
      <c r="A90" s="72"/>
      <c r="B90" s="62" t="s">
        <v>53</v>
      </c>
      <c r="C90" s="46"/>
      <c r="D90" s="46"/>
      <c r="E90" s="46"/>
      <c r="F90" s="46"/>
      <c r="G90" s="46"/>
      <c r="H90" s="46"/>
      <c r="I90" s="60">
        <f>I82+I88</f>
        <v>45743.830731088885</v>
      </c>
    </row>
    <row r="91" spans="1:9" ht="15.75" customHeight="1">
      <c r="A91" s="146" t="s">
        <v>237</v>
      </c>
      <c r="B91" s="146"/>
      <c r="C91" s="146"/>
      <c r="D91" s="146"/>
      <c r="E91" s="146"/>
      <c r="F91" s="146"/>
      <c r="G91" s="146"/>
      <c r="H91" s="146"/>
      <c r="I91" s="146"/>
    </row>
    <row r="92" spans="1:9" ht="15.75" customHeight="1">
      <c r="A92" s="118"/>
      <c r="B92" s="147" t="s">
        <v>238</v>
      </c>
      <c r="C92" s="147"/>
      <c r="D92" s="147"/>
      <c r="E92" s="147"/>
      <c r="F92" s="147"/>
      <c r="G92" s="147"/>
      <c r="H92" s="152"/>
      <c r="I92" s="3"/>
    </row>
    <row r="93" spans="1:9">
      <c r="A93" s="73"/>
      <c r="B93" s="133" t="s">
        <v>6</v>
      </c>
      <c r="C93" s="133"/>
      <c r="D93" s="133"/>
      <c r="E93" s="133"/>
      <c r="F93" s="133"/>
      <c r="G93" s="133"/>
      <c r="H93" s="33"/>
      <c r="I93" s="74"/>
    </row>
    <row r="94" spans="1:9" ht="15.75" customHeight="1">
      <c r="A94" s="110"/>
      <c r="B94" s="110"/>
      <c r="C94" s="110"/>
      <c r="D94" s="110"/>
      <c r="E94" s="110"/>
      <c r="F94" s="110"/>
      <c r="G94" s="110"/>
      <c r="H94" s="110"/>
      <c r="I94" s="110"/>
    </row>
    <row r="95" spans="1:9" ht="15.75" customHeight="1">
      <c r="A95" s="130" t="s">
        <v>7</v>
      </c>
      <c r="B95" s="130"/>
      <c r="C95" s="130"/>
      <c r="D95" s="130"/>
      <c r="E95" s="130"/>
      <c r="F95" s="130"/>
      <c r="G95" s="130"/>
      <c r="H95" s="130"/>
      <c r="I95" s="130"/>
    </row>
    <row r="96" spans="1:9" ht="15.75" customHeight="1">
      <c r="A96" s="130" t="s">
        <v>8</v>
      </c>
      <c r="B96" s="130"/>
      <c r="C96" s="130"/>
      <c r="D96" s="130"/>
      <c r="E96" s="130"/>
      <c r="F96" s="130"/>
      <c r="G96" s="130"/>
      <c r="H96" s="130"/>
      <c r="I96" s="130"/>
    </row>
    <row r="97" spans="1:9" ht="15.75" customHeight="1">
      <c r="A97" s="126" t="s">
        <v>64</v>
      </c>
      <c r="B97" s="126"/>
      <c r="C97" s="126"/>
      <c r="D97" s="126"/>
      <c r="E97" s="126"/>
      <c r="F97" s="126"/>
      <c r="G97" s="126"/>
      <c r="H97" s="126"/>
      <c r="I97" s="126"/>
    </row>
    <row r="98" spans="1:9" ht="15.75" customHeight="1">
      <c r="A98" s="11"/>
    </row>
    <row r="99" spans="1:9" ht="15.75" customHeight="1">
      <c r="A99" s="132" t="s">
        <v>9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 customHeight="1">
      <c r="A100" s="4"/>
    </row>
    <row r="101" spans="1:9" ht="15.75" customHeight="1">
      <c r="B101" s="115" t="s">
        <v>10</v>
      </c>
      <c r="C101" s="144" t="s">
        <v>176</v>
      </c>
      <c r="D101" s="144"/>
      <c r="E101" s="144"/>
      <c r="F101" s="150"/>
      <c r="I101" s="113"/>
    </row>
    <row r="102" spans="1:9" ht="15.75" customHeight="1">
      <c r="A102" s="114"/>
      <c r="C102" s="133" t="s">
        <v>11</v>
      </c>
      <c r="D102" s="133"/>
      <c r="E102" s="133"/>
      <c r="F102" s="33"/>
      <c r="I102" s="112" t="s">
        <v>12</v>
      </c>
    </row>
    <row r="103" spans="1:9" ht="15.75" customHeight="1">
      <c r="A103" s="34"/>
      <c r="C103" s="12"/>
      <c r="D103" s="12"/>
      <c r="G103" s="12"/>
      <c r="H103" s="12"/>
    </row>
    <row r="104" spans="1:9" ht="15.75">
      <c r="B104" s="115" t="s">
        <v>13</v>
      </c>
      <c r="C104" s="134"/>
      <c r="D104" s="134"/>
      <c r="E104" s="134"/>
      <c r="F104" s="151"/>
      <c r="I104" s="113"/>
    </row>
    <row r="105" spans="1:9">
      <c r="A105" s="114"/>
      <c r="C105" s="135" t="s">
        <v>11</v>
      </c>
      <c r="D105" s="135"/>
      <c r="E105" s="135"/>
      <c r="F105" s="114"/>
      <c r="I105" s="112" t="s">
        <v>12</v>
      </c>
    </row>
    <row r="106" spans="1:9" ht="15.75" customHeight="1">
      <c r="A106" s="4" t="s">
        <v>14</v>
      </c>
    </row>
    <row r="107" spans="1:9" ht="15.75" customHeight="1">
      <c r="A107" s="136" t="s">
        <v>15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45" customHeight="1">
      <c r="A108" s="131" t="s">
        <v>16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30" customHeight="1">
      <c r="A109" s="131" t="s">
        <v>17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30" customHeight="1">
      <c r="A110" s="131" t="s">
        <v>21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15" customHeight="1">
      <c r="A111" s="131" t="s">
        <v>20</v>
      </c>
      <c r="B111" s="131"/>
      <c r="C111" s="131"/>
      <c r="D111" s="131"/>
      <c r="E111" s="131"/>
      <c r="F111" s="131"/>
      <c r="G111" s="131"/>
      <c r="H111" s="131"/>
      <c r="I111" s="131"/>
    </row>
  </sheetData>
  <autoFilter ref="I12:I61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  <mergeCell ref="A97:I97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0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6" t="s">
        <v>101</v>
      </c>
      <c r="G1" s="35"/>
    </row>
    <row r="2" spans="1:7" ht="15.75">
      <c r="A2" s="37" t="s">
        <v>68</v>
      </c>
    </row>
    <row r="3" spans="1:7" ht="15.75">
      <c r="A3" s="121" t="s">
        <v>102</v>
      </c>
      <c r="B3" s="121"/>
      <c r="C3" s="121"/>
      <c r="D3" s="121"/>
      <c r="E3" s="121"/>
      <c r="F3" s="121"/>
      <c r="G3" s="121"/>
    </row>
    <row r="4" spans="1:7" ht="31.5" customHeight="1">
      <c r="A4" s="122" t="s">
        <v>163</v>
      </c>
      <c r="B4" s="122"/>
      <c r="C4" s="122"/>
      <c r="D4" s="122"/>
      <c r="E4" s="122"/>
      <c r="F4" s="122"/>
      <c r="G4" s="122"/>
    </row>
    <row r="5" spans="1:7" ht="15.75">
      <c r="A5" s="121" t="s">
        <v>103</v>
      </c>
      <c r="B5" s="123"/>
      <c r="C5" s="123"/>
      <c r="D5" s="123"/>
      <c r="E5" s="123"/>
      <c r="F5" s="123"/>
      <c r="G5" s="123"/>
    </row>
    <row r="6" spans="1:7" ht="15.75">
      <c r="A6" s="2"/>
      <c r="B6" s="79"/>
      <c r="C6" s="79"/>
      <c r="D6" s="79"/>
      <c r="E6" s="79"/>
      <c r="F6" s="79"/>
      <c r="G6" s="39">
        <v>42704</v>
      </c>
    </row>
    <row r="7" spans="1:7" ht="15.75">
      <c r="B7" s="75"/>
      <c r="C7" s="75"/>
      <c r="D7" s="75"/>
      <c r="E7" s="3"/>
      <c r="F7" s="3"/>
    </row>
    <row r="8" spans="1:7" ht="78.75" customHeight="1">
      <c r="A8" s="124" t="s">
        <v>171</v>
      </c>
      <c r="B8" s="124"/>
      <c r="C8" s="124"/>
      <c r="D8" s="124"/>
      <c r="E8" s="124"/>
      <c r="F8" s="124"/>
      <c r="G8" s="124"/>
    </row>
    <row r="9" spans="1:7" ht="15.75">
      <c r="A9" s="4"/>
    </row>
    <row r="10" spans="1:7" ht="47.25" customHeight="1">
      <c r="A10" s="125" t="s">
        <v>172</v>
      </c>
      <c r="B10" s="125"/>
      <c r="C10" s="125"/>
      <c r="D10" s="125"/>
      <c r="E10" s="125"/>
      <c r="F10" s="125"/>
      <c r="G10" s="125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>
      <c r="A14" s="120" t="s">
        <v>62</v>
      </c>
      <c r="B14" s="120"/>
      <c r="C14" s="120"/>
      <c r="D14" s="120"/>
      <c r="E14" s="120"/>
      <c r="F14" s="120"/>
      <c r="G14" s="120"/>
    </row>
    <row r="15" spans="1:7">
      <c r="A15" s="137" t="s">
        <v>4</v>
      </c>
      <c r="B15" s="137"/>
      <c r="C15" s="137"/>
      <c r="D15" s="137"/>
      <c r="E15" s="137"/>
      <c r="F15" s="137"/>
      <c r="G15" s="137"/>
    </row>
    <row r="16" spans="1:7" ht="31.5" customHeight="1">
      <c r="A16" s="38">
        <v>1</v>
      </c>
      <c r="B16" s="42" t="s">
        <v>104</v>
      </c>
      <c r="C16" s="55" t="s">
        <v>105</v>
      </c>
      <c r="D16" s="42" t="s">
        <v>106</v>
      </c>
      <c r="E16" s="38"/>
      <c r="F16" s="41">
        <v>175.38</v>
      </c>
      <c r="G16" s="87">
        <v>1504.76</v>
      </c>
    </row>
    <row r="17" spans="1:7" ht="31.5" customHeight="1">
      <c r="A17" s="38">
        <v>2</v>
      </c>
      <c r="B17" s="42" t="s">
        <v>140</v>
      </c>
      <c r="C17" s="55" t="s">
        <v>105</v>
      </c>
      <c r="D17" s="42" t="s">
        <v>107</v>
      </c>
      <c r="E17" s="38"/>
      <c r="F17" s="41">
        <v>175.38</v>
      </c>
      <c r="G17" s="87">
        <v>4012.69</v>
      </c>
    </row>
    <row r="18" spans="1:7" ht="31.5" customHeight="1">
      <c r="A18" s="38">
        <v>3</v>
      </c>
      <c r="B18" s="42" t="s">
        <v>141</v>
      </c>
      <c r="C18" s="55" t="s">
        <v>105</v>
      </c>
      <c r="D18" s="42" t="s">
        <v>147</v>
      </c>
      <c r="E18" s="38"/>
      <c r="F18" s="41">
        <v>504.5</v>
      </c>
      <c r="G18" s="87">
        <v>3329.7</v>
      </c>
    </row>
    <row r="19" spans="1:7" ht="15.75" hidden="1" customHeight="1">
      <c r="A19" s="38"/>
      <c r="B19" s="42" t="s">
        <v>114</v>
      </c>
      <c r="C19" s="55" t="s">
        <v>115</v>
      </c>
      <c r="D19" s="42" t="s">
        <v>116</v>
      </c>
      <c r="E19" s="38"/>
      <c r="F19" s="41">
        <v>170.16</v>
      </c>
      <c r="G19" s="87">
        <v>0</v>
      </c>
    </row>
    <row r="20" spans="1:7" ht="15.75" customHeight="1">
      <c r="A20" s="38">
        <v>4</v>
      </c>
      <c r="B20" s="42" t="s">
        <v>117</v>
      </c>
      <c r="C20" s="55" t="s">
        <v>105</v>
      </c>
      <c r="D20" s="42" t="s">
        <v>142</v>
      </c>
      <c r="E20" s="38"/>
      <c r="F20" s="41">
        <v>217.88</v>
      </c>
      <c r="G20" s="87">
        <v>30.5</v>
      </c>
    </row>
    <row r="21" spans="1:7" ht="15.75" customHeight="1">
      <c r="A21" s="38">
        <v>5</v>
      </c>
      <c r="B21" s="42" t="s">
        <v>118</v>
      </c>
      <c r="C21" s="55" t="s">
        <v>105</v>
      </c>
      <c r="D21" s="42" t="s">
        <v>30</v>
      </c>
      <c r="E21" s="38"/>
      <c r="F21" s="41">
        <v>216.12</v>
      </c>
      <c r="G21" s="87">
        <v>7.78</v>
      </c>
    </row>
    <row r="22" spans="1:7" ht="15.75" hidden="1" customHeight="1">
      <c r="A22" s="38"/>
      <c r="B22" s="42" t="s">
        <v>119</v>
      </c>
      <c r="C22" s="55" t="s">
        <v>54</v>
      </c>
      <c r="D22" s="42" t="s">
        <v>116</v>
      </c>
      <c r="E22" s="38"/>
      <c r="F22" s="41">
        <v>269.26</v>
      </c>
      <c r="G22" s="87">
        <v>0</v>
      </c>
    </row>
    <row r="23" spans="1:7" ht="15.75" hidden="1" customHeight="1">
      <c r="A23" s="38"/>
      <c r="B23" s="42" t="s">
        <v>120</v>
      </c>
      <c r="C23" s="55" t="s">
        <v>54</v>
      </c>
      <c r="D23" s="42" t="s">
        <v>116</v>
      </c>
      <c r="E23" s="38"/>
      <c r="F23" s="41">
        <v>44.29</v>
      </c>
      <c r="G23" s="87">
        <v>0</v>
      </c>
    </row>
    <row r="24" spans="1:7" ht="15.75" hidden="1" customHeight="1">
      <c r="A24" s="38">
        <v>6</v>
      </c>
      <c r="B24" s="42" t="s">
        <v>121</v>
      </c>
      <c r="C24" s="55" t="s">
        <v>54</v>
      </c>
      <c r="D24" s="42" t="s">
        <v>153</v>
      </c>
      <c r="E24" s="38"/>
      <c r="F24" s="41">
        <v>389.72</v>
      </c>
      <c r="G24" s="87">
        <v>0</v>
      </c>
    </row>
    <row r="25" spans="1:7" ht="15.75" hidden="1" customHeight="1">
      <c r="A25" s="38"/>
      <c r="B25" s="42" t="s">
        <v>122</v>
      </c>
      <c r="C25" s="55" t="s">
        <v>54</v>
      </c>
      <c r="D25" s="42" t="s">
        <v>116</v>
      </c>
      <c r="E25" s="38"/>
      <c r="F25" s="41">
        <v>520.79999999999995</v>
      </c>
      <c r="G25" s="87">
        <v>0</v>
      </c>
    </row>
    <row r="26" spans="1:7" ht="15.75" customHeight="1">
      <c r="A26" s="56">
        <v>6</v>
      </c>
      <c r="B26" s="42" t="s">
        <v>70</v>
      </c>
      <c r="C26" s="55" t="s">
        <v>33</v>
      </c>
      <c r="D26" s="42" t="s">
        <v>143</v>
      </c>
      <c r="E26" s="22">
        <v>506.1</v>
      </c>
      <c r="F26" s="41">
        <v>147.03</v>
      </c>
      <c r="G26" s="87">
        <v>447.22</v>
      </c>
    </row>
    <row r="27" spans="1:7" ht="15.75" customHeight="1">
      <c r="A27" s="56">
        <v>7</v>
      </c>
      <c r="B27" s="13" t="s">
        <v>23</v>
      </c>
      <c r="C27" s="14" t="s">
        <v>24</v>
      </c>
      <c r="D27" s="38"/>
      <c r="E27" s="22">
        <v>506.1</v>
      </c>
      <c r="F27" s="41">
        <v>4.42</v>
      </c>
      <c r="G27" s="87">
        <v>14951.53</v>
      </c>
    </row>
    <row r="28" spans="1:7" ht="15.75" customHeight="1">
      <c r="A28" s="137" t="s">
        <v>100</v>
      </c>
      <c r="B28" s="137"/>
      <c r="C28" s="137"/>
      <c r="D28" s="137"/>
      <c r="E28" s="137"/>
      <c r="F28" s="137"/>
      <c r="G28" s="137"/>
    </row>
    <row r="29" spans="1:7" ht="15.75" hidden="1" customHeight="1">
      <c r="A29" s="56"/>
      <c r="B29" s="66" t="s">
        <v>28</v>
      </c>
      <c r="C29" s="66"/>
      <c r="D29" s="66"/>
      <c r="E29" s="66"/>
      <c r="F29" s="66"/>
      <c r="G29" s="23"/>
    </row>
    <row r="30" spans="1:7" ht="31.5" hidden="1" customHeight="1">
      <c r="A30" s="56">
        <v>2</v>
      </c>
      <c r="B30" s="42" t="s">
        <v>126</v>
      </c>
      <c r="C30" s="55" t="s">
        <v>109</v>
      </c>
      <c r="D30" s="42" t="s">
        <v>123</v>
      </c>
      <c r="E30" s="17">
        <v>2.31</v>
      </c>
      <c r="F30" s="41">
        <v>155.88999999999999</v>
      </c>
      <c r="G30" s="16">
        <v>0</v>
      </c>
    </row>
    <row r="31" spans="1:7" ht="31.5" hidden="1" customHeight="1">
      <c r="A31" s="56">
        <v>3</v>
      </c>
      <c r="B31" s="42" t="s">
        <v>144</v>
      </c>
      <c r="C31" s="55" t="s">
        <v>109</v>
      </c>
      <c r="D31" s="42" t="s">
        <v>124</v>
      </c>
      <c r="E31" s="16">
        <f>0.0024*3*4.5</f>
        <v>3.2399999999999998E-2</v>
      </c>
      <c r="F31" s="41">
        <v>258.63</v>
      </c>
      <c r="G31" s="23">
        <v>0</v>
      </c>
    </row>
    <row r="32" spans="1:7" ht="15.75" hidden="1" customHeight="1">
      <c r="A32" s="56">
        <v>4</v>
      </c>
      <c r="B32" s="42" t="s">
        <v>27</v>
      </c>
      <c r="C32" s="55" t="s">
        <v>109</v>
      </c>
      <c r="D32" s="42" t="s">
        <v>55</v>
      </c>
      <c r="E32" s="21">
        <v>0</v>
      </c>
      <c r="F32" s="41">
        <v>3020.33</v>
      </c>
      <c r="G32" s="23">
        <v>0</v>
      </c>
    </row>
    <row r="33" spans="1:7" ht="15.75" hidden="1" customHeight="1">
      <c r="A33" s="56"/>
      <c r="B33" s="42" t="s">
        <v>150</v>
      </c>
      <c r="C33" s="55" t="s">
        <v>41</v>
      </c>
      <c r="D33" s="42" t="s">
        <v>69</v>
      </c>
      <c r="E33" s="21"/>
      <c r="F33" s="41">
        <v>1302.02</v>
      </c>
      <c r="G33" s="23">
        <v>0</v>
      </c>
    </row>
    <row r="34" spans="1:7" ht="15.75" hidden="1" customHeight="1">
      <c r="A34" s="56">
        <v>4</v>
      </c>
      <c r="B34" s="42" t="s">
        <v>125</v>
      </c>
      <c r="C34" s="55" t="s">
        <v>31</v>
      </c>
      <c r="D34" s="42" t="s">
        <v>69</v>
      </c>
      <c r="E34" s="16">
        <v>3.75</v>
      </c>
      <c r="F34" s="41">
        <v>56.69</v>
      </c>
      <c r="G34" s="16">
        <v>0</v>
      </c>
    </row>
    <row r="35" spans="1:7" ht="15.75" hidden="1" customHeight="1">
      <c r="A35" s="56"/>
      <c r="B35" s="42" t="s">
        <v>71</v>
      </c>
      <c r="C35" s="55" t="s">
        <v>33</v>
      </c>
      <c r="D35" s="42" t="s">
        <v>73</v>
      </c>
      <c r="E35" s="16"/>
      <c r="F35" s="41">
        <v>191.32</v>
      </c>
      <c r="G35" s="16">
        <v>0</v>
      </c>
    </row>
    <row r="36" spans="1:7" ht="15.75" hidden="1" customHeight="1">
      <c r="A36" s="38">
        <v>8</v>
      </c>
      <c r="B36" s="42" t="s">
        <v>72</v>
      </c>
      <c r="C36" s="55" t="s">
        <v>32</v>
      </c>
      <c r="D36" s="42" t="s">
        <v>73</v>
      </c>
      <c r="E36" s="16"/>
      <c r="F36" s="41">
        <v>1136.33</v>
      </c>
      <c r="G36" s="16">
        <v>0</v>
      </c>
    </row>
    <row r="37" spans="1:7" ht="15.75" customHeight="1">
      <c r="A37" s="56"/>
      <c r="B37" s="64" t="s">
        <v>5</v>
      </c>
      <c r="C37" s="64"/>
      <c r="D37" s="64"/>
      <c r="E37" s="16"/>
      <c r="F37" s="17"/>
      <c r="G37" s="23"/>
    </row>
    <row r="38" spans="1:7" ht="15.75" customHeight="1">
      <c r="A38" s="43">
        <v>8</v>
      </c>
      <c r="B38" s="44" t="s">
        <v>26</v>
      </c>
      <c r="C38" s="55" t="s">
        <v>32</v>
      </c>
      <c r="D38" s="42"/>
      <c r="E38" s="16">
        <v>0</v>
      </c>
      <c r="F38" s="41">
        <v>1527.22</v>
      </c>
      <c r="G38" s="16">
        <v>2545.37</v>
      </c>
    </row>
    <row r="39" spans="1:7" ht="15.75" customHeight="1">
      <c r="A39" s="43">
        <v>9</v>
      </c>
      <c r="B39" s="44" t="s">
        <v>127</v>
      </c>
      <c r="C39" s="80" t="s">
        <v>29</v>
      </c>
      <c r="D39" s="42" t="s">
        <v>154</v>
      </c>
      <c r="E39" s="16">
        <v>0</v>
      </c>
      <c r="F39" s="41">
        <v>2102.71</v>
      </c>
      <c r="G39" s="16">
        <v>3206.49</v>
      </c>
    </row>
    <row r="40" spans="1:7" ht="15.75" customHeight="1">
      <c r="A40" s="43">
        <v>10</v>
      </c>
      <c r="B40" s="42" t="s">
        <v>74</v>
      </c>
      <c r="C40" s="55" t="s">
        <v>29</v>
      </c>
      <c r="D40" s="42" t="s">
        <v>108</v>
      </c>
      <c r="E40" s="16">
        <v>0</v>
      </c>
      <c r="F40" s="41">
        <v>350.75</v>
      </c>
      <c r="G40" s="16">
        <v>972.79</v>
      </c>
    </row>
    <row r="41" spans="1:7" ht="47.25" customHeight="1">
      <c r="A41" s="43">
        <v>11</v>
      </c>
      <c r="B41" s="42" t="s">
        <v>97</v>
      </c>
      <c r="C41" s="55" t="s">
        <v>109</v>
      </c>
      <c r="D41" s="42" t="s">
        <v>155</v>
      </c>
      <c r="E41" s="16">
        <v>0</v>
      </c>
      <c r="F41" s="41">
        <v>5803.28</v>
      </c>
      <c r="G41" s="16">
        <v>1160.6600000000001</v>
      </c>
    </row>
    <row r="42" spans="1:7" ht="15" customHeight="1">
      <c r="A42" s="43">
        <v>12</v>
      </c>
      <c r="B42" s="42" t="s">
        <v>110</v>
      </c>
      <c r="C42" s="55" t="s">
        <v>109</v>
      </c>
      <c r="D42" s="42" t="s">
        <v>75</v>
      </c>
      <c r="E42" s="16"/>
      <c r="F42" s="41">
        <v>428.7</v>
      </c>
      <c r="G42" s="16">
        <v>396.63</v>
      </c>
    </row>
    <row r="43" spans="1:7" ht="16.5" customHeight="1">
      <c r="A43" s="43">
        <v>13</v>
      </c>
      <c r="B43" s="44" t="s">
        <v>76</v>
      </c>
      <c r="C43" s="80" t="s">
        <v>33</v>
      </c>
      <c r="D43" s="44"/>
      <c r="E43" s="16"/>
      <c r="F43" s="45">
        <v>798</v>
      </c>
      <c r="G43" s="16">
        <v>119.7</v>
      </c>
    </row>
    <row r="44" spans="1:7" ht="15.75" hidden="1" customHeight="1">
      <c r="A44" s="127" t="s">
        <v>66</v>
      </c>
      <c r="B44" s="128"/>
      <c r="C44" s="128"/>
      <c r="D44" s="128"/>
      <c r="E44" s="128"/>
      <c r="F44" s="128"/>
      <c r="G44" s="129"/>
    </row>
    <row r="45" spans="1:7" ht="15.75" hidden="1" customHeight="1">
      <c r="A45" s="56">
        <v>15</v>
      </c>
      <c r="B45" s="42" t="s">
        <v>156</v>
      </c>
      <c r="C45" s="55" t="s">
        <v>109</v>
      </c>
      <c r="D45" s="42" t="s">
        <v>43</v>
      </c>
      <c r="E45" s="23">
        <v>0.42</v>
      </c>
      <c r="F45" s="47">
        <v>809.74</v>
      </c>
      <c r="G45" s="24">
        <v>0</v>
      </c>
    </row>
    <row r="46" spans="1:7" ht="15.75" hidden="1" customHeight="1">
      <c r="A46" s="56">
        <v>16</v>
      </c>
      <c r="B46" s="42" t="s">
        <v>36</v>
      </c>
      <c r="C46" s="55" t="s">
        <v>109</v>
      </c>
      <c r="D46" s="42" t="s">
        <v>43</v>
      </c>
      <c r="E46" s="23">
        <v>1.35</v>
      </c>
      <c r="F46" s="47">
        <v>457.4</v>
      </c>
      <c r="G46" s="24">
        <v>0</v>
      </c>
    </row>
    <row r="47" spans="1:7" ht="15.75" hidden="1" customHeight="1">
      <c r="A47" s="56">
        <v>17</v>
      </c>
      <c r="B47" s="42" t="s">
        <v>37</v>
      </c>
      <c r="C47" s="55" t="s">
        <v>109</v>
      </c>
      <c r="D47" s="42" t="s">
        <v>43</v>
      </c>
      <c r="E47" s="23">
        <v>0.03</v>
      </c>
      <c r="F47" s="47">
        <v>579.48</v>
      </c>
      <c r="G47" s="24">
        <v>0</v>
      </c>
    </row>
    <row r="48" spans="1:7" ht="15.75" hidden="1" customHeight="1">
      <c r="A48" s="56">
        <v>18</v>
      </c>
      <c r="B48" s="42" t="s">
        <v>38</v>
      </c>
      <c r="C48" s="55" t="s">
        <v>109</v>
      </c>
      <c r="D48" s="42" t="s">
        <v>43</v>
      </c>
      <c r="E48" s="23">
        <v>0.33</v>
      </c>
      <c r="F48" s="47">
        <v>606.77</v>
      </c>
      <c r="G48" s="24">
        <v>0</v>
      </c>
    </row>
    <row r="49" spans="1:7" ht="15.75" hidden="1" customHeight="1">
      <c r="A49" s="56">
        <v>12</v>
      </c>
      <c r="B49" s="42" t="s">
        <v>34</v>
      </c>
      <c r="C49" s="55" t="s">
        <v>35</v>
      </c>
      <c r="D49" s="42" t="s">
        <v>43</v>
      </c>
      <c r="E49" s="23">
        <v>0.22</v>
      </c>
      <c r="F49" s="47">
        <v>72.81</v>
      </c>
      <c r="G49" s="24">
        <v>0</v>
      </c>
    </row>
    <row r="50" spans="1:7" ht="31.5" hidden="1" customHeight="1">
      <c r="A50" s="56">
        <v>14</v>
      </c>
      <c r="B50" s="42" t="s">
        <v>59</v>
      </c>
      <c r="C50" s="55" t="s">
        <v>109</v>
      </c>
      <c r="D50" s="42" t="s">
        <v>128</v>
      </c>
      <c r="E50" s="23">
        <v>0.02</v>
      </c>
      <c r="F50" s="47">
        <v>1213.55</v>
      </c>
      <c r="G50" s="24">
        <v>0</v>
      </c>
    </row>
    <row r="51" spans="1:7" ht="31.5" hidden="1" customHeight="1">
      <c r="A51" s="56">
        <v>15</v>
      </c>
      <c r="B51" s="42" t="s">
        <v>111</v>
      </c>
      <c r="C51" s="55" t="s">
        <v>109</v>
      </c>
      <c r="D51" s="42" t="s">
        <v>43</v>
      </c>
      <c r="E51" s="23">
        <v>0.01</v>
      </c>
      <c r="F51" s="47">
        <v>1213.55</v>
      </c>
      <c r="G51" s="24">
        <v>0</v>
      </c>
    </row>
    <row r="52" spans="1:7" ht="31.5" hidden="1" customHeight="1">
      <c r="A52" s="56">
        <v>23</v>
      </c>
      <c r="B52" s="42" t="s">
        <v>112</v>
      </c>
      <c r="C52" s="55" t="s">
        <v>39</v>
      </c>
      <c r="D52" s="42" t="s">
        <v>43</v>
      </c>
      <c r="E52" s="23">
        <v>8</v>
      </c>
      <c r="F52" s="47">
        <v>2730.49</v>
      </c>
      <c r="G52" s="16">
        <v>0</v>
      </c>
    </row>
    <row r="53" spans="1:7" ht="15.75" hidden="1" customHeight="1">
      <c r="A53" s="56"/>
      <c r="B53" s="42" t="s">
        <v>40</v>
      </c>
      <c r="C53" s="55" t="s">
        <v>41</v>
      </c>
      <c r="D53" s="42" t="s">
        <v>43</v>
      </c>
      <c r="E53" s="23"/>
      <c r="F53" s="47">
        <v>5652.13</v>
      </c>
      <c r="G53" s="16">
        <v>0</v>
      </c>
    </row>
    <row r="54" spans="1:7" ht="15.75" hidden="1" customHeight="1">
      <c r="A54" s="56">
        <v>24</v>
      </c>
      <c r="B54" s="42" t="s">
        <v>42</v>
      </c>
      <c r="C54" s="55" t="s">
        <v>129</v>
      </c>
      <c r="D54" s="42" t="s">
        <v>77</v>
      </c>
      <c r="E54" s="23">
        <v>16</v>
      </c>
      <c r="F54" s="48">
        <v>65.67</v>
      </c>
      <c r="G54" s="16">
        <v>0</v>
      </c>
    </row>
    <row r="55" spans="1:7" ht="15.75" customHeight="1">
      <c r="A55" s="138" t="s">
        <v>177</v>
      </c>
      <c r="B55" s="139"/>
      <c r="C55" s="139"/>
      <c r="D55" s="139"/>
      <c r="E55" s="139"/>
      <c r="F55" s="139"/>
      <c r="G55" s="140"/>
    </row>
    <row r="56" spans="1:7" ht="15.75" customHeight="1">
      <c r="A56" s="69"/>
      <c r="B56" s="63" t="s">
        <v>44</v>
      </c>
      <c r="C56" s="20"/>
      <c r="D56" s="19"/>
      <c r="E56" s="19"/>
      <c r="F56" s="38"/>
      <c r="G56" s="23"/>
    </row>
    <row r="57" spans="1:7" ht="31.5" customHeight="1">
      <c r="A57" s="92">
        <v>14</v>
      </c>
      <c r="B57" s="42" t="s">
        <v>148</v>
      </c>
      <c r="C57" s="55" t="s">
        <v>105</v>
      </c>
      <c r="D57" s="42" t="s">
        <v>130</v>
      </c>
      <c r="E57" s="93">
        <v>0</v>
      </c>
      <c r="F57" s="47">
        <v>1547.28</v>
      </c>
      <c r="G57" s="94">
        <v>2038.93</v>
      </c>
    </row>
    <row r="58" spans="1:7" ht="15.75" customHeight="1">
      <c r="A58" s="46"/>
      <c r="B58" s="101" t="s">
        <v>45</v>
      </c>
      <c r="C58" s="98"/>
      <c r="D58" s="98"/>
      <c r="E58" s="98"/>
      <c r="F58" s="98"/>
      <c r="G58" s="98"/>
    </row>
    <row r="59" spans="1:7" ht="15.75" hidden="1" customHeight="1">
      <c r="A59" s="107"/>
      <c r="B59" s="90" t="s">
        <v>157</v>
      </c>
      <c r="C59" s="68" t="s">
        <v>54</v>
      </c>
      <c r="D59" s="90" t="s">
        <v>55</v>
      </c>
      <c r="E59" s="108"/>
      <c r="F59" s="47">
        <v>793.61</v>
      </c>
      <c r="G59" s="109">
        <v>0</v>
      </c>
    </row>
    <row r="60" spans="1:7" ht="15.75" hidden="1" customHeight="1">
      <c r="A60" s="95">
        <v>27</v>
      </c>
      <c r="B60" s="90" t="s">
        <v>158</v>
      </c>
      <c r="C60" s="68" t="s">
        <v>54</v>
      </c>
      <c r="D60" s="90" t="s">
        <v>55</v>
      </c>
      <c r="E60" s="96">
        <v>0</v>
      </c>
      <c r="F60" s="47">
        <v>793.61</v>
      </c>
      <c r="G60" s="97">
        <v>0</v>
      </c>
    </row>
    <row r="61" spans="1:7" ht="15.75" customHeight="1">
      <c r="A61" s="56">
        <v>15</v>
      </c>
      <c r="B61" s="90" t="s">
        <v>145</v>
      </c>
      <c r="C61" s="68" t="s">
        <v>25</v>
      </c>
      <c r="D61" s="90" t="s">
        <v>30</v>
      </c>
      <c r="E61" s="23"/>
      <c r="F61" s="91">
        <v>2.6</v>
      </c>
      <c r="G61" s="24">
        <v>411.32</v>
      </c>
    </row>
    <row r="62" spans="1:7" ht="15.75" customHeight="1">
      <c r="A62" s="56"/>
      <c r="B62" s="101" t="s">
        <v>46</v>
      </c>
      <c r="C62" s="20"/>
      <c r="D62" s="19"/>
      <c r="E62" s="19"/>
      <c r="F62" s="38"/>
      <c r="G62" s="23"/>
    </row>
    <row r="63" spans="1:7" ht="15.75" customHeight="1">
      <c r="A63" s="56">
        <v>16</v>
      </c>
      <c r="B63" s="83" t="s">
        <v>47</v>
      </c>
      <c r="C63" s="51" t="s">
        <v>129</v>
      </c>
      <c r="D63" s="50" t="s">
        <v>73</v>
      </c>
      <c r="E63" s="23">
        <v>0</v>
      </c>
      <c r="F63" s="47">
        <v>222.4</v>
      </c>
      <c r="G63" s="24">
        <v>222.4</v>
      </c>
    </row>
    <row r="64" spans="1:7" ht="15.75" hidden="1" customHeight="1">
      <c r="A64" s="38">
        <v>29</v>
      </c>
      <c r="B64" s="83" t="s">
        <v>48</v>
      </c>
      <c r="C64" s="51" t="s">
        <v>129</v>
      </c>
      <c r="D64" s="50" t="s">
        <v>73</v>
      </c>
      <c r="E64" s="23">
        <v>0</v>
      </c>
      <c r="F64" s="47">
        <v>76.25</v>
      </c>
      <c r="G64" s="24">
        <v>0</v>
      </c>
    </row>
    <row r="65" spans="1:7" ht="15.75" hidden="1" customHeight="1">
      <c r="A65" s="38">
        <v>8</v>
      </c>
      <c r="B65" s="83" t="s">
        <v>49</v>
      </c>
      <c r="C65" s="53" t="s">
        <v>131</v>
      </c>
      <c r="D65" s="50" t="s">
        <v>55</v>
      </c>
      <c r="E65" s="23">
        <v>13.47</v>
      </c>
      <c r="F65" s="47">
        <v>212.15</v>
      </c>
      <c r="G65" s="23">
        <v>0</v>
      </c>
    </row>
    <row r="66" spans="1:7" ht="15.75" hidden="1" customHeight="1">
      <c r="A66" s="38">
        <v>9</v>
      </c>
      <c r="B66" s="83" t="s">
        <v>50</v>
      </c>
      <c r="C66" s="51" t="s">
        <v>132</v>
      </c>
      <c r="D66" s="50"/>
      <c r="E66" s="23">
        <v>1.35</v>
      </c>
      <c r="F66" s="47">
        <v>165.21</v>
      </c>
      <c r="G66" s="23">
        <v>0</v>
      </c>
    </row>
    <row r="67" spans="1:7" ht="15.75" hidden="1" customHeight="1">
      <c r="A67" s="38">
        <v>10</v>
      </c>
      <c r="B67" s="83" t="s">
        <v>51</v>
      </c>
      <c r="C67" s="51" t="s">
        <v>83</v>
      </c>
      <c r="D67" s="50" t="s">
        <v>55</v>
      </c>
      <c r="E67" s="23">
        <v>0</v>
      </c>
      <c r="F67" s="47">
        <v>2074.63</v>
      </c>
      <c r="G67" s="23">
        <v>0</v>
      </c>
    </row>
    <row r="68" spans="1:7" ht="15.75" hidden="1" customHeight="1">
      <c r="A68" s="38">
        <v>11</v>
      </c>
      <c r="B68" s="70" t="s">
        <v>133</v>
      </c>
      <c r="C68" s="51" t="s">
        <v>33</v>
      </c>
      <c r="D68" s="50"/>
      <c r="E68" s="15">
        <v>0</v>
      </c>
      <c r="F68" s="47">
        <v>45.32</v>
      </c>
      <c r="G68" s="23">
        <v>0</v>
      </c>
    </row>
    <row r="69" spans="1:7" ht="15.75" hidden="1" customHeight="1">
      <c r="A69" s="38">
        <v>12</v>
      </c>
      <c r="B69" s="70" t="s">
        <v>134</v>
      </c>
      <c r="C69" s="51" t="s">
        <v>33</v>
      </c>
      <c r="D69" s="50"/>
      <c r="E69" s="15"/>
      <c r="F69" s="47">
        <v>42.28</v>
      </c>
      <c r="G69" s="23">
        <v>0</v>
      </c>
    </row>
    <row r="70" spans="1:7" ht="15.75" hidden="1" customHeight="1">
      <c r="A70" s="38">
        <v>13</v>
      </c>
      <c r="B70" s="50" t="s">
        <v>60</v>
      </c>
      <c r="C70" s="51" t="s">
        <v>61</v>
      </c>
      <c r="D70" s="50" t="s">
        <v>55</v>
      </c>
      <c r="E70" s="15"/>
      <c r="F70" s="47">
        <v>49.88</v>
      </c>
      <c r="G70" s="23">
        <v>0</v>
      </c>
    </row>
    <row r="71" spans="1:7" ht="15.75" hidden="1" customHeight="1">
      <c r="A71" s="69"/>
      <c r="B71" s="127" t="s">
        <v>113</v>
      </c>
      <c r="C71" s="128"/>
      <c r="D71" s="128"/>
      <c r="E71" s="128"/>
      <c r="F71" s="129"/>
      <c r="G71" s="23"/>
    </row>
    <row r="72" spans="1:7" ht="15.75" hidden="1" customHeight="1">
      <c r="A72" s="38">
        <v>36</v>
      </c>
      <c r="B72" s="42" t="s">
        <v>135</v>
      </c>
      <c r="C72" s="84"/>
      <c r="D72" s="50" t="s">
        <v>55</v>
      </c>
      <c r="E72" s="23">
        <v>0</v>
      </c>
      <c r="F72" s="49">
        <v>10966.5</v>
      </c>
      <c r="G72" s="23">
        <v>0</v>
      </c>
    </row>
    <row r="73" spans="1:7" ht="15.75" hidden="1" customHeight="1">
      <c r="A73" s="38"/>
      <c r="B73" s="64" t="s">
        <v>78</v>
      </c>
      <c r="C73" s="64"/>
      <c r="D73" s="64"/>
      <c r="E73" s="23"/>
      <c r="F73" s="38"/>
      <c r="G73" s="23"/>
    </row>
    <row r="74" spans="1:7" ht="15.75" hidden="1" customHeight="1">
      <c r="A74" s="38">
        <v>18</v>
      </c>
      <c r="B74" s="50" t="s">
        <v>79</v>
      </c>
      <c r="C74" s="51" t="s">
        <v>81</v>
      </c>
      <c r="D74" s="50" t="s">
        <v>73</v>
      </c>
      <c r="E74" s="23"/>
      <c r="F74" s="47">
        <v>501.62</v>
      </c>
      <c r="G74" s="23">
        <v>0</v>
      </c>
    </row>
    <row r="75" spans="1:7" ht="15.75" hidden="1" customHeight="1">
      <c r="A75" s="38"/>
      <c r="B75" s="50" t="s">
        <v>80</v>
      </c>
      <c r="C75" s="51" t="s">
        <v>31</v>
      </c>
      <c r="D75" s="50" t="s">
        <v>73</v>
      </c>
      <c r="E75" s="23"/>
      <c r="F75" s="47">
        <v>852.99</v>
      </c>
      <c r="G75" s="23">
        <v>0</v>
      </c>
    </row>
    <row r="76" spans="1:7" ht="15.75" hidden="1" customHeight="1">
      <c r="A76" s="38">
        <v>38</v>
      </c>
      <c r="B76" s="50" t="s">
        <v>136</v>
      </c>
      <c r="C76" s="51" t="s">
        <v>31</v>
      </c>
      <c r="D76" s="50" t="s">
        <v>73</v>
      </c>
      <c r="E76" s="23"/>
      <c r="F76" s="47">
        <v>358.51</v>
      </c>
      <c r="G76" s="23">
        <v>0</v>
      </c>
    </row>
    <row r="77" spans="1:7" ht="15.75" hidden="1" customHeight="1">
      <c r="A77" s="38"/>
      <c r="B77" s="65" t="s">
        <v>82</v>
      </c>
      <c r="C77" s="51"/>
      <c r="D77" s="38"/>
      <c r="E77" s="23"/>
      <c r="F77" s="47" t="s">
        <v>149</v>
      </c>
      <c r="G77" s="23"/>
    </row>
    <row r="78" spans="1:7" ht="15.75" hidden="1" customHeight="1">
      <c r="A78" s="38">
        <v>39</v>
      </c>
      <c r="B78" s="52" t="s">
        <v>146</v>
      </c>
      <c r="C78" s="53" t="s">
        <v>83</v>
      </c>
      <c r="D78" s="83"/>
      <c r="E78" s="23"/>
      <c r="F78" s="48">
        <v>2759.44</v>
      </c>
      <c r="G78" s="23">
        <v>0</v>
      </c>
    </row>
    <row r="79" spans="1:7" ht="15.75" customHeight="1">
      <c r="A79" s="141" t="s">
        <v>178</v>
      </c>
      <c r="B79" s="142"/>
      <c r="C79" s="142"/>
      <c r="D79" s="142"/>
      <c r="E79" s="142"/>
      <c r="F79" s="142"/>
      <c r="G79" s="143"/>
    </row>
    <row r="80" spans="1:7" ht="15.75" customHeight="1">
      <c r="A80" s="38">
        <v>17</v>
      </c>
      <c r="B80" s="42" t="s">
        <v>137</v>
      </c>
      <c r="C80" s="51" t="s">
        <v>56</v>
      </c>
      <c r="D80" s="85"/>
      <c r="E80" s="19">
        <v>327.9</v>
      </c>
      <c r="F80" s="47">
        <v>2.1</v>
      </c>
      <c r="G80" s="16">
        <v>7103.67</v>
      </c>
    </row>
    <row r="81" spans="1:7" ht="31.5" customHeight="1">
      <c r="A81" s="38">
        <v>18</v>
      </c>
      <c r="B81" s="50" t="s">
        <v>84</v>
      </c>
      <c r="C81" s="51"/>
      <c r="D81" s="86"/>
      <c r="E81" s="19"/>
      <c r="F81" s="47">
        <v>1.63</v>
      </c>
      <c r="G81" s="16">
        <v>5513.8</v>
      </c>
    </row>
    <row r="82" spans="1:7" ht="15.75" customHeight="1">
      <c r="A82" s="69"/>
      <c r="B82" s="54" t="s">
        <v>88</v>
      </c>
      <c r="C82" s="56"/>
      <c r="D82" s="19"/>
      <c r="E82" s="19"/>
      <c r="F82" s="23"/>
      <c r="G82" s="40">
        <f>SUM(G16+G17+G18+G20+G21+G26+G27+G38+G39+G40+G41+G42+G43+G57+G61+G63+G80+G81)</f>
        <v>47975.94</v>
      </c>
    </row>
    <row r="83" spans="1:7" ht="15.75" customHeight="1">
      <c r="A83" s="69"/>
      <c r="B83" s="81" t="s">
        <v>63</v>
      </c>
      <c r="C83" s="81"/>
      <c r="D83" s="81"/>
      <c r="E83" s="81"/>
      <c r="F83" s="81"/>
      <c r="G83" s="81"/>
    </row>
    <row r="84" spans="1:7" ht="31.5" customHeight="1">
      <c r="A84" s="38">
        <v>20</v>
      </c>
      <c r="B84" s="82" t="s">
        <v>167</v>
      </c>
      <c r="C84" s="100" t="s">
        <v>168</v>
      </c>
      <c r="D84" s="81"/>
      <c r="E84" s="81"/>
      <c r="F84" s="38">
        <v>625.07000000000005</v>
      </c>
      <c r="G84" s="38">
        <v>625.07000000000005</v>
      </c>
    </row>
    <row r="85" spans="1:7" ht="15.75" customHeight="1">
      <c r="A85" s="38">
        <v>21</v>
      </c>
      <c r="B85" s="82" t="s">
        <v>152</v>
      </c>
      <c r="C85" s="100" t="s">
        <v>129</v>
      </c>
      <c r="D85" s="81"/>
      <c r="E85" s="19"/>
      <c r="F85" s="47">
        <v>50.68</v>
      </c>
      <c r="G85" s="16">
        <v>3091.48</v>
      </c>
    </row>
    <row r="86" spans="1:7" ht="31.5" customHeight="1">
      <c r="A86" s="119">
        <v>22</v>
      </c>
      <c r="B86" s="82" t="s">
        <v>87</v>
      </c>
      <c r="C86" s="99" t="s">
        <v>31</v>
      </c>
      <c r="D86" s="81"/>
      <c r="E86" s="19"/>
      <c r="F86" s="47">
        <v>79.09</v>
      </c>
      <c r="G86" s="16">
        <v>79.09</v>
      </c>
    </row>
    <row r="87" spans="1:7" ht="15.75" customHeight="1">
      <c r="A87" s="38"/>
      <c r="B87" s="61" t="s">
        <v>52</v>
      </c>
      <c r="C87" s="57"/>
      <c r="D87" s="71"/>
      <c r="E87" s="57">
        <v>1</v>
      </c>
      <c r="F87" s="57"/>
      <c r="G87" s="40">
        <f>SUM(G84:G86)</f>
        <v>3795.6400000000003</v>
      </c>
    </row>
    <row r="88" spans="1:7" ht="15.75" customHeight="1">
      <c r="A88" s="38"/>
      <c r="B88" s="67" t="s">
        <v>85</v>
      </c>
      <c r="C88" s="19"/>
      <c r="D88" s="19"/>
      <c r="E88" s="58"/>
      <c r="F88" s="59"/>
      <c r="G88" s="22">
        <v>0</v>
      </c>
    </row>
    <row r="89" spans="1:7" ht="15.75" customHeight="1">
      <c r="A89" s="72"/>
      <c r="B89" s="62" t="s">
        <v>53</v>
      </c>
      <c r="C89" s="46"/>
      <c r="D89" s="46"/>
      <c r="E89" s="46"/>
      <c r="F89" s="46"/>
      <c r="G89" s="60">
        <f>G82+G87</f>
        <v>51771.58</v>
      </c>
    </row>
    <row r="90" spans="1:7" ht="15.75">
      <c r="A90" s="146" t="s">
        <v>169</v>
      </c>
      <c r="B90" s="146"/>
      <c r="C90" s="146"/>
      <c r="D90" s="146"/>
      <c r="E90" s="146"/>
      <c r="F90" s="146"/>
      <c r="G90" s="146"/>
    </row>
    <row r="91" spans="1:7" ht="15.75">
      <c r="A91" s="118"/>
      <c r="B91" s="147" t="s">
        <v>170</v>
      </c>
      <c r="C91" s="147"/>
      <c r="D91" s="147"/>
      <c r="E91" s="147"/>
      <c r="F91" s="147"/>
      <c r="G91" s="3"/>
    </row>
    <row r="92" spans="1:7">
      <c r="A92" s="73"/>
      <c r="B92" s="133" t="s">
        <v>6</v>
      </c>
      <c r="C92" s="133"/>
      <c r="D92" s="133"/>
      <c r="E92" s="133"/>
      <c r="F92" s="133"/>
      <c r="G92" s="74"/>
    </row>
    <row r="93" spans="1:7">
      <c r="A93" s="110"/>
      <c r="B93" s="110"/>
      <c r="C93" s="110"/>
      <c r="D93" s="110"/>
      <c r="E93" s="110"/>
      <c r="F93" s="110"/>
      <c r="G93" s="110"/>
    </row>
    <row r="94" spans="1:7" ht="15.75">
      <c r="A94" s="130" t="s">
        <v>7</v>
      </c>
      <c r="B94" s="130"/>
      <c r="C94" s="130"/>
      <c r="D94" s="130"/>
      <c r="E94" s="130"/>
      <c r="F94" s="130"/>
      <c r="G94" s="130"/>
    </row>
    <row r="95" spans="1:7" ht="15.75">
      <c r="A95" s="130" t="s">
        <v>8</v>
      </c>
      <c r="B95" s="130"/>
      <c r="C95" s="130"/>
      <c r="D95" s="130"/>
      <c r="E95" s="130"/>
      <c r="F95" s="130"/>
      <c r="G95" s="130"/>
    </row>
    <row r="96" spans="1:7" ht="15.75">
      <c r="A96" s="126" t="s">
        <v>64</v>
      </c>
      <c r="B96" s="126"/>
      <c r="C96" s="126"/>
      <c r="D96" s="126"/>
      <c r="E96" s="126"/>
      <c r="F96" s="126"/>
      <c r="G96" s="126"/>
    </row>
    <row r="97" spans="1:7" ht="15.75">
      <c r="A97" s="11"/>
    </row>
    <row r="98" spans="1:7" ht="15.75">
      <c r="A98" s="132" t="s">
        <v>9</v>
      </c>
      <c r="B98" s="132"/>
      <c r="C98" s="132"/>
      <c r="D98" s="132"/>
      <c r="E98" s="132"/>
      <c r="F98" s="132"/>
      <c r="G98" s="132"/>
    </row>
    <row r="99" spans="1:7" ht="15.75">
      <c r="A99" s="4"/>
    </row>
    <row r="100" spans="1:7" ht="15.75">
      <c r="B100" s="75" t="s">
        <v>10</v>
      </c>
      <c r="C100" s="144" t="s">
        <v>176</v>
      </c>
      <c r="D100" s="144"/>
      <c r="E100" s="144"/>
      <c r="G100" s="78"/>
    </row>
    <row r="101" spans="1:7">
      <c r="A101" s="77"/>
      <c r="C101" s="133" t="s">
        <v>11</v>
      </c>
      <c r="D101" s="133"/>
      <c r="E101" s="133"/>
      <c r="G101" s="76" t="s">
        <v>12</v>
      </c>
    </row>
    <row r="102" spans="1:7" ht="15.75">
      <c r="A102" s="34"/>
      <c r="C102" s="12"/>
      <c r="D102" s="12"/>
      <c r="F102" s="12"/>
    </row>
    <row r="103" spans="1:7" ht="15.75">
      <c r="B103" s="75" t="s">
        <v>13</v>
      </c>
      <c r="C103" s="134"/>
      <c r="D103" s="134"/>
      <c r="E103" s="134"/>
      <c r="G103" s="78"/>
    </row>
    <row r="104" spans="1:7">
      <c r="A104" s="77"/>
      <c r="C104" s="135" t="s">
        <v>11</v>
      </c>
      <c r="D104" s="135"/>
      <c r="E104" s="135"/>
      <c r="G104" s="76" t="s">
        <v>12</v>
      </c>
    </row>
    <row r="105" spans="1:7" ht="15.75">
      <c r="A105" s="4" t="s">
        <v>14</v>
      </c>
    </row>
    <row r="106" spans="1:7">
      <c r="A106" s="136" t="s">
        <v>15</v>
      </c>
      <c r="B106" s="136"/>
      <c r="C106" s="136"/>
      <c r="D106" s="136"/>
      <c r="E106" s="136"/>
      <c r="F106" s="136"/>
      <c r="G106" s="136"/>
    </row>
    <row r="107" spans="1:7" ht="45" customHeight="1">
      <c r="A107" s="131" t="s">
        <v>16</v>
      </c>
      <c r="B107" s="131"/>
      <c r="C107" s="131"/>
      <c r="D107" s="131"/>
      <c r="E107" s="131"/>
      <c r="F107" s="131"/>
      <c r="G107" s="131"/>
    </row>
    <row r="108" spans="1:7" ht="30" customHeight="1">
      <c r="A108" s="131" t="s">
        <v>17</v>
      </c>
      <c r="B108" s="131"/>
      <c r="C108" s="131"/>
      <c r="D108" s="131"/>
      <c r="E108" s="131"/>
      <c r="F108" s="131"/>
      <c r="G108" s="131"/>
    </row>
    <row r="109" spans="1:7" ht="30" customHeight="1">
      <c r="A109" s="131" t="s">
        <v>21</v>
      </c>
      <c r="B109" s="131"/>
      <c r="C109" s="131"/>
      <c r="D109" s="131"/>
      <c r="E109" s="131"/>
      <c r="F109" s="131"/>
      <c r="G109" s="131"/>
    </row>
    <row r="110" spans="1:7" ht="15" customHeight="1">
      <c r="A110" s="131" t="s">
        <v>20</v>
      </c>
      <c r="B110" s="131"/>
      <c r="C110" s="131"/>
      <c r="D110" s="131"/>
      <c r="E110" s="131"/>
      <c r="F110" s="131"/>
      <c r="G110" s="131"/>
    </row>
  </sheetData>
  <mergeCells count="28">
    <mergeCell ref="A107:G107"/>
    <mergeCell ref="A108:G108"/>
    <mergeCell ref="A109:G109"/>
    <mergeCell ref="A110:G110"/>
    <mergeCell ref="A98:G98"/>
    <mergeCell ref="C100:E100"/>
    <mergeCell ref="C101:E101"/>
    <mergeCell ref="C103:E103"/>
    <mergeCell ref="C104:E104"/>
    <mergeCell ref="A106:G106"/>
    <mergeCell ref="A96:G96"/>
    <mergeCell ref="A15:G15"/>
    <mergeCell ref="A28:G28"/>
    <mergeCell ref="A44:G44"/>
    <mergeCell ref="A55:G55"/>
    <mergeCell ref="B71:F71"/>
    <mergeCell ref="A90:G90"/>
    <mergeCell ref="B91:F91"/>
    <mergeCell ref="B92:F92"/>
    <mergeCell ref="A94:G94"/>
    <mergeCell ref="A95:G95"/>
    <mergeCell ref="A79:G79"/>
    <mergeCell ref="A14:G14"/>
    <mergeCell ref="A3:G3"/>
    <mergeCell ref="A4:G4"/>
    <mergeCell ref="A5:G5"/>
    <mergeCell ref="A8:G8"/>
    <mergeCell ref="A10:G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2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6" t="s">
        <v>101</v>
      </c>
      <c r="G1" s="35"/>
      <c r="H1" s="1"/>
      <c r="I1" s="1"/>
      <c r="J1" s="1"/>
      <c r="K1" s="1"/>
    </row>
    <row r="2" spans="1:11" ht="15.75">
      <c r="A2" s="37" t="s">
        <v>68</v>
      </c>
      <c r="H2" s="2"/>
      <c r="I2" s="2"/>
      <c r="J2" s="2"/>
      <c r="K2" s="2"/>
    </row>
    <row r="3" spans="1:11" ht="15.75" customHeight="1">
      <c r="A3" s="121" t="s">
        <v>138</v>
      </c>
      <c r="B3" s="121"/>
      <c r="C3" s="121"/>
      <c r="D3" s="121"/>
      <c r="E3" s="121"/>
      <c r="F3" s="121"/>
      <c r="G3" s="121"/>
      <c r="H3" s="3"/>
      <c r="I3" s="3"/>
      <c r="J3" s="3"/>
    </row>
    <row r="4" spans="1:11" ht="31.5" customHeight="1">
      <c r="A4" s="122" t="s">
        <v>163</v>
      </c>
      <c r="B4" s="122"/>
      <c r="C4" s="122"/>
      <c r="D4" s="122"/>
      <c r="E4" s="122"/>
      <c r="F4" s="122"/>
      <c r="G4" s="122"/>
    </row>
    <row r="5" spans="1:11" ht="15.75">
      <c r="A5" s="121" t="s">
        <v>139</v>
      </c>
      <c r="B5" s="123"/>
      <c r="C5" s="123"/>
      <c r="D5" s="123"/>
      <c r="E5" s="123"/>
      <c r="F5" s="123"/>
      <c r="G5" s="123"/>
      <c r="H5" s="2"/>
      <c r="I5" s="2"/>
      <c r="J5" s="2"/>
      <c r="K5" s="2"/>
    </row>
    <row r="6" spans="1:11" ht="15.75">
      <c r="A6" s="2"/>
      <c r="B6" s="79"/>
      <c r="C6" s="79"/>
      <c r="D6" s="79"/>
      <c r="E6" s="79"/>
      <c r="F6" s="79"/>
      <c r="G6" s="39">
        <v>42735</v>
      </c>
      <c r="H6" s="2"/>
      <c r="I6" s="2"/>
      <c r="J6" s="2"/>
      <c r="K6" s="2"/>
    </row>
    <row r="7" spans="1:11" ht="15.75">
      <c r="B7" s="75"/>
      <c r="C7" s="75"/>
      <c r="D7" s="75"/>
      <c r="E7" s="3"/>
      <c r="F7" s="3"/>
      <c r="H7" s="3"/>
      <c r="I7" s="3"/>
      <c r="J7" s="3"/>
      <c r="K7" s="3"/>
    </row>
    <row r="8" spans="1:11" ht="78.75" customHeight="1">
      <c r="A8" s="124" t="s">
        <v>171</v>
      </c>
      <c r="B8" s="124"/>
      <c r="C8" s="124"/>
      <c r="D8" s="124"/>
      <c r="E8" s="124"/>
      <c r="F8" s="124"/>
      <c r="G8" s="124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125" t="s">
        <v>172</v>
      </c>
      <c r="B10" s="125"/>
      <c r="C10" s="125"/>
      <c r="D10" s="125"/>
      <c r="E10" s="125"/>
      <c r="F10" s="125"/>
      <c r="G10" s="125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20" t="s">
        <v>62</v>
      </c>
      <c r="B14" s="120"/>
      <c r="C14" s="120"/>
      <c r="D14" s="120"/>
      <c r="E14" s="120"/>
      <c r="F14" s="120"/>
      <c r="G14" s="120"/>
      <c r="H14" s="8"/>
      <c r="I14" s="8"/>
      <c r="J14" s="8"/>
      <c r="K14" s="8"/>
    </row>
    <row r="15" spans="1:11" ht="15" customHeight="1">
      <c r="A15" s="137" t="s">
        <v>4</v>
      </c>
      <c r="B15" s="137"/>
      <c r="C15" s="137"/>
      <c r="D15" s="137"/>
      <c r="E15" s="137"/>
      <c r="F15" s="137"/>
      <c r="G15" s="137"/>
      <c r="H15" s="8"/>
      <c r="I15" s="8"/>
      <c r="J15" s="8"/>
      <c r="K15" s="8"/>
    </row>
    <row r="16" spans="1:11" ht="30">
      <c r="A16" s="38">
        <v>1</v>
      </c>
      <c r="B16" s="42" t="s">
        <v>104</v>
      </c>
      <c r="C16" s="55" t="s">
        <v>105</v>
      </c>
      <c r="D16" s="42" t="s">
        <v>106</v>
      </c>
      <c r="E16" s="38"/>
      <c r="F16" s="41">
        <v>175.38</v>
      </c>
      <c r="G16" s="87">
        <v>1504.76</v>
      </c>
      <c r="H16" s="30"/>
      <c r="I16" s="8"/>
      <c r="J16" s="8"/>
      <c r="K16" s="8"/>
    </row>
    <row r="17" spans="1:11" ht="31.5" customHeight="1">
      <c r="A17" s="38">
        <v>2</v>
      </c>
      <c r="B17" s="42" t="s">
        <v>140</v>
      </c>
      <c r="C17" s="55" t="s">
        <v>105</v>
      </c>
      <c r="D17" s="42" t="s">
        <v>107</v>
      </c>
      <c r="E17" s="38"/>
      <c r="F17" s="41">
        <v>175.38</v>
      </c>
      <c r="G17" s="87">
        <v>4012.69</v>
      </c>
      <c r="H17" s="31"/>
      <c r="I17" s="8"/>
      <c r="J17" s="8"/>
      <c r="K17" s="8"/>
    </row>
    <row r="18" spans="1:11" ht="31.5" customHeight="1">
      <c r="A18" s="38">
        <v>3</v>
      </c>
      <c r="B18" s="42" t="s">
        <v>141</v>
      </c>
      <c r="C18" s="55" t="s">
        <v>105</v>
      </c>
      <c r="D18" s="42" t="s">
        <v>147</v>
      </c>
      <c r="E18" s="38"/>
      <c r="F18" s="41">
        <v>504.5</v>
      </c>
      <c r="G18" s="87">
        <v>3329.7</v>
      </c>
      <c r="H18" s="31"/>
      <c r="I18" s="8"/>
      <c r="J18" s="8"/>
      <c r="K18" s="8"/>
    </row>
    <row r="19" spans="1:11" ht="15.75" hidden="1" customHeight="1">
      <c r="A19" s="38"/>
      <c r="B19" s="42" t="s">
        <v>114</v>
      </c>
      <c r="C19" s="55" t="s">
        <v>115</v>
      </c>
      <c r="D19" s="42" t="s">
        <v>116</v>
      </c>
      <c r="E19" s="38"/>
      <c r="F19" s="41">
        <v>170.16</v>
      </c>
      <c r="G19" s="87">
        <v>0</v>
      </c>
      <c r="H19" s="31"/>
      <c r="I19" s="8"/>
      <c r="J19" s="8"/>
      <c r="K19" s="8"/>
    </row>
    <row r="20" spans="1:11" ht="15.75" customHeight="1">
      <c r="A20" s="38">
        <v>4</v>
      </c>
      <c r="B20" s="42" t="s">
        <v>117</v>
      </c>
      <c r="C20" s="55" t="s">
        <v>105</v>
      </c>
      <c r="D20" s="42" t="s">
        <v>142</v>
      </c>
      <c r="E20" s="38"/>
      <c r="F20" s="41">
        <v>217.88</v>
      </c>
      <c r="G20" s="87">
        <v>30.5</v>
      </c>
      <c r="H20" s="31"/>
      <c r="I20" s="8"/>
      <c r="J20" s="8"/>
      <c r="K20" s="8"/>
    </row>
    <row r="21" spans="1:11" ht="15.75" customHeight="1">
      <c r="A21" s="38">
        <v>5</v>
      </c>
      <c r="B21" s="42" t="s">
        <v>118</v>
      </c>
      <c r="C21" s="55" t="s">
        <v>105</v>
      </c>
      <c r="D21" s="42" t="s">
        <v>30</v>
      </c>
      <c r="E21" s="38"/>
      <c r="F21" s="41">
        <v>216.12</v>
      </c>
      <c r="G21" s="87">
        <v>7.78</v>
      </c>
      <c r="H21" s="31"/>
      <c r="I21" s="8"/>
      <c r="J21" s="8"/>
      <c r="K21" s="8"/>
    </row>
    <row r="22" spans="1:11" ht="15.75" hidden="1" customHeight="1">
      <c r="A22" s="38"/>
      <c r="B22" s="42" t="s">
        <v>119</v>
      </c>
      <c r="C22" s="55" t="s">
        <v>54</v>
      </c>
      <c r="D22" s="42" t="s">
        <v>116</v>
      </c>
      <c r="E22" s="38"/>
      <c r="F22" s="41">
        <v>269.26</v>
      </c>
      <c r="G22" s="87">
        <v>0</v>
      </c>
      <c r="H22" s="31"/>
      <c r="I22" s="8"/>
      <c r="J22" s="8"/>
      <c r="K22" s="8"/>
    </row>
    <row r="23" spans="1:11" ht="15.75" hidden="1" customHeight="1">
      <c r="A23" s="38"/>
      <c r="B23" s="42" t="s">
        <v>120</v>
      </c>
      <c r="C23" s="55" t="s">
        <v>54</v>
      </c>
      <c r="D23" s="42" t="s">
        <v>116</v>
      </c>
      <c r="E23" s="38"/>
      <c r="F23" s="41">
        <v>44.29</v>
      </c>
      <c r="G23" s="87">
        <v>0</v>
      </c>
      <c r="H23" s="31"/>
      <c r="I23" s="8"/>
      <c r="J23" s="8"/>
      <c r="K23" s="8"/>
    </row>
    <row r="24" spans="1:11" ht="15.75" hidden="1" customHeight="1">
      <c r="A24" s="38">
        <v>6</v>
      </c>
      <c r="B24" s="42" t="s">
        <v>121</v>
      </c>
      <c r="C24" s="55" t="s">
        <v>54</v>
      </c>
      <c r="D24" s="42" t="s">
        <v>153</v>
      </c>
      <c r="E24" s="38"/>
      <c r="F24" s="41">
        <v>389.72</v>
      </c>
      <c r="G24" s="87">
        <v>0</v>
      </c>
      <c r="H24" s="31"/>
      <c r="I24" s="8"/>
      <c r="J24" s="8"/>
      <c r="K24" s="8"/>
    </row>
    <row r="25" spans="1:11" ht="15.75" hidden="1" customHeight="1">
      <c r="A25" s="38"/>
      <c r="B25" s="42" t="s">
        <v>122</v>
      </c>
      <c r="C25" s="55" t="s">
        <v>54</v>
      </c>
      <c r="D25" s="42" t="s">
        <v>116</v>
      </c>
      <c r="E25" s="38"/>
      <c r="F25" s="41">
        <v>520.79999999999995</v>
      </c>
      <c r="G25" s="87">
        <v>0</v>
      </c>
      <c r="H25" s="31"/>
      <c r="I25" s="8"/>
      <c r="J25" s="8"/>
      <c r="K25" s="8"/>
    </row>
    <row r="26" spans="1:11" ht="15.75" customHeight="1">
      <c r="A26" s="56">
        <v>6</v>
      </c>
      <c r="B26" s="42" t="s">
        <v>70</v>
      </c>
      <c r="C26" s="55" t="s">
        <v>33</v>
      </c>
      <c r="D26" s="42" t="s">
        <v>143</v>
      </c>
      <c r="E26" s="22">
        <v>506.1</v>
      </c>
      <c r="F26" s="41">
        <v>147.03</v>
      </c>
      <c r="G26" s="87">
        <v>447.22</v>
      </c>
      <c r="H26" s="31"/>
      <c r="I26" s="8"/>
      <c r="J26" s="8"/>
      <c r="K26" s="8"/>
    </row>
    <row r="27" spans="1:11" ht="16.5" customHeight="1">
      <c r="A27" s="56">
        <v>7</v>
      </c>
      <c r="B27" s="13" t="s">
        <v>23</v>
      </c>
      <c r="C27" s="14" t="s">
        <v>24</v>
      </c>
      <c r="D27" s="38"/>
      <c r="E27" s="22">
        <v>506.1</v>
      </c>
      <c r="F27" s="41">
        <v>4.42</v>
      </c>
      <c r="G27" s="87">
        <v>14951.53</v>
      </c>
      <c r="H27" s="31"/>
      <c r="I27" s="8"/>
      <c r="J27" s="8"/>
      <c r="K27" s="8"/>
    </row>
    <row r="28" spans="1:11" ht="15" customHeight="1">
      <c r="A28" s="137" t="s">
        <v>100</v>
      </c>
      <c r="B28" s="137"/>
      <c r="C28" s="137"/>
      <c r="D28" s="137"/>
      <c r="E28" s="137"/>
      <c r="F28" s="137"/>
      <c r="G28" s="137"/>
      <c r="H28" s="31"/>
      <c r="I28" s="8"/>
      <c r="J28" s="8"/>
      <c r="K28" s="8"/>
    </row>
    <row r="29" spans="1:11" ht="15" hidden="1" customHeight="1">
      <c r="A29" s="56"/>
      <c r="B29" s="66" t="s">
        <v>28</v>
      </c>
      <c r="C29" s="66"/>
      <c r="D29" s="66"/>
      <c r="E29" s="66"/>
      <c r="F29" s="66"/>
      <c r="G29" s="23"/>
      <c r="H29" s="31"/>
      <c r="I29" s="8"/>
      <c r="J29" s="8"/>
      <c r="K29" s="8"/>
    </row>
    <row r="30" spans="1:11" ht="13.5" hidden="1" customHeight="1">
      <c r="A30" s="56">
        <v>2</v>
      </c>
      <c r="B30" s="42" t="s">
        <v>126</v>
      </c>
      <c r="C30" s="55" t="s">
        <v>109</v>
      </c>
      <c r="D30" s="42" t="s">
        <v>123</v>
      </c>
      <c r="E30" s="17">
        <v>2.31</v>
      </c>
      <c r="F30" s="41">
        <v>155.88999999999999</v>
      </c>
      <c r="G30" s="16">
        <v>0</v>
      </c>
      <c r="H30" s="31"/>
      <c r="I30" s="8"/>
      <c r="J30" s="8"/>
      <c r="K30" s="8"/>
    </row>
    <row r="31" spans="1:11" ht="31.5" hidden="1" customHeight="1">
      <c r="A31" s="56">
        <v>3</v>
      </c>
      <c r="B31" s="42" t="s">
        <v>144</v>
      </c>
      <c r="C31" s="55" t="s">
        <v>109</v>
      </c>
      <c r="D31" s="42" t="s">
        <v>124</v>
      </c>
      <c r="E31" s="16">
        <f>0.0024*3*4.5</f>
        <v>3.2399999999999998E-2</v>
      </c>
      <c r="F31" s="41">
        <v>258.63</v>
      </c>
      <c r="G31" s="23">
        <v>0</v>
      </c>
      <c r="H31" s="31"/>
      <c r="I31" s="8"/>
      <c r="J31" s="8"/>
      <c r="K31" s="8"/>
    </row>
    <row r="32" spans="1:11" ht="31.5" hidden="1" customHeight="1">
      <c r="A32" s="56">
        <v>4</v>
      </c>
      <c r="B32" s="42" t="s">
        <v>27</v>
      </c>
      <c r="C32" s="55" t="s">
        <v>109</v>
      </c>
      <c r="D32" s="42" t="s">
        <v>55</v>
      </c>
      <c r="E32" s="21">
        <v>0</v>
      </c>
      <c r="F32" s="41">
        <v>3020.33</v>
      </c>
      <c r="G32" s="23">
        <v>0</v>
      </c>
      <c r="H32" s="31"/>
      <c r="I32" s="8"/>
      <c r="J32" s="8"/>
      <c r="K32" s="8"/>
    </row>
    <row r="33" spans="1:12" ht="15" hidden="1" customHeight="1">
      <c r="A33" s="56"/>
      <c r="B33" s="42" t="s">
        <v>150</v>
      </c>
      <c r="C33" s="55" t="s">
        <v>41</v>
      </c>
      <c r="D33" s="42" t="s">
        <v>69</v>
      </c>
      <c r="E33" s="21"/>
      <c r="F33" s="41">
        <v>1302.02</v>
      </c>
      <c r="G33" s="23">
        <v>0</v>
      </c>
      <c r="H33" s="31"/>
      <c r="I33" s="8"/>
    </row>
    <row r="34" spans="1:12" ht="15.75" hidden="1" customHeight="1">
      <c r="A34" s="56">
        <v>4</v>
      </c>
      <c r="B34" s="42" t="s">
        <v>125</v>
      </c>
      <c r="C34" s="55" t="s">
        <v>31</v>
      </c>
      <c r="D34" s="42" t="s">
        <v>69</v>
      </c>
      <c r="E34" s="16">
        <v>3.75</v>
      </c>
      <c r="F34" s="41">
        <v>56.69</v>
      </c>
      <c r="G34" s="16">
        <v>0</v>
      </c>
      <c r="H34" s="32"/>
    </row>
    <row r="35" spans="1:12" ht="15.75" hidden="1" customHeight="1">
      <c r="A35" s="56"/>
      <c r="B35" s="42" t="s">
        <v>71</v>
      </c>
      <c r="C35" s="55" t="s">
        <v>33</v>
      </c>
      <c r="D35" s="42" t="s">
        <v>73</v>
      </c>
      <c r="E35" s="16"/>
      <c r="F35" s="41">
        <v>191.32</v>
      </c>
      <c r="G35" s="16">
        <v>0</v>
      </c>
      <c r="H35" s="32"/>
    </row>
    <row r="36" spans="1:12" ht="15.75" hidden="1" customHeight="1">
      <c r="A36" s="38">
        <v>8</v>
      </c>
      <c r="B36" s="42" t="s">
        <v>72</v>
      </c>
      <c r="C36" s="55" t="s">
        <v>32</v>
      </c>
      <c r="D36" s="42" t="s">
        <v>73</v>
      </c>
      <c r="E36" s="16"/>
      <c r="F36" s="41">
        <v>1136.33</v>
      </c>
      <c r="G36" s="16">
        <v>0</v>
      </c>
      <c r="H36" s="32"/>
    </row>
    <row r="37" spans="1:12" ht="15.75" customHeight="1">
      <c r="A37" s="56"/>
      <c r="B37" s="64" t="s">
        <v>5</v>
      </c>
      <c r="C37" s="64"/>
      <c r="D37" s="64"/>
      <c r="E37" s="16"/>
      <c r="F37" s="17"/>
      <c r="G37" s="23"/>
      <c r="H37" s="32"/>
    </row>
    <row r="38" spans="1:12" ht="15.75" customHeight="1">
      <c r="A38" s="43">
        <v>8</v>
      </c>
      <c r="B38" s="44" t="s">
        <v>26</v>
      </c>
      <c r="C38" s="55" t="s">
        <v>32</v>
      </c>
      <c r="D38" s="42"/>
      <c r="E38" s="16">
        <v>0</v>
      </c>
      <c r="F38" s="41">
        <v>1527.22</v>
      </c>
      <c r="G38" s="16">
        <v>2545.37</v>
      </c>
      <c r="H38" s="32"/>
    </row>
    <row r="39" spans="1:12" ht="15.75" customHeight="1">
      <c r="A39" s="43">
        <v>9</v>
      </c>
      <c r="B39" s="44" t="s">
        <v>127</v>
      </c>
      <c r="C39" s="80" t="s">
        <v>29</v>
      </c>
      <c r="D39" s="42" t="s">
        <v>154</v>
      </c>
      <c r="E39" s="16">
        <v>0</v>
      </c>
      <c r="F39" s="41">
        <v>2102.71</v>
      </c>
      <c r="G39" s="16">
        <v>3206.49</v>
      </c>
      <c r="H39" s="32"/>
    </row>
    <row r="40" spans="1:12" ht="15.75" customHeight="1">
      <c r="A40" s="43">
        <v>10</v>
      </c>
      <c r="B40" s="42" t="s">
        <v>74</v>
      </c>
      <c r="C40" s="55" t="s">
        <v>29</v>
      </c>
      <c r="D40" s="42" t="s">
        <v>108</v>
      </c>
      <c r="E40" s="16">
        <v>0</v>
      </c>
      <c r="F40" s="41">
        <v>350.75</v>
      </c>
      <c r="G40" s="16">
        <v>972.79</v>
      </c>
      <c r="H40" s="32"/>
    </row>
    <row r="41" spans="1:12" ht="47.25" customHeight="1">
      <c r="A41" s="43">
        <v>11</v>
      </c>
      <c r="B41" s="42" t="s">
        <v>97</v>
      </c>
      <c r="C41" s="55" t="s">
        <v>109</v>
      </c>
      <c r="D41" s="42" t="s">
        <v>155</v>
      </c>
      <c r="E41" s="16">
        <v>0</v>
      </c>
      <c r="F41" s="41">
        <v>5803.28</v>
      </c>
      <c r="G41" s="16">
        <v>1160.6600000000001</v>
      </c>
      <c r="H41" s="32"/>
      <c r="J41" s="25"/>
      <c r="K41" s="26"/>
      <c r="L41" s="27"/>
    </row>
    <row r="42" spans="1:12" ht="15.75" customHeight="1">
      <c r="A42" s="43">
        <v>12</v>
      </c>
      <c r="B42" s="42" t="s">
        <v>110</v>
      </c>
      <c r="C42" s="55" t="s">
        <v>109</v>
      </c>
      <c r="D42" s="42" t="s">
        <v>75</v>
      </c>
      <c r="E42" s="16"/>
      <c r="F42" s="41">
        <v>428.7</v>
      </c>
      <c r="G42" s="16">
        <v>396.63</v>
      </c>
      <c r="H42" s="32"/>
      <c r="J42" s="25"/>
      <c r="K42" s="26"/>
      <c r="L42" s="27"/>
    </row>
    <row r="43" spans="1:12" ht="15.75" customHeight="1">
      <c r="A43" s="43">
        <v>13</v>
      </c>
      <c r="B43" s="44" t="s">
        <v>76</v>
      </c>
      <c r="C43" s="80" t="s">
        <v>33</v>
      </c>
      <c r="D43" s="44"/>
      <c r="E43" s="16"/>
      <c r="F43" s="45">
        <v>798</v>
      </c>
      <c r="G43" s="16">
        <v>119.7</v>
      </c>
      <c r="H43" s="32"/>
      <c r="J43" s="25"/>
      <c r="K43" s="26"/>
      <c r="L43" s="27"/>
    </row>
    <row r="44" spans="1:12" ht="15.75" customHeight="1">
      <c r="A44" s="138" t="s">
        <v>173</v>
      </c>
      <c r="B44" s="139"/>
      <c r="C44" s="139"/>
      <c r="D44" s="139"/>
      <c r="E44" s="139"/>
      <c r="F44" s="139"/>
      <c r="G44" s="140"/>
      <c r="H44" s="32"/>
      <c r="J44" s="25"/>
      <c r="K44" s="26"/>
      <c r="L44" s="27"/>
    </row>
    <row r="45" spans="1:12" ht="15.75" hidden="1" customHeight="1">
      <c r="A45" s="56">
        <v>15</v>
      </c>
      <c r="B45" s="42" t="s">
        <v>156</v>
      </c>
      <c r="C45" s="55" t="s">
        <v>109</v>
      </c>
      <c r="D45" s="42" t="s">
        <v>43</v>
      </c>
      <c r="E45" s="23">
        <v>0.42</v>
      </c>
      <c r="F45" s="47">
        <v>809.74</v>
      </c>
      <c r="G45" s="24">
        <v>0</v>
      </c>
      <c r="H45" s="32"/>
      <c r="J45" s="25"/>
      <c r="K45" s="26"/>
      <c r="L45" s="27"/>
    </row>
    <row r="46" spans="1:12" ht="15" hidden="1" customHeight="1">
      <c r="A46" s="56">
        <v>16</v>
      </c>
      <c r="B46" s="42" t="s">
        <v>36</v>
      </c>
      <c r="C46" s="55" t="s">
        <v>109</v>
      </c>
      <c r="D46" s="42" t="s">
        <v>43</v>
      </c>
      <c r="E46" s="23">
        <v>1.35</v>
      </c>
      <c r="F46" s="47">
        <v>457.4</v>
      </c>
      <c r="G46" s="24">
        <v>0</v>
      </c>
      <c r="H46" s="32"/>
      <c r="J46" s="25"/>
      <c r="K46" s="26"/>
      <c r="L46" s="27"/>
    </row>
    <row r="47" spans="1:12" ht="15.75" hidden="1" customHeight="1">
      <c r="A47" s="56">
        <v>17</v>
      </c>
      <c r="B47" s="42" t="s">
        <v>37</v>
      </c>
      <c r="C47" s="55" t="s">
        <v>109</v>
      </c>
      <c r="D47" s="42" t="s">
        <v>43</v>
      </c>
      <c r="E47" s="23">
        <v>0.03</v>
      </c>
      <c r="F47" s="47">
        <v>579.48</v>
      </c>
      <c r="G47" s="24">
        <v>0</v>
      </c>
      <c r="H47" s="32"/>
      <c r="J47" s="25"/>
      <c r="K47" s="26"/>
      <c r="L47" s="27"/>
    </row>
    <row r="48" spans="1:12" ht="15.75" hidden="1" customHeight="1">
      <c r="A48" s="56">
        <v>18</v>
      </c>
      <c r="B48" s="42" t="s">
        <v>38</v>
      </c>
      <c r="C48" s="55" t="s">
        <v>109</v>
      </c>
      <c r="D48" s="42" t="s">
        <v>43</v>
      </c>
      <c r="E48" s="23">
        <v>0.33</v>
      </c>
      <c r="F48" s="47">
        <v>606.77</v>
      </c>
      <c r="G48" s="24">
        <v>0</v>
      </c>
      <c r="H48" s="32"/>
      <c r="J48" s="25"/>
      <c r="K48" s="26"/>
      <c r="L48" s="27"/>
    </row>
    <row r="49" spans="1:12" ht="15.75" hidden="1" customHeight="1">
      <c r="A49" s="56">
        <v>12</v>
      </c>
      <c r="B49" s="42" t="s">
        <v>34</v>
      </c>
      <c r="C49" s="55" t="s">
        <v>35</v>
      </c>
      <c r="D49" s="42" t="s">
        <v>43</v>
      </c>
      <c r="E49" s="23">
        <v>0.22</v>
      </c>
      <c r="F49" s="47">
        <v>72.81</v>
      </c>
      <c r="G49" s="24">
        <v>0</v>
      </c>
      <c r="H49" s="32"/>
      <c r="J49" s="25"/>
      <c r="K49" s="26"/>
      <c r="L49" s="27"/>
    </row>
    <row r="50" spans="1:12" ht="31.5" customHeight="1">
      <c r="A50" s="56">
        <v>14</v>
      </c>
      <c r="B50" s="42" t="s">
        <v>59</v>
      </c>
      <c r="C50" s="55" t="s">
        <v>109</v>
      </c>
      <c r="D50" s="42" t="s">
        <v>128</v>
      </c>
      <c r="E50" s="23">
        <v>0.02</v>
      </c>
      <c r="F50" s="47">
        <v>1213.55</v>
      </c>
      <c r="G50" s="24">
        <v>2325.65</v>
      </c>
      <c r="H50" s="32"/>
      <c r="J50" s="25"/>
      <c r="K50" s="26"/>
      <c r="L50" s="27"/>
    </row>
    <row r="51" spans="1:12" ht="31.5" hidden="1" customHeight="1">
      <c r="A51" s="56">
        <v>15</v>
      </c>
      <c r="B51" s="42" t="s">
        <v>111</v>
      </c>
      <c r="C51" s="55" t="s">
        <v>109</v>
      </c>
      <c r="D51" s="42" t="s">
        <v>43</v>
      </c>
      <c r="E51" s="23">
        <v>0.01</v>
      </c>
      <c r="F51" s="47">
        <v>1213.55</v>
      </c>
      <c r="G51" s="24">
        <v>0</v>
      </c>
      <c r="H51" s="32"/>
      <c r="J51" s="25"/>
      <c r="K51" s="26"/>
      <c r="L51" s="27"/>
    </row>
    <row r="52" spans="1:12" ht="31.5" hidden="1" customHeight="1">
      <c r="A52" s="56">
        <v>23</v>
      </c>
      <c r="B52" s="42" t="s">
        <v>112</v>
      </c>
      <c r="C52" s="55" t="s">
        <v>39</v>
      </c>
      <c r="D52" s="42" t="s">
        <v>43</v>
      </c>
      <c r="E52" s="23">
        <v>8</v>
      </c>
      <c r="F52" s="47">
        <v>2730.49</v>
      </c>
      <c r="G52" s="16">
        <v>0</v>
      </c>
      <c r="H52" s="32"/>
      <c r="J52" s="25"/>
      <c r="K52" s="26"/>
      <c r="L52" s="27"/>
    </row>
    <row r="53" spans="1:12" ht="15.75" hidden="1" customHeight="1">
      <c r="A53" s="56"/>
      <c r="B53" s="42" t="s">
        <v>40</v>
      </c>
      <c r="C53" s="55" t="s">
        <v>41</v>
      </c>
      <c r="D53" s="42" t="s">
        <v>43</v>
      </c>
      <c r="E53" s="23"/>
      <c r="F53" s="47">
        <v>5652.13</v>
      </c>
      <c r="G53" s="16">
        <v>0</v>
      </c>
      <c r="H53" s="32"/>
      <c r="J53" s="25"/>
      <c r="K53" s="26"/>
      <c r="L53" s="27"/>
    </row>
    <row r="54" spans="1:12" ht="15.75" hidden="1" customHeight="1">
      <c r="A54" s="56">
        <v>24</v>
      </c>
      <c r="B54" s="42" t="s">
        <v>42</v>
      </c>
      <c r="C54" s="55" t="s">
        <v>129</v>
      </c>
      <c r="D54" s="42" t="s">
        <v>77</v>
      </c>
      <c r="E54" s="23">
        <v>16</v>
      </c>
      <c r="F54" s="48">
        <v>65.67</v>
      </c>
      <c r="G54" s="16">
        <v>0</v>
      </c>
      <c r="H54" s="32"/>
      <c r="J54" s="25"/>
      <c r="K54" s="26"/>
      <c r="L54" s="27"/>
    </row>
    <row r="55" spans="1:12" ht="15.75" customHeight="1">
      <c r="A55" s="138" t="s">
        <v>174</v>
      </c>
      <c r="B55" s="139"/>
      <c r="C55" s="139"/>
      <c r="D55" s="139"/>
      <c r="E55" s="139"/>
      <c r="F55" s="139"/>
      <c r="G55" s="140"/>
      <c r="H55" s="32"/>
      <c r="J55" s="25"/>
      <c r="K55" s="26"/>
      <c r="L55" s="27"/>
    </row>
    <row r="56" spans="1:12" ht="15.75" customHeight="1">
      <c r="A56" s="69"/>
      <c r="B56" s="63" t="s">
        <v>44</v>
      </c>
      <c r="C56" s="20"/>
      <c r="D56" s="19"/>
      <c r="E56" s="19"/>
      <c r="F56" s="38"/>
      <c r="G56" s="23"/>
      <c r="H56" s="32"/>
      <c r="J56" s="25"/>
      <c r="K56" s="26"/>
      <c r="L56" s="27"/>
    </row>
    <row r="57" spans="1:12" ht="31.5" customHeight="1">
      <c r="A57" s="92">
        <v>15</v>
      </c>
      <c r="B57" s="42" t="s">
        <v>148</v>
      </c>
      <c r="C57" s="55" t="s">
        <v>105</v>
      </c>
      <c r="D57" s="42" t="s">
        <v>130</v>
      </c>
      <c r="E57" s="93">
        <v>0</v>
      </c>
      <c r="F57" s="47">
        <v>1547.28</v>
      </c>
      <c r="G57" s="94">
        <v>2038.93</v>
      </c>
      <c r="H57" s="32"/>
      <c r="J57" s="25"/>
      <c r="K57" s="26"/>
      <c r="L57" s="27"/>
    </row>
    <row r="58" spans="1:12" ht="15.75" customHeight="1">
      <c r="A58" s="46"/>
      <c r="B58" s="101" t="s">
        <v>45</v>
      </c>
      <c r="C58" s="98"/>
      <c r="D58" s="98"/>
      <c r="E58" s="98"/>
      <c r="F58" s="98"/>
      <c r="G58" s="98"/>
      <c r="H58" s="32"/>
      <c r="J58" s="25"/>
      <c r="K58" s="26"/>
      <c r="L58" s="27"/>
    </row>
    <row r="59" spans="1:12" ht="15.75" hidden="1" customHeight="1">
      <c r="A59" s="107"/>
      <c r="B59" s="90" t="s">
        <v>157</v>
      </c>
      <c r="C59" s="68" t="s">
        <v>54</v>
      </c>
      <c r="D59" s="90" t="s">
        <v>55</v>
      </c>
      <c r="E59" s="108"/>
      <c r="F59" s="47">
        <v>793.61</v>
      </c>
      <c r="G59" s="109">
        <v>0</v>
      </c>
      <c r="H59" s="32"/>
      <c r="J59" s="25"/>
      <c r="K59" s="26"/>
      <c r="L59" s="27"/>
    </row>
    <row r="60" spans="1:12" ht="15.75" hidden="1" customHeight="1">
      <c r="A60" s="95">
        <v>27</v>
      </c>
      <c r="B60" s="90" t="s">
        <v>158</v>
      </c>
      <c r="C60" s="68" t="s">
        <v>54</v>
      </c>
      <c r="D60" s="90" t="s">
        <v>55</v>
      </c>
      <c r="E60" s="96">
        <v>0</v>
      </c>
      <c r="F60" s="47">
        <v>793.61</v>
      </c>
      <c r="G60" s="97">
        <v>0</v>
      </c>
      <c r="H60" s="32"/>
      <c r="J60" s="25"/>
      <c r="K60" s="26"/>
      <c r="L60" s="27"/>
    </row>
    <row r="61" spans="1:12" ht="15.75" customHeight="1">
      <c r="A61" s="56">
        <v>16</v>
      </c>
      <c r="B61" s="90" t="s">
        <v>145</v>
      </c>
      <c r="C61" s="68" t="s">
        <v>25</v>
      </c>
      <c r="D61" s="90" t="s">
        <v>30</v>
      </c>
      <c r="E61" s="23"/>
      <c r="F61" s="91">
        <v>2.6</v>
      </c>
      <c r="G61" s="24">
        <v>411.32</v>
      </c>
      <c r="H61" s="32"/>
      <c r="J61" s="25"/>
      <c r="K61" s="26"/>
      <c r="L61" s="27"/>
    </row>
    <row r="62" spans="1:12" ht="16.5" hidden="1" customHeight="1">
      <c r="A62" s="56"/>
      <c r="B62" s="101" t="s">
        <v>46</v>
      </c>
      <c r="C62" s="20"/>
      <c r="D62" s="19"/>
      <c r="E62" s="19"/>
      <c r="F62" s="38"/>
      <c r="G62" s="23"/>
      <c r="H62" s="32"/>
      <c r="J62" s="25"/>
      <c r="K62" s="26"/>
      <c r="L62" s="27"/>
    </row>
    <row r="63" spans="1:12" ht="15" hidden="1" customHeight="1">
      <c r="A63" s="56">
        <v>17</v>
      </c>
      <c r="B63" s="83" t="s">
        <v>47</v>
      </c>
      <c r="C63" s="51" t="s">
        <v>129</v>
      </c>
      <c r="D63" s="50" t="s">
        <v>73</v>
      </c>
      <c r="E63" s="23">
        <v>0</v>
      </c>
      <c r="F63" s="47">
        <v>222.4</v>
      </c>
      <c r="G63" s="24">
        <v>222.4</v>
      </c>
      <c r="H63" s="32"/>
      <c r="J63" s="25"/>
      <c r="K63" s="26"/>
      <c r="L63" s="27"/>
    </row>
    <row r="64" spans="1:12" ht="15" hidden="1" customHeight="1">
      <c r="A64" s="38">
        <v>29</v>
      </c>
      <c r="B64" s="83" t="s">
        <v>48</v>
      </c>
      <c r="C64" s="51" t="s">
        <v>129</v>
      </c>
      <c r="D64" s="50" t="s">
        <v>73</v>
      </c>
      <c r="E64" s="23">
        <v>0</v>
      </c>
      <c r="F64" s="47">
        <v>76.25</v>
      </c>
      <c r="G64" s="24">
        <v>0</v>
      </c>
      <c r="H64" s="32"/>
      <c r="J64" s="25"/>
    </row>
    <row r="65" spans="1:20" ht="15" hidden="1" customHeight="1">
      <c r="A65" s="38">
        <v>8</v>
      </c>
      <c r="B65" s="83" t="s">
        <v>49</v>
      </c>
      <c r="C65" s="53" t="s">
        <v>131</v>
      </c>
      <c r="D65" s="50" t="s">
        <v>55</v>
      </c>
      <c r="E65" s="23">
        <v>13.47</v>
      </c>
      <c r="F65" s="47">
        <v>212.15</v>
      </c>
      <c r="G65" s="23">
        <v>0</v>
      </c>
    </row>
    <row r="66" spans="1:20" ht="15" hidden="1" customHeight="1">
      <c r="A66" s="38">
        <v>9</v>
      </c>
      <c r="B66" s="83" t="s">
        <v>50</v>
      </c>
      <c r="C66" s="51" t="s">
        <v>132</v>
      </c>
      <c r="D66" s="50"/>
      <c r="E66" s="23">
        <v>1.35</v>
      </c>
      <c r="F66" s="47">
        <v>165.21</v>
      </c>
      <c r="G66" s="23">
        <v>0</v>
      </c>
    </row>
    <row r="67" spans="1:20" ht="15" hidden="1" customHeight="1">
      <c r="A67" s="38">
        <v>10</v>
      </c>
      <c r="B67" s="83" t="s">
        <v>51</v>
      </c>
      <c r="C67" s="51" t="s">
        <v>83</v>
      </c>
      <c r="D67" s="50" t="s">
        <v>55</v>
      </c>
      <c r="E67" s="23">
        <v>0</v>
      </c>
      <c r="F67" s="47">
        <v>2074.63</v>
      </c>
      <c r="G67" s="23">
        <v>0</v>
      </c>
    </row>
    <row r="68" spans="1:20" ht="15.75" hidden="1" customHeight="1">
      <c r="A68" s="38">
        <v>11</v>
      </c>
      <c r="B68" s="70" t="s">
        <v>133</v>
      </c>
      <c r="C68" s="51" t="s">
        <v>33</v>
      </c>
      <c r="D68" s="50"/>
      <c r="E68" s="15">
        <v>0</v>
      </c>
      <c r="F68" s="47">
        <v>45.32</v>
      </c>
      <c r="G68" s="23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9"/>
    </row>
    <row r="69" spans="1:20" ht="15.75" hidden="1" customHeight="1">
      <c r="A69" s="38">
        <v>12</v>
      </c>
      <c r="B69" s="70" t="s">
        <v>134</v>
      </c>
      <c r="C69" s="51" t="s">
        <v>33</v>
      </c>
      <c r="D69" s="50"/>
      <c r="E69" s="15"/>
      <c r="F69" s="47">
        <v>42.28</v>
      </c>
      <c r="G69" s="23">
        <v>0</v>
      </c>
      <c r="H69" s="34"/>
      <c r="I69" s="34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0" ht="15.75" hidden="1" customHeight="1">
      <c r="A70" s="38">
        <v>13</v>
      </c>
      <c r="B70" s="50" t="s">
        <v>60</v>
      </c>
      <c r="C70" s="51" t="s">
        <v>61</v>
      </c>
      <c r="D70" s="50" t="s">
        <v>55</v>
      </c>
      <c r="E70" s="15"/>
      <c r="F70" s="47">
        <v>49.88</v>
      </c>
      <c r="G70" s="23">
        <v>0</v>
      </c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</row>
    <row r="71" spans="1:20" ht="15.75" hidden="1" customHeight="1">
      <c r="A71" s="69"/>
      <c r="B71" s="127" t="s">
        <v>113</v>
      </c>
      <c r="C71" s="128"/>
      <c r="D71" s="128"/>
      <c r="E71" s="128"/>
      <c r="F71" s="129"/>
      <c r="G71" s="23"/>
      <c r="H71" s="5"/>
      <c r="I71" s="5"/>
      <c r="J71" s="5"/>
      <c r="K71" s="5"/>
      <c r="L71" s="5"/>
      <c r="M71" s="5"/>
      <c r="N71" s="5"/>
      <c r="O71" s="5"/>
      <c r="P71" s="135"/>
      <c r="Q71" s="135"/>
      <c r="R71" s="135"/>
      <c r="S71" s="135"/>
    </row>
    <row r="72" spans="1:20" ht="15.75" hidden="1" customHeight="1">
      <c r="A72" s="38">
        <v>36</v>
      </c>
      <c r="B72" s="42" t="s">
        <v>135</v>
      </c>
      <c r="C72" s="84"/>
      <c r="D72" s="50" t="s">
        <v>55</v>
      </c>
      <c r="E72" s="23">
        <v>0</v>
      </c>
      <c r="F72" s="49">
        <v>10966.5</v>
      </c>
      <c r="G72" s="23">
        <v>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20" ht="15.75" hidden="1" customHeight="1">
      <c r="A73" s="38"/>
      <c r="B73" s="64" t="s">
        <v>78</v>
      </c>
      <c r="C73" s="64"/>
      <c r="D73" s="64"/>
      <c r="E73" s="23"/>
      <c r="F73" s="38"/>
      <c r="G73" s="23"/>
    </row>
    <row r="74" spans="1:20" ht="15" hidden="1" customHeight="1">
      <c r="A74" s="38">
        <v>18</v>
      </c>
      <c r="B74" s="50" t="s">
        <v>79</v>
      </c>
      <c r="C74" s="51" t="s">
        <v>81</v>
      </c>
      <c r="D74" s="50" t="s">
        <v>73</v>
      </c>
      <c r="E74" s="23"/>
      <c r="F74" s="47">
        <v>501.62</v>
      </c>
      <c r="G74" s="23">
        <v>0</v>
      </c>
    </row>
    <row r="75" spans="1:20" ht="15.75" hidden="1" customHeight="1">
      <c r="A75" s="38"/>
      <c r="B75" s="50" t="s">
        <v>80</v>
      </c>
      <c r="C75" s="51" t="s">
        <v>31</v>
      </c>
      <c r="D75" s="50" t="s">
        <v>73</v>
      </c>
      <c r="E75" s="23"/>
      <c r="F75" s="47">
        <v>852.99</v>
      </c>
      <c r="G75" s="23">
        <v>0</v>
      </c>
    </row>
    <row r="76" spans="1:20" ht="15" hidden="1" customHeight="1">
      <c r="A76" s="38">
        <v>38</v>
      </c>
      <c r="B76" s="50" t="s">
        <v>136</v>
      </c>
      <c r="C76" s="51" t="s">
        <v>31</v>
      </c>
      <c r="D76" s="50" t="s">
        <v>73</v>
      </c>
      <c r="E76" s="23"/>
      <c r="F76" s="47">
        <v>358.51</v>
      </c>
      <c r="G76" s="23">
        <v>0</v>
      </c>
    </row>
    <row r="77" spans="1:20" ht="15" hidden="1" customHeight="1">
      <c r="A77" s="38"/>
      <c r="B77" s="65" t="s">
        <v>82</v>
      </c>
      <c r="C77" s="51"/>
      <c r="D77" s="38"/>
      <c r="E77" s="23"/>
      <c r="F77" s="47" t="s">
        <v>149</v>
      </c>
      <c r="G77" s="23"/>
    </row>
    <row r="78" spans="1:20" ht="15" hidden="1" customHeight="1">
      <c r="A78" s="38">
        <v>39</v>
      </c>
      <c r="B78" s="52" t="s">
        <v>146</v>
      </c>
      <c r="C78" s="53" t="s">
        <v>83</v>
      </c>
      <c r="D78" s="83"/>
      <c r="E78" s="23"/>
      <c r="F78" s="48">
        <v>2759.44</v>
      </c>
      <c r="G78" s="23">
        <v>0</v>
      </c>
    </row>
    <row r="79" spans="1:20" ht="15.75" customHeight="1">
      <c r="A79" s="141" t="s">
        <v>175</v>
      </c>
      <c r="B79" s="142"/>
      <c r="C79" s="142"/>
      <c r="D79" s="142"/>
      <c r="E79" s="142"/>
      <c r="F79" s="142"/>
      <c r="G79" s="143"/>
    </row>
    <row r="80" spans="1:20" ht="15" customHeight="1">
      <c r="A80" s="38">
        <v>17</v>
      </c>
      <c r="B80" s="42" t="s">
        <v>137</v>
      </c>
      <c r="C80" s="51" t="s">
        <v>56</v>
      </c>
      <c r="D80" s="145" t="s">
        <v>57</v>
      </c>
      <c r="E80" s="19">
        <v>327.9</v>
      </c>
      <c r="F80" s="47">
        <v>2.1</v>
      </c>
      <c r="G80" s="16">
        <v>7103.67</v>
      </c>
    </row>
    <row r="81" spans="1:7" ht="31.5" customHeight="1">
      <c r="A81" s="38">
        <v>18</v>
      </c>
      <c r="B81" s="50" t="s">
        <v>84</v>
      </c>
      <c r="C81" s="51"/>
      <c r="D81" s="145" t="s">
        <v>57</v>
      </c>
      <c r="E81" s="19"/>
      <c r="F81" s="47">
        <v>1.63</v>
      </c>
      <c r="G81" s="16">
        <v>5513.8</v>
      </c>
    </row>
    <row r="82" spans="1:7" ht="15.75" customHeight="1">
      <c r="A82" s="69"/>
      <c r="B82" s="54" t="s">
        <v>88</v>
      </c>
      <c r="C82" s="56"/>
      <c r="D82" s="19"/>
      <c r="E82" s="19"/>
      <c r="F82" s="23"/>
      <c r="G82" s="40">
        <f>SUM(G16+G17+G18+G20+G21+G26+G27+G38+G39+G40+G41+G42+G43+G50+G57+G61+G80+G81)</f>
        <v>50079.19</v>
      </c>
    </row>
    <row r="83" spans="1:7">
      <c r="A83" s="69"/>
      <c r="B83" s="81" t="s">
        <v>63</v>
      </c>
      <c r="C83" s="81"/>
      <c r="D83" s="81"/>
      <c r="E83" s="81"/>
      <c r="F83" s="81"/>
      <c r="G83" s="81"/>
    </row>
    <row r="84" spans="1:7" ht="15.75" customHeight="1">
      <c r="A84" s="38">
        <v>19</v>
      </c>
      <c r="B84" s="82" t="s">
        <v>152</v>
      </c>
      <c r="C84" s="100" t="s">
        <v>129</v>
      </c>
      <c r="D84" s="81"/>
      <c r="E84" s="19"/>
      <c r="F84" s="47">
        <v>50.68</v>
      </c>
      <c r="G84" s="16">
        <v>3091.48</v>
      </c>
    </row>
    <row r="85" spans="1:7" ht="30">
      <c r="A85" s="38">
        <v>20</v>
      </c>
      <c r="B85" s="88" t="s">
        <v>159</v>
      </c>
      <c r="C85" s="89" t="s">
        <v>39</v>
      </c>
      <c r="D85" s="81"/>
      <c r="E85" s="19"/>
      <c r="F85" s="47">
        <v>3397.65</v>
      </c>
      <c r="G85" s="16">
        <v>33.979999999999997</v>
      </c>
    </row>
    <row r="86" spans="1:7" ht="30">
      <c r="A86" s="38">
        <v>21</v>
      </c>
      <c r="B86" s="82" t="s">
        <v>160</v>
      </c>
      <c r="C86" s="106" t="s">
        <v>151</v>
      </c>
      <c r="D86" s="81"/>
      <c r="E86" s="19"/>
      <c r="F86" s="47">
        <v>8916.31</v>
      </c>
      <c r="G86" s="16">
        <v>884.5</v>
      </c>
    </row>
    <row r="87" spans="1:7">
      <c r="A87" s="38">
        <v>22</v>
      </c>
      <c r="B87" s="88" t="s">
        <v>161</v>
      </c>
      <c r="C87" s="89" t="s">
        <v>162</v>
      </c>
      <c r="D87" s="81"/>
      <c r="E87" s="19"/>
      <c r="F87" s="111">
        <v>8566.92</v>
      </c>
      <c r="G87" s="16">
        <v>8566.92</v>
      </c>
    </row>
    <row r="88" spans="1:7">
      <c r="A88" s="38">
        <v>23</v>
      </c>
      <c r="B88" s="42" t="s">
        <v>164</v>
      </c>
      <c r="C88" s="55" t="s">
        <v>105</v>
      </c>
      <c r="D88" s="16"/>
      <c r="E88" s="19"/>
      <c r="F88" s="111">
        <v>1925.33</v>
      </c>
      <c r="G88" s="16">
        <v>173.28</v>
      </c>
    </row>
    <row r="89" spans="1:7" ht="15.75" customHeight="1">
      <c r="A89" s="38"/>
      <c r="B89" s="61" t="s">
        <v>52</v>
      </c>
      <c r="C89" s="57"/>
      <c r="D89" s="71"/>
      <c r="E89" s="57">
        <v>1</v>
      </c>
      <c r="F89" s="57"/>
      <c r="G89" s="40">
        <f>SUM(G84:G88)</f>
        <v>12750.160000000002</v>
      </c>
    </row>
    <row r="90" spans="1:7" ht="15.75" customHeight="1">
      <c r="A90" s="38"/>
      <c r="B90" s="67" t="s">
        <v>85</v>
      </c>
      <c r="C90" s="19"/>
      <c r="D90" s="19"/>
      <c r="E90" s="58"/>
      <c r="F90" s="59"/>
      <c r="G90" s="22">
        <v>0</v>
      </c>
    </row>
    <row r="91" spans="1:7" ht="15.75" customHeight="1">
      <c r="A91" s="72"/>
      <c r="B91" s="62" t="s">
        <v>53</v>
      </c>
      <c r="C91" s="46"/>
      <c r="D91" s="46"/>
      <c r="E91" s="46"/>
      <c r="F91" s="46"/>
      <c r="G91" s="60">
        <f>G82+G89</f>
        <v>62829.350000000006</v>
      </c>
    </row>
    <row r="92" spans="1:7" ht="15.75" customHeight="1">
      <c r="A92" s="146" t="s">
        <v>165</v>
      </c>
      <c r="B92" s="146"/>
      <c r="C92" s="146"/>
      <c r="D92" s="146"/>
      <c r="E92" s="146"/>
      <c r="F92" s="146"/>
      <c r="G92" s="146"/>
    </row>
    <row r="93" spans="1:7" ht="15.75" customHeight="1">
      <c r="A93" s="118"/>
      <c r="B93" s="147" t="s">
        <v>166</v>
      </c>
      <c r="C93" s="147"/>
      <c r="D93" s="147"/>
      <c r="E93" s="147"/>
      <c r="F93" s="147"/>
      <c r="G93" s="3"/>
    </row>
    <row r="94" spans="1:7">
      <c r="A94" s="73"/>
      <c r="B94" s="133" t="s">
        <v>6</v>
      </c>
      <c r="C94" s="133"/>
      <c r="D94" s="133"/>
      <c r="E94" s="133"/>
      <c r="F94" s="133"/>
      <c r="G94" s="74"/>
    </row>
    <row r="95" spans="1:7" ht="15.75" customHeight="1">
      <c r="A95" s="110"/>
      <c r="B95" s="110"/>
      <c r="C95" s="110"/>
      <c r="D95" s="110"/>
      <c r="E95" s="110"/>
      <c r="F95" s="110"/>
      <c r="G95" s="110"/>
    </row>
    <row r="96" spans="1:7" ht="15.75" customHeight="1">
      <c r="A96" s="130" t="s">
        <v>7</v>
      </c>
      <c r="B96" s="130"/>
      <c r="C96" s="130"/>
      <c r="D96" s="130"/>
      <c r="E96" s="130"/>
      <c r="F96" s="130"/>
      <c r="G96" s="130"/>
    </row>
    <row r="97" spans="1:7" ht="15.75" customHeight="1">
      <c r="A97" s="130" t="s">
        <v>8</v>
      </c>
      <c r="B97" s="130"/>
      <c r="C97" s="130"/>
      <c r="D97" s="130"/>
      <c r="E97" s="130"/>
      <c r="F97" s="130"/>
      <c r="G97" s="130"/>
    </row>
    <row r="98" spans="1:7" ht="15.75" customHeight="1">
      <c r="A98" s="126" t="s">
        <v>64</v>
      </c>
      <c r="B98" s="126"/>
      <c r="C98" s="126"/>
      <c r="D98" s="126"/>
      <c r="E98" s="126"/>
      <c r="F98" s="126"/>
      <c r="G98" s="126"/>
    </row>
    <row r="99" spans="1:7" ht="15.75" customHeight="1">
      <c r="A99" s="11"/>
    </row>
    <row r="100" spans="1:7" ht="15.75" customHeight="1">
      <c r="A100" s="132" t="s">
        <v>9</v>
      </c>
      <c r="B100" s="132"/>
      <c r="C100" s="132"/>
      <c r="D100" s="132"/>
      <c r="E100" s="132"/>
      <c r="F100" s="132"/>
      <c r="G100" s="132"/>
    </row>
    <row r="101" spans="1:7" ht="15.75" customHeight="1">
      <c r="A101" s="4"/>
    </row>
    <row r="102" spans="1:7" ht="15.75" customHeight="1">
      <c r="B102" s="102" t="s">
        <v>10</v>
      </c>
      <c r="C102" s="144" t="s">
        <v>176</v>
      </c>
      <c r="D102" s="144"/>
      <c r="E102" s="144"/>
      <c r="G102" s="104"/>
    </row>
    <row r="103" spans="1:7" ht="15.75" customHeight="1">
      <c r="A103" s="105"/>
      <c r="C103" s="133" t="s">
        <v>11</v>
      </c>
      <c r="D103" s="133"/>
      <c r="E103" s="133"/>
      <c r="G103" s="103" t="s">
        <v>12</v>
      </c>
    </row>
    <row r="104" spans="1:7" ht="15.75" customHeight="1">
      <c r="A104" s="34"/>
      <c r="C104" s="12"/>
      <c r="D104" s="12"/>
      <c r="F104" s="12"/>
    </row>
    <row r="105" spans="1:7" ht="15.75">
      <c r="B105" s="102" t="s">
        <v>13</v>
      </c>
      <c r="C105" s="134"/>
      <c r="D105" s="134"/>
      <c r="E105" s="134"/>
      <c r="G105" s="104"/>
    </row>
    <row r="106" spans="1:7">
      <c r="A106" s="105"/>
      <c r="C106" s="135" t="s">
        <v>11</v>
      </c>
      <c r="D106" s="135"/>
      <c r="E106" s="135"/>
      <c r="G106" s="103" t="s">
        <v>12</v>
      </c>
    </row>
    <row r="107" spans="1:7" ht="15.75" customHeight="1">
      <c r="A107" s="4" t="s">
        <v>14</v>
      </c>
    </row>
    <row r="108" spans="1:7" ht="15.75" customHeight="1">
      <c r="A108" s="136" t="s">
        <v>15</v>
      </c>
      <c r="B108" s="136"/>
      <c r="C108" s="136"/>
      <c r="D108" s="136"/>
      <c r="E108" s="136"/>
      <c r="F108" s="136"/>
      <c r="G108" s="136"/>
    </row>
    <row r="109" spans="1:7" ht="45" customHeight="1">
      <c r="A109" s="131" t="s">
        <v>16</v>
      </c>
      <c r="B109" s="131"/>
      <c r="C109" s="131"/>
      <c r="D109" s="131"/>
      <c r="E109" s="131"/>
      <c r="F109" s="131"/>
      <c r="G109" s="131"/>
    </row>
    <row r="110" spans="1:7" ht="30" customHeight="1">
      <c r="A110" s="131" t="s">
        <v>17</v>
      </c>
      <c r="B110" s="131"/>
      <c r="C110" s="131"/>
      <c r="D110" s="131"/>
      <c r="E110" s="131"/>
      <c r="F110" s="131"/>
      <c r="G110" s="131"/>
    </row>
    <row r="111" spans="1:7" ht="30" customHeight="1">
      <c r="A111" s="131" t="s">
        <v>21</v>
      </c>
      <c r="B111" s="131"/>
      <c r="C111" s="131"/>
      <c r="D111" s="131"/>
      <c r="E111" s="131"/>
      <c r="F111" s="131"/>
      <c r="G111" s="131"/>
    </row>
    <row r="112" spans="1:7" ht="15" customHeight="1">
      <c r="A112" s="131" t="s">
        <v>20</v>
      </c>
      <c r="B112" s="131"/>
      <c r="C112" s="131"/>
      <c r="D112" s="131"/>
      <c r="E112" s="131"/>
      <c r="F112" s="131"/>
      <c r="G112" s="131"/>
    </row>
  </sheetData>
  <autoFilter ref="G12:G66"/>
  <mergeCells count="29">
    <mergeCell ref="C103:E103"/>
    <mergeCell ref="C105:E105"/>
    <mergeCell ref="A112:G112"/>
    <mergeCell ref="A14:G14"/>
    <mergeCell ref="A15:G15"/>
    <mergeCell ref="A98:G98"/>
    <mergeCell ref="A100:G100"/>
    <mergeCell ref="C102:E102"/>
    <mergeCell ref="C106:E106"/>
    <mergeCell ref="A108:G108"/>
    <mergeCell ref="A109:G109"/>
    <mergeCell ref="A110:G110"/>
    <mergeCell ref="A111:G111"/>
    <mergeCell ref="A79:G79"/>
    <mergeCell ref="A3:G3"/>
    <mergeCell ref="A4:G4"/>
    <mergeCell ref="A8:G8"/>
    <mergeCell ref="A10:G10"/>
    <mergeCell ref="A5:G5"/>
    <mergeCell ref="P71:S71"/>
    <mergeCell ref="A97:G97"/>
    <mergeCell ref="A28:G28"/>
    <mergeCell ref="A44:G44"/>
    <mergeCell ref="A55:G55"/>
    <mergeCell ref="B71:F71"/>
    <mergeCell ref="A92:G92"/>
    <mergeCell ref="B93:F93"/>
    <mergeCell ref="B94:F94"/>
    <mergeCell ref="A96:G9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212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89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42429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hidden="1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hidden="1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hidden="1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hidden="1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hidden="1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f t="shared" ref="I51:I52" si="6">F51/5*G51</f>
        <v>930.25888799999996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f t="shared" si="6"/>
        <v>218.4392</v>
      </c>
      <c r="J52" s="32"/>
      <c r="L52" s="25"/>
      <c r="M52" s="26"/>
      <c r="N52" s="27"/>
    </row>
    <row r="53" spans="1:22" ht="15.75" customHeight="1">
      <c r="A53" s="38">
        <v>15</v>
      </c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f>F53/2*G53</f>
        <v>56.521300000000004</v>
      </c>
      <c r="J53" s="32"/>
      <c r="L53" s="25"/>
      <c r="M53" s="26"/>
      <c r="N53" s="27"/>
    </row>
    <row r="54" spans="1:22" ht="15.75" hidden="1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174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customHeight="1">
      <c r="A57" s="38">
        <v>16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17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hidden="1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7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7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7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7"/>
        <v>2.3492861999999999</v>
      </c>
      <c r="I66" s="16">
        <f t="shared" ref="I66:I70" si="8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7"/>
        <v>46.886638000000005</v>
      </c>
      <c r="I67" s="16">
        <f t="shared" si="8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7"/>
        <v>0.49851999999999996</v>
      </c>
      <c r="I68" s="16">
        <f t="shared" si="8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7"/>
        <v>0.46508000000000005</v>
      </c>
      <c r="I69" s="16">
        <f t="shared" si="8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7"/>
        <v>0.39904000000000001</v>
      </c>
      <c r="I70" s="16">
        <f t="shared" si="8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7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7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175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18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19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I16+I17+I18+I20+I21+I26+I27+I38+I39+I40+I41+I42+I43+I50+I53+I57+I61+I80+I81</f>
        <v>50135.718219333328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20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31.5" customHeight="1">
      <c r="A85" s="38">
        <v>21</v>
      </c>
      <c r="B85" s="82" t="s">
        <v>187</v>
      </c>
      <c r="C85" s="100" t="s">
        <v>168</v>
      </c>
      <c r="D85" s="180"/>
      <c r="E85" s="23"/>
      <c r="F85" s="181">
        <v>4</v>
      </c>
      <c r="G85" s="16">
        <v>559.62</v>
      </c>
      <c r="H85" s="181">
        <f t="shared" ref="H85:H86" si="9">G85*F85/1000</f>
        <v>2.23848</v>
      </c>
      <c r="I85" s="178">
        <f>G85</f>
        <v>559.62</v>
      </c>
    </row>
    <row r="86" spans="1:9" ht="15.75" customHeight="1">
      <c r="A86" s="38">
        <v>22</v>
      </c>
      <c r="B86" s="82" t="s">
        <v>188</v>
      </c>
      <c r="C86" s="100" t="s">
        <v>189</v>
      </c>
      <c r="D86" s="180"/>
      <c r="E86" s="23"/>
      <c r="F86" s="181">
        <v>1.5</v>
      </c>
      <c r="G86" s="16">
        <v>1501</v>
      </c>
      <c r="H86" s="183">
        <f t="shared" si="9"/>
        <v>2.2515000000000001</v>
      </c>
      <c r="I86" s="178">
        <f>G86*1.5</f>
        <v>2251.5</v>
      </c>
    </row>
    <row r="87" spans="1:9" ht="15.75" customHeight="1">
      <c r="A87" s="38"/>
      <c r="B87" s="61" t="s">
        <v>52</v>
      </c>
      <c r="C87" s="57"/>
      <c r="D87" s="71"/>
      <c r="E87" s="57">
        <v>1</v>
      </c>
      <c r="F87" s="57"/>
      <c r="G87" s="57"/>
      <c r="H87" s="57"/>
      <c r="I87" s="40">
        <f>SUM(I84:I86)</f>
        <v>5902.6</v>
      </c>
    </row>
    <row r="88" spans="1:9" ht="15.75" customHeight="1">
      <c r="A88" s="38"/>
      <c r="B88" s="67" t="s">
        <v>85</v>
      </c>
      <c r="C88" s="19"/>
      <c r="D88" s="19"/>
      <c r="E88" s="58"/>
      <c r="F88" s="58"/>
      <c r="G88" s="59"/>
      <c r="H88" s="59"/>
      <c r="I88" s="22">
        <v>0</v>
      </c>
    </row>
    <row r="89" spans="1:9" ht="15.75" customHeight="1">
      <c r="A89" s="72"/>
      <c r="B89" s="62" t="s">
        <v>53</v>
      </c>
      <c r="C89" s="46"/>
      <c r="D89" s="46"/>
      <c r="E89" s="46"/>
      <c r="F89" s="46"/>
      <c r="G89" s="46"/>
      <c r="H89" s="46"/>
      <c r="I89" s="60">
        <f>I82+I87</f>
        <v>56038.318219333327</v>
      </c>
    </row>
    <row r="90" spans="1:9" ht="15.75" customHeight="1">
      <c r="A90" s="146" t="s">
        <v>213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 customHeight="1">
      <c r="A91" s="118"/>
      <c r="B91" s="147" t="s">
        <v>214</v>
      </c>
      <c r="C91" s="147"/>
      <c r="D91" s="147"/>
      <c r="E91" s="147"/>
      <c r="F91" s="147"/>
      <c r="G91" s="147"/>
      <c r="H91" s="152"/>
      <c r="I91" s="3"/>
    </row>
    <row r="92" spans="1:9">
      <c r="A92" s="73"/>
      <c r="B92" s="133" t="s">
        <v>6</v>
      </c>
      <c r="C92" s="133"/>
      <c r="D92" s="133"/>
      <c r="E92" s="133"/>
      <c r="F92" s="133"/>
      <c r="G92" s="133"/>
      <c r="H92" s="33"/>
      <c r="I92" s="74"/>
    </row>
    <row r="93" spans="1:9" ht="15.75" customHeight="1">
      <c r="A93" s="110"/>
      <c r="B93" s="110"/>
      <c r="C93" s="110"/>
      <c r="D93" s="110"/>
      <c r="E93" s="110"/>
      <c r="F93" s="110"/>
      <c r="G93" s="110"/>
      <c r="H93" s="110"/>
      <c r="I93" s="110"/>
    </row>
    <row r="94" spans="1:9" ht="15.75" customHeight="1">
      <c r="A94" s="130" t="s">
        <v>7</v>
      </c>
      <c r="B94" s="130"/>
      <c r="C94" s="130"/>
      <c r="D94" s="130"/>
      <c r="E94" s="130"/>
      <c r="F94" s="130"/>
      <c r="G94" s="130"/>
      <c r="H94" s="130"/>
      <c r="I94" s="130"/>
    </row>
    <row r="95" spans="1:9" ht="15.75" customHeight="1">
      <c r="A95" s="130" t="s">
        <v>8</v>
      </c>
      <c r="B95" s="130"/>
      <c r="C95" s="130"/>
      <c r="D95" s="130"/>
      <c r="E95" s="130"/>
      <c r="F95" s="130"/>
      <c r="G95" s="130"/>
      <c r="H95" s="130"/>
      <c r="I95" s="130"/>
    </row>
    <row r="96" spans="1:9" ht="15.75" customHeight="1">
      <c r="A96" s="126" t="s">
        <v>64</v>
      </c>
      <c r="B96" s="126"/>
      <c r="C96" s="126"/>
      <c r="D96" s="126"/>
      <c r="E96" s="126"/>
      <c r="F96" s="126"/>
      <c r="G96" s="126"/>
      <c r="H96" s="126"/>
      <c r="I96" s="126"/>
    </row>
    <row r="97" spans="1:9" ht="15.75" customHeight="1">
      <c r="A97" s="11"/>
    </row>
    <row r="98" spans="1:9" ht="15.75" customHeight="1">
      <c r="A98" s="132" t="s">
        <v>9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 customHeight="1">
      <c r="A99" s="4"/>
    </row>
    <row r="100" spans="1:9" ht="15.75" customHeight="1">
      <c r="B100" s="115" t="s">
        <v>10</v>
      </c>
      <c r="C100" s="144" t="s">
        <v>176</v>
      </c>
      <c r="D100" s="144"/>
      <c r="E100" s="144"/>
      <c r="F100" s="150"/>
      <c r="I100" s="113"/>
    </row>
    <row r="101" spans="1:9" ht="15.75" customHeight="1">
      <c r="A101" s="114"/>
      <c r="C101" s="133" t="s">
        <v>11</v>
      </c>
      <c r="D101" s="133"/>
      <c r="E101" s="133"/>
      <c r="F101" s="33"/>
      <c r="I101" s="112" t="s">
        <v>12</v>
      </c>
    </row>
    <row r="102" spans="1:9" ht="15.75" customHeight="1">
      <c r="A102" s="34"/>
      <c r="C102" s="12"/>
      <c r="D102" s="12"/>
      <c r="G102" s="12"/>
      <c r="H102" s="12"/>
    </row>
    <row r="103" spans="1:9" ht="15.75">
      <c r="B103" s="115" t="s">
        <v>13</v>
      </c>
      <c r="C103" s="134"/>
      <c r="D103" s="134"/>
      <c r="E103" s="134"/>
      <c r="F103" s="151"/>
      <c r="I103" s="113"/>
    </row>
    <row r="104" spans="1:9">
      <c r="A104" s="114"/>
      <c r="C104" s="135" t="s">
        <v>11</v>
      </c>
      <c r="D104" s="135"/>
      <c r="E104" s="135"/>
      <c r="F104" s="114"/>
      <c r="I104" s="112" t="s">
        <v>12</v>
      </c>
    </row>
    <row r="105" spans="1:9" ht="15.75" customHeight="1">
      <c r="A105" s="4" t="s">
        <v>14</v>
      </c>
    </row>
    <row r="106" spans="1:9" ht="15.75" customHeight="1">
      <c r="A106" s="136" t="s">
        <v>15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ht="45" customHeight="1">
      <c r="A107" s="131" t="s">
        <v>16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30" customHeight="1">
      <c r="A108" s="131" t="s">
        <v>17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30" customHeight="1">
      <c r="A109" s="131" t="s">
        <v>21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15" customHeight="1">
      <c r="A110" s="131" t="s">
        <v>20</v>
      </c>
      <c r="B110" s="131"/>
      <c r="C110" s="131"/>
      <c r="D110" s="131"/>
      <c r="E110" s="131"/>
      <c r="F110" s="131"/>
      <c r="G110" s="131"/>
      <c r="H110" s="131"/>
      <c r="I110" s="131"/>
    </row>
  </sheetData>
  <autoFilter ref="I12:I61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0:I90"/>
    <mergeCell ref="B91:G91"/>
    <mergeCell ref="B92:G92"/>
    <mergeCell ref="A94:I94"/>
    <mergeCell ref="A95:I95"/>
    <mergeCell ref="A96:I96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215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91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42460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hidden="1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hidden="1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hidden="1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hidden="1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hidden="1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hidden="1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hidden="1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hidden="1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177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customHeight="1">
      <c r="A57" s="38">
        <v>14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15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hidden="1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customHeight="1">
      <c r="A78" s="38">
        <v>16</v>
      </c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f>G78</f>
        <v>10966.5</v>
      </c>
    </row>
    <row r="79" spans="1:21" ht="15.75" customHeight="1">
      <c r="A79" s="141" t="s">
        <v>178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17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18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I16+I17+I18+I20+I21+I26+I27+I38+I39+I40+I41+I42+I43+I57+I61+I78+I80+I81</f>
        <v>58720.049699333329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19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31.5" customHeight="1">
      <c r="A85" s="38">
        <v>20</v>
      </c>
      <c r="B85" s="82" t="s">
        <v>187</v>
      </c>
      <c r="C85" s="100" t="s">
        <v>168</v>
      </c>
      <c r="D85" s="180"/>
      <c r="E85" s="23"/>
      <c r="F85" s="181">
        <v>4</v>
      </c>
      <c r="G85" s="16">
        <v>559.62</v>
      </c>
      <c r="H85" s="181">
        <f t="shared" ref="H85:H90" si="8">G85*F85/1000</f>
        <v>2.23848</v>
      </c>
      <c r="I85" s="178">
        <f>G85*3</f>
        <v>1678.8600000000001</v>
      </c>
    </row>
    <row r="86" spans="1:9" ht="15.75" customHeight="1">
      <c r="A86" s="38">
        <v>21</v>
      </c>
      <c r="B86" s="82" t="s">
        <v>190</v>
      </c>
      <c r="C86" s="100" t="s">
        <v>168</v>
      </c>
      <c r="D86" s="180"/>
      <c r="E86" s="23"/>
      <c r="F86" s="181">
        <v>1</v>
      </c>
      <c r="G86" s="16">
        <v>195.95</v>
      </c>
      <c r="H86" s="183">
        <f t="shared" si="8"/>
        <v>0.19594999999999999</v>
      </c>
      <c r="I86" s="178">
        <f>G86</f>
        <v>195.95</v>
      </c>
    </row>
    <row r="87" spans="1:9" ht="15.75" customHeight="1">
      <c r="A87" s="38">
        <v>22</v>
      </c>
      <c r="B87" s="82" t="s">
        <v>191</v>
      </c>
      <c r="C87" s="100" t="s">
        <v>192</v>
      </c>
      <c r="D87" s="180"/>
      <c r="E87" s="23"/>
      <c r="F87" s="181">
        <v>1</v>
      </c>
      <c r="G87" s="16">
        <v>290.67</v>
      </c>
      <c r="H87" s="183">
        <f t="shared" si="8"/>
        <v>0.29067000000000004</v>
      </c>
      <c r="I87" s="178">
        <f t="shared" ref="I87:I89" si="9">G87</f>
        <v>290.67</v>
      </c>
    </row>
    <row r="88" spans="1:9" ht="31.5" customHeight="1">
      <c r="A88" s="38">
        <v>23</v>
      </c>
      <c r="B88" s="82" t="s">
        <v>193</v>
      </c>
      <c r="C88" s="100" t="s">
        <v>168</v>
      </c>
      <c r="D88" s="180"/>
      <c r="E88" s="23"/>
      <c r="F88" s="181">
        <v>2</v>
      </c>
      <c r="G88" s="16">
        <v>762.37</v>
      </c>
      <c r="H88" s="181">
        <f t="shared" si="8"/>
        <v>1.52474</v>
      </c>
      <c r="I88" s="178">
        <f>G88*2</f>
        <v>1524.74</v>
      </c>
    </row>
    <row r="89" spans="1:9" ht="15.75" customHeight="1">
      <c r="A89" s="38">
        <v>24</v>
      </c>
      <c r="B89" s="82" t="s">
        <v>194</v>
      </c>
      <c r="C89" s="100" t="s">
        <v>98</v>
      </c>
      <c r="D89" s="180"/>
      <c r="E89" s="23"/>
      <c r="F89" s="181">
        <v>4</v>
      </c>
      <c r="G89" s="16">
        <v>185.81</v>
      </c>
      <c r="H89" s="183">
        <f t="shared" si="8"/>
        <v>0.74324000000000001</v>
      </c>
      <c r="I89" s="178">
        <f t="shared" si="9"/>
        <v>185.81</v>
      </c>
    </row>
    <row r="90" spans="1:9" ht="31.5" customHeight="1">
      <c r="A90" s="38">
        <v>25</v>
      </c>
      <c r="B90" s="182" t="s">
        <v>185</v>
      </c>
      <c r="C90" s="38" t="s">
        <v>115</v>
      </c>
      <c r="D90" s="180"/>
      <c r="E90" s="23"/>
      <c r="F90" s="181">
        <f>0.27/10</f>
        <v>2.7000000000000003E-2</v>
      </c>
      <c r="G90" s="16">
        <v>39222.99</v>
      </c>
      <c r="H90" s="183">
        <f t="shared" si="8"/>
        <v>1.0590207299999999</v>
      </c>
      <c r="I90" s="178">
        <f>G90*(0.27/10)</f>
        <v>1059.02073</v>
      </c>
    </row>
    <row r="91" spans="1:9" ht="15.75" customHeight="1">
      <c r="A91" s="38"/>
      <c r="B91" s="61" t="s">
        <v>52</v>
      </c>
      <c r="C91" s="57"/>
      <c r="D91" s="71"/>
      <c r="E91" s="57">
        <v>1</v>
      </c>
      <c r="F91" s="57"/>
      <c r="G91" s="57"/>
      <c r="H91" s="57"/>
      <c r="I91" s="40">
        <f>SUM(I84:I90)</f>
        <v>8026.5307300000004</v>
      </c>
    </row>
    <row r="92" spans="1:9" ht="15.75" customHeight="1">
      <c r="A92" s="38"/>
      <c r="B92" s="67" t="s">
        <v>85</v>
      </c>
      <c r="C92" s="19"/>
      <c r="D92" s="19"/>
      <c r="E92" s="58"/>
      <c r="F92" s="58"/>
      <c r="G92" s="59"/>
      <c r="H92" s="59"/>
      <c r="I92" s="22">
        <v>0</v>
      </c>
    </row>
    <row r="93" spans="1:9" ht="15.75" customHeight="1">
      <c r="A93" s="72"/>
      <c r="B93" s="62" t="s">
        <v>53</v>
      </c>
      <c r="C93" s="46"/>
      <c r="D93" s="46"/>
      <c r="E93" s="46"/>
      <c r="F93" s="46"/>
      <c r="G93" s="46"/>
      <c r="H93" s="46"/>
      <c r="I93" s="60">
        <f>I82+I91</f>
        <v>66746.580429333335</v>
      </c>
    </row>
    <row r="94" spans="1:9" ht="15.75" customHeight="1">
      <c r="A94" s="146" t="s">
        <v>216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 customHeight="1">
      <c r="A95" s="118"/>
      <c r="B95" s="147" t="s">
        <v>217</v>
      </c>
      <c r="C95" s="147"/>
      <c r="D95" s="147"/>
      <c r="E95" s="147"/>
      <c r="F95" s="147"/>
      <c r="G95" s="147"/>
      <c r="H95" s="152"/>
      <c r="I95" s="3"/>
    </row>
    <row r="96" spans="1:9">
      <c r="A96" s="73"/>
      <c r="B96" s="133" t="s">
        <v>6</v>
      </c>
      <c r="C96" s="133"/>
      <c r="D96" s="133"/>
      <c r="E96" s="133"/>
      <c r="F96" s="133"/>
      <c r="G96" s="133"/>
      <c r="H96" s="33"/>
      <c r="I96" s="74"/>
    </row>
    <row r="97" spans="1:9" ht="15.75" customHeight="1">
      <c r="A97" s="110"/>
      <c r="B97" s="110"/>
      <c r="C97" s="110"/>
      <c r="D97" s="110"/>
      <c r="E97" s="110"/>
      <c r="F97" s="110"/>
      <c r="G97" s="110"/>
      <c r="H97" s="110"/>
      <c r="I97" s="110"/>
    </row>
    <row r="98" spans="1:9" ht="15.75" customHeight="1">
      <c r="A98" s="130" t="s">
        <v>7</v>
      </c>
      <c r="B98" s="130"/>
      <c r="C98" s="130"/>
      <c r="D98" s="130"/>
      <c r="E98" s="130"/>
      <c r="F98" s="130"/>
      <c r="G98" s="130"/>
      <c r="H98" s="130"/>
      <c r="I98" s="130"/>
    </row>
    <row r="99" spans="1:9" ht="15.75" customHeight="1">
      <c r="A99" s="130" t="s">
        <v>8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 customHeight="1">
      <c r="A100" s="126" t="s">
        <v>64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ht="15.75" customHeight="1">
      <c r="A101" s="11"/>
    </row>
    <row r="102" spans="1:9" ht="15.75" customHeight="1">
      <c r="A102" s="132" t="s">
        <v>9</v>
      </c>
      <c r="B102" s="132"/>
      <c r="C102" s="132"/>
      <c r="D102" s="132"/>
      <c r="E102" s="132"/>
      <c r="F102" s="132"/>
      <c r="G102" s="132"/>
      <c r="H102" s="132"/>
      <c r="I102" s="132"/>
    </row>
    <row r="103" spans="1:9" ht="15.75" customHeight="1">
      <c r="A103" s="4"/>
    </row>
    <row r="104" spans="1:9" ht="15.75" customHeight="1">
      <c r="B104" s="115" t="s">
        <v>10</v>
      </c>
      <c r="C104" s="144" t="s">
        <v>176</v>
      </c>
      <c r="D104" s="144"/>
      <c r="E104" s="144"/>
      <c r="F104" s="150"/>
      <c r="I104" s="113"/>
    </row>
    <row r="105" spans="1:9" ht="15.75" customHeight="1">
      <c r="A105" s="114"/>
      <c r="C105" s="133" t="s">
        <v>11</v>
      </c>
      <c r="D105" s="133"/>
      <c r="E105" s="133"/>
      <c r="F105" s="33"/>
      <c r="I105" s="112" t="s">
        <v>12</v>
      </c>
    </row>
    <row r="106" spans="1:9" ht="15.75" customHeight="1">
      <c r="A106" s="34"/>
      <c r="C106" s="12"/>
      <c r="D106" s="12"/>
      <c r="G106" s="12"/>
      <c r="H106" s="12"/>
    </row>
    <row r="107" spans="1:9" ht="15.75">
      <c r="B107" s="115" t="s">
        <v>13</v>
      </c>
      <c r="C107" s="134"/>
      <c r="D107" s="134"/>
      <c r="E107" s="134"/>
      <c r="F107" s="151"/>
      <c r="I107" s="113"/>
    </row>
    <row r="108" spans="1:9">
      <c r="A108" s="114"/>
      <c r="C108" s="135" t="s">
        <v>11</v>
      </c>
      <c r="D108" s="135"/>
      <c r="E108" s="135"/>
      <c r="F108" s="114"/>
      <c r="I108" s="112" t="s">
        <v>12</v>
      </c>
    </row>
    <row r="109" spans="1:9" ht="15.75" customHeight="1">
      <c r="A109" s="4" t="s">
        <v>14</v>
      </c>
    </row>
    <row r="110" spans="1:9" ht="15.75" customHeight="1">
      <c r="A110" s="136" t="s">
        <v>15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45" customHeight="1">
      <c r="A111" s="131" t="s">
        <v>16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30" customHeight="1">
      <c r="A112" s="131" t="s">
        <v>17</v>
      </c>
      <c r="B112" s="131"/>
      <c r="C112" s="131"/>
      <c r="D112" s="131"/>
      <c r="E112" s="131"/>
      <c r="F112" s="131"/>
      <c r="G112" s="131"/>
      <c r="H112" s="131"/>
      <c r="I112" s="131"/>
    </row>
    <row r="113" spans="1:9" ht="30" customHeight="1">
      <c r="A113" s="131" t="s">
        <v>21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15" customHeight="1">
      <c r="A114" s="131" t="s">
        <v>20</v>
      </c>
      <c r="B114" s="131"/>
      <c r="C114" s="131"/>
      <c r="D114" s="131"/>
      <c r="E114" s="131"/>
      <c r="F114" s="131"/>
      <c r="G114" s="131"/>
      <c r="H114" s="131"/>
      <c r="I114" s="131"/>
    </row>
  </sheetData>
  <autoFilter ref="I12:I61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94:I94"/>
    <mergeCell ref="B95:G95"/>
    <mergeCell ref="B96:G96"/>
    <mergeCell ref="A98:I98"/>
    <mergeCell ref="A99:I99"/>
    <mergeCell ref="A100:I100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218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92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42490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hidden="1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hidden="1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hidden="1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hidden="1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hidden="1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hidden="1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customHeight="1">
      <c r="A51" s="38">
        <v>14</v>
      </c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f>F51/2*G51</f>
        <v>2325.6472199999998</v>
      </c>
      <c r="J51" s="32"/>
      <c r="L51" s="25"/>
      <c r="M51" s="26"/>
      <c r="N51" s="27"/>
    </row>
    <row r="52" spans="1:22" ht="31.5" customHeight="1">
      <c r="A52" s="38">
        <v>15</v>
      </c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f>F52/2*G52</f>
        <v>546.09799999999996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customHeight="1">
      <c r="A54" s="38">
        <v>16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174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customHeight="1">
      <c r="A57" s="38">
        <v>17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18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customHeight="1">
      <c r="A63" s="38">
        <v>19</v>
      </c>
      <c r="B63" s="18" t="s">
        <v>47</v>
      </c>
      <c r="C63" s="20" t="s">
        <v>129</v>
      </c>
      <c r="D63" s="18" t="s">
        <v>73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f>G63</f>
        <v>222.4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175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20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21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I16+I17+I18+I20+I21+I26+I27+I38+I39+I40+I41+I42+I43+I51+I52+I54+I57+I61+I63+I80+I81</f>
        <v>58728.094919333329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22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31.5" customHeight="1">
      <c r="A85" s="38">
        <v>23</v>
      </c>
      <c r="B85" s="82" t="s">
        <v>87</v>
      </c>
      <c r="C85" s="100" t="s">
        <v>31</v>
      </c>
      <c r="D85" s="180"/>
      <c r="E85" s="23"/>
      <c r="F85" s="181">
        <v>4</v>
      </c>
      <c r="G85" s="16">
        <v>79.09</v>
      </c>
      <c r="H85" s="181">
        <f>G85*F85/1000</f>
        <v>0.31636000000000003</v>
      </c>
      <c r="I85" s="178">
        <f>G85</f>
        <v>79.09</v>
      </c>
    </row>
    <row r="86" spans="1:9" ht="15.75" customHeight="1">
      <c r="A86" s="38">
        <v>24</v>
      </c>
      <c r="B86" s="82" t="s">
        <v>195</v>
      </c>
      <c r="C86" s="100" t="s">
        <v>129</v>
      </c>
      <c r="D86" s="18"/>
      <c r="E86" s="23"/>
      <c r="F86" s="16">
        <v>1</v>
      </c>
      <c r="G86" s="16">
        <v>1027.21</v>
      </c>
      <c r="H86" s="171">
        <f>G86*F86/1000</f>
        <v>1.02721</v>
      </c>
      <c r="I86" s="16">
        <f>G86</f>
        <v>1027.21</v>
      </c>
    </row>
    <row r="87" spans="1:9" ht="15.75" customHeight="1">
      <c r="A87" s="38"/>
      <c r="B87" s="61" t="s">
        <v>52</v>
      </c>
      <c r="C87" s="57"/>
      <c r="D87" s="71"/>
      <c r="E87" s="57">
        <v>1</v>
      </c>
      <c r="F87" s="57"/>
      <c r="G87" s="57"/>
      <c r="H87" s="57"/>
      <c r="I87" s="40">
        <f>SUM(I84:I86)</f>
        <v>4197.7800000000007</v>
      </c>
    </row>
    <row r="88" spans="1:9" ht="15.75" customHeight="1">
      <c r="A88" s="38"/>
      <c r="B88" s="67" t="s">
        <v>85</v>
      </c>
      <c r="C88" s="19"/>
      <c r="D88" s="19"/>
      <c r="E88" s="58"/>
      <c r="F88" s="58"/>
      <c r="G88" s="59"/>
      <c r="H88" s="59"/>
      <c r="I88" s="22">
        <v>0</v>
      </c>
    </row>
    <row r="89" spans="1:9" ht="15.75" customHeight="1">
      <c r="A89" s="72"/>
      <c r="B89" s="62" t="s">
        <v>53</v>
      </c>
      <c r="C89" s="46"/>
      <c r="D89" s="46"/>
      <c r="E89" s="46"/>
      <c r="F89" s="46"/>
      <c r="G89" s="46"/>
      <c r="H89" s="46"/>
      <c r="I89" s="60">
        <f>I82+I87</f>
        <v>62925.874919333328</v>
      </c>
    </row>
    <row r="90" spans="1:9" ht="15.75" customHeight="1">
      <c r="A90" s="146" t="s">
        <v>219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 customHeight="1">
      <c r="A91" s="118"/>
      <c r="B91" s="147" t="s">
        <v>220</v>
      </c>
      <c r="C91" s="147"/>
      <c r="D91" s="147"/>
      <c r="E91" s="147"/>
      <c r="F91" s="147"/>
      <c r="G91" s="147"/>
      <c r="H91" s="152"/>
      <c r="I91" s="3"/>
    </row>
    <row r="92" spans="1:9">
      <c r="A92" s="73"/>
      <c r="B92" s="133" t="s">
        <v>6</v>
      </c>
      <c r="C92" s="133"/>
      <c r="D92" s="133"/>
      <c r="E92" s="133"/>
      <c r="F92" s="133"/>
      <c r="G92" s="133"/>
      <c r="H92" s="33"/>
      <c r="I92" s="74"/>
    </row>
    <row r="93" spans="1:9" ht="15.75" customHeight="1">
      <c r="A93" s="110"/>
      <c r="B93" s="110"/>
      <c r="C93" s="110"/>
      <c r="D93" s="110"/>
      <c r="E93" s="110"/>
      <c r="F93" s="110"/>
      <c r="G93" s="110"/>
      <c r="H93" s="110"/>
      <c r="I93" s="110"/>
    </row>
    <row r="94" spans="1:9" ht="15.75" customHeight="1">
      <c r="A94" s="130" t="s">
        <v>7</v>
      </c>
      <c r="B94" s="130"/>
      <c r="C94" s="130"/>
      <c r="D94" s="130"/>
      <c r="E94" s="130"/>
      <c r="F94" s="130"/>
      <c r="G94" s="130"/>
      <c r="H94" s="130"/>
      <c r="I94" s="130"/>
    </row>
    <row r="95" spans="1:9" ht="15.75" customHeight="1">
      <c r="A95" s="130" t="s">
        <v>8</v>
      </c>
      <c r="B95" s="130"/>
      <c r="C95" s="130"/>
      <c r="D95" s="130"/>
      <c r="E95" s="130"/>
      <c r="F95" s="130"/>
      <c r="G95" s="130"/>
      <c r="H95" s="130"/>
      <c r="I95" s="130"/>
    </row>
    <row r="96" spans="1:9" ht="15.75" customHeight="1">
      <c r="A96" s="126" t="s">
        <v>64</v>
      </c>
      <c r="B96" s="126"/>
      <c r="C96" s="126"/>
      <c r="D96" s="126"/>
      <c r="E96" s="126"/>
      <c r="F96" s="126"/>
      <c r="G96" s="126"/>
      <c r="H96" s="126"/>
      <c r="I96" s="126"/>
    </row>
    <row r="97" spans="1:9" ht="15.75" customHeight="1">
      <c r="A97" s="11"/>
    </row>
    <row r="98" spans="1:9" ht="15.75" customHeight="1">
      <c r="A98" s="132" t="s">
        <v>9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 customHeight="1">
      <c r="A99" s="4"/>
    </row>
    <row r="100" spans="1:9" ht="15.75" customHeight="1">
      <c r="B100" s="115" t="s">
        <v>10</v>
      </c>
      <c r="C100" s="144" t="s">
        <v>176</v>
      </c>
      <c r="D100" s="144"/>
      <c r="E100" s="144"/>
      <c r="F100" s="150"/>
      <c r="I100" s="113"/>
    </row>
    <row r="101" spans="1:9" ht="15.75" customHeight="1">
      <c r="A101" s="114"/>
      <c r="C101" s="133" t="s">
        <v>11</v>
      </c>
      <c r="D101" s="133"/>
      <c r="E101" s="133"/>
      <c r="F101" s="33"/>
      <c r="I101" s="112" t="s">
        <v>12</v>
      </c>
    </row>
    <row r="102" spans="1:9" ht="15.75" customHeight="1">
      <c r="A102" s="34"/>
      <c r="C102" s="12"/>
      <c r="D102" s="12"/>
      <c r="G102" s="12"/>
      <c r="H102" s="12"/>
    </row>
    <row r="103" spans="1:9" ht="15.75">
      <c r="B103" s="115" t="s">
        <v>13</v>
      </c>
      <c r="C103" s="134"/>
      <c r="D103" s="134"/>
      <c r="E103" s="134"/>
      <c r="F103" s="151"/>
      <c r="I103" s="113"/>
    </row>
    <row r="104" spans="1:9">
      <c r="A104" s="114"/>
      <c r="C104" s="135" t="s">
        <v>11</v>
      </c>
      <c r="D104" s="135"/>
      <c r="E104" s="135"/>
      <c r="F104" s="114"/>
      <c r="I104" s="112" t="s">
        <v>12</v>
      </c>
    </row>
    <row r="105" spans="1:9" ht="15.75" customHeight="1">
      <c r="A105" s="4" t="s">
        <v>14</v>
      </c>
    </row>
    <row r="106" spans="1:9" ht="15.75" customHeight="1">
      <c r="A106" s="136" t="s">
        <v>15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ht="45" customHeight="1">
      <c r="A107" s="131" t="s">
        <v>16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30" customHeight="1">
      <c r="A108" s="131" t="s">
        <v>17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30" customHeight="1">
      <c r="A109" s="131" t="s">
        <v>21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15" customHeight="1">
      <c r="A110" s="131" t="s">
        <v>20</v>
      </c>
      <c r="B110" s="131"/>
      <c r="C110" s="131"/>
      <c r="D110" s="131"/>
      <c r="E110" s="131"/>
      <c r="F110" s="131"/>
      <c r="G110" s="131"/>
      <c r="H110" s="131"/>
      <c r="I110" s="131"/>
    </row>
  </sheetData>
  <autoFilter ref="I12:I61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0:I90"/>
    <mergeCell ref="B91:G91"/>
    <mergeCell ref="B92:G92"/>
    <mergeCell ref="A94:I94"/>
    <mergeCell ref="A95:I95"/>
    <mergeCell ref="A96:I96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221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94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42521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customHeight="1">
      <c r="A19" s="38">
        <v>4</v>
      </c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f>F19/2*G19</f>
        <v>239.58527999999998</v>
      </c>
      <c r="J19" s="31"/>
      <c r="K19" s="8"/>
      <c r="L19" s="8"/>
      <c r="M19" s="8"/>
    </row>
    <row r="20" spans="1:13" ht="15.75" customHeight="1">
      <c r="A20" s="38">
        <v>5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6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customHeight="1">
      <c r="A22" s="38">
        <v>7</v>
      </c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f>F22*G22</f>
        <v>961.25819999999987</v>
      </c>
      <c r="J22" s="31"/>
      <c r="K22" s="8"/>
      <c r="L22" s="8"/>
      <c r="M22" s="8"/>
    </row>
    <row r="23" spans="1:13" ht="15.75" customHeight="1">
      <c r="A23" s="38">
        <v>8</v>
      </c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f t="shared" ref="I23:I25" si="1">F23*G23</f>
        <v>21.39207</v>
      </c>
      <c r="J23" s="31"/>
      <c r="K23" s="8"/>
      <c r="L23" s="8"/>
      <c r="M23" s="8"/>
    </row>
    <row r="24" spans="1:13" ht="15.75" customHeight="1">
      <c r="A24" s="38">
        <v>9</v>
      </c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f t="shared" si="1"/>
        <v>77.944000000000017</v>
      </c>
      <c r="J24" s="31"/>
      <c r="K24" s="8"/>
      <c r="L24" s="8"/>
      <c r="M24" s="8"/>
    </row>
    <row r="25" spans="1:13" ht="15.75" customHeight="1">
      <c r="A25" s="38">
        <v>10</v>
      </c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f t="shared" si="1"/>
        <v>44.268000000000001</v>
      </c>
      <c r="J25" s="31"/>
      <c r="K25" s="8"/>
      <c r="L25" s="8"/>
      <c r="M25" s="8"/>
    </row>
    <row r="26" spans="1:13" ht="15.75" customHeight="1">
      <c r="A26" s="38">
        <v>11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12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customHeight="1">
      <c r="A30" s="38">
        <v>13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2">SUM(F30*G30/1000)</f>
        <v>5.4076993880000011</v>
      </c>
      <c r="I30" s="16">
        <f t="shared" ref="I30:I34" si="3">F30/6*G30</f>
        <v>901.28323133333345</v>
      </c>
      <c r="J30" s="31"/>
      <c r="K30" s="8"/>
      <c r="L30" s="8"/>
      <c r="M30" s="8"/>
    </row>
    <row r="31" spans="1:13" ht="31.5" customHeight="1">
      <c r="A31" s="38">
        <v>14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2"/>
        <v>9.2288080872000009</v>
      </c>
      <c r="I31" s="16">
        <f t="shared" si="3"/>
        <v>1538.1346812000002</v>
      </c>
      <c r="J31" s="31"/>
      <c r="K31" s="8"/>
      <c r="L31" s="8"/>
      <c r="M31" s="8"/>
    </row>
    <row r="32" spans="1:13" ht="15.75" customHeight="1">
      <c r="A32" s="38">
        <v>15</v>
      </c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2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customHeight="1">
      <c r="A33" s="38">
        <v>16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3"/>
        <v>336.35516666666672</v>
      </c>
      <c r="J33" s="31"/>
      <c r="K33" s="8"/>
      <c r="L33" s="8"/>
      <c r="M33" s="8"/>
    </row>
    <row r="34" spans="1:14" ht="15.75" customHeight="1">
      <c r="A34" s="38">
        <v>17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3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2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2"/>
        <v>2.2726599999999997</v>
      </c>
      <c r="I36" s="16">
        <v>0</v>
      </c>
      <c r="J36" s="32"/>
    </row>
    <row r="37" spans="1:14" ht="15.75" hidden="1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hidden="1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4">SUM(F38*G38/1000)</f>
        <v>15.272200000000002</v>
      </c>
      <c r="I38" s="16">
        <f t="shared" ref="I38:I43" si="5">F38/6*G38</f>
        <v>2545.3666666666668</v>
      </c>
      <c r="J38" s="32"/>
    </row>
    <row r="39" spans="1:14" ht="15.75" hidden="1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4"/>
        <v>19.238955416</v>
      </c>
      <c r="I39" s="16">
        <f t="shared" si="5"/>
        <v>3206.492569333333</v>
      </c>
      <c r="J39" s="32"/>
      <c r="L39" s="25"/>
      <c r="M39" s="26"/>
      <c r="N39" s="27"/>
    </row>
    <row r="40" spans="1:14" ht="15.75" hidden="1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4"/>
        <v>5.8367605999999999</v>
      </c>
      <c r="I40" s="16">
        <f t="shared" si="5"/>
        <v>972.79343333333316</v>
      </c>
      <c r="J40" s="32"/>
      <c r="L40" s="25"/>
      <c r="M40" s="26"/>
      <c r="N40" s="27"/>
    </row>
    <row r="41" spans="1:14" ht="48" hidden="1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4"/>
        <v>6.9639359999999995</v>
      </c>
      <c r="I41" s="16">
        <f t="shared" si="5"/>
        <v>1160.6559999999999</v>
      </c>
      <c r="J41" s="32"/>
      <c r="L41" s="25"/>
      <c r="M41" s="26"/>
      <c r="N41" s="27"/>
    </row>
    <row r="42" spans="1:14" ht="15.75" hidden="1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4"/>
        <v>2.3797994399999998</v>
      </c>
      <c r="I42" s="16">
        <f t="shared" si="5"/>
        <v>396.63323999999994</v>
      </c>
      <c r="J42" s="32"/>
      <c r="L42" s="25"/>
      <c r="M42" s="26"/>
      <c r="N42" s="27"/>
    </row>
    <row r="43" spans="1:14" ht="15.75" hidden="1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4"/>
        <v>0.71820000000000006</v>
      </c>
      <c r="I43" s="16">
        <f t="shared" si="5"/>
        <v>119.69999999999999</v>
      </c>
      <c r="J43" s="32"/>
      <c r="L43" s="25"/>
      <c r="M43" s="26"/>
      <c r="N43" s="27"/>
    </row>
    <row r="44" spans="1:14" ht="15.75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customHeight="1">
      <c r="A45" s="38">
        <v>18</v>
      </c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6">SUM(F45*G45/1000)</f>
        <v>1.9397321700000003</v>
      </c>
      <c r="I45" s="16">
        <f>F45/2*G45</f>
        <v>969.86608500000011</v>
      </c>
      <c r="J45" s="32"/>
      <c r="L45" s="25"/>
      <c r="M45" s="26"/>
      <c r="N45" s="27"/>
    </row>
    <row r="46" spans="1:14" ht="15.75" customHeight="1">
      <c r="A46" s="38">
        <v>19</v>
      </c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6"/>
        <v>4.7569599999999997E-2</v>
      </c>
      <c r="I46" s="16">
        <f t="shared" ref="I46:I49" si="7">F46/2*G46</f>
        <v>23.784799999999997</v>
      </c>
      <c r="J46" s="32"/>
      <c r="L46" s="25"/>
      <c r="M46" s="26"/>
      <c r="N46" s="27"/>
    </row>
    <row r="47" spans="1:14" ht="15.75" customHeight="1">
      <c r="A47" s="38">
        <v>20</v>
      </c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6"/>
        <v>1.224557136</v>
      </c>
      <c r="I47" s="16">
        <f t="shared" si="7"/>
        <v>612.27856800000006</v>
      </c>
      <c r="J47" s="32"/>
      <c r="L47" s="25"/>
      <c r="M47" s="26"/>
      <c r="N47" s="27"/>
    </row>
    <row r="48" spans="1:14" ht="15.75" customHeight="1">
      <c r="A48" s="38">
        <v>21</v>
      </c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6"/>
        <v>3.1333602799999998</v>
      </c>
      <c r="I48" s="16">
        <f t="shared" si="7"/>
        <v>1566.6801399999999</v>
      </c>
      <c r="J48" s="32"/>
      <c r="L48" s="25"/>
      <c r="M48" s="26"/>
      <c r="N48" s="27"/>
    </row>
    <row r="49" spans="1:22" ht="15.75" customHeight="1">
      <c r="A49" s="38">
        <v>22</v>
      </c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6"/>
        <v>2.44182897</v>
      </c>
      <c r="I49" s="16">
        <f t="shared" si="7"/>
        <v>1220.914485</v>
      </c>
      <c r="J49" s="32"/>
      <c r="L49" s="25"/>
      <c r="M49" s="26"/>
      <c r="N49" s="27"/>
    </row>
    <row r="50" spans="1:22" ht="15.75" customHeight="1">
      <c r="A50" s="38">
        <v>23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6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6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6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6"/>
        <v>0.11304260000000001</v>
      </c>
      <c r="I53" s="16">
        <v>0</v>
      </c>
      <c r="J53" s="32"/>
      <c r="L53" s="25"/>
      <c r="M53" s="26"/>
      <c r="N53" s="27"/>
    </row>
    <row r="54" spans="1:22" ht="15.75" hidden="1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6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174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hidden="1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hidden="1" customHeight="1">
      <c r="A57" s="38">
        <v>16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24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8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8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8">
        <v>25</v>
      </c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8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8">
        <v>26</v>
      </c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8"/>
        <v>2.3492861999999999</v>
      </c>
      <c r="I66" s="16">
        <f t="shared" ref="I66:I70" si="9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customHeight="1">
      <c r="A67" s="38">
        <v>27</v>
      </c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8"/>
        <v>46.886638000000005</v>
      </c>
      <c r="I67" s="16">
        <f t="shared" si="9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8">
        <v>28</v>
      </c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8"/>
        <v>0.49851999999999996</v>
      </c>
      <c r="I68" s="16">
        <f t="shared" si="9"/>
        <v>498.52</v>
      </c>
    </row>
    <row r="69" spans="1:21" ht="15.75" customHeight="1">
      <c r="A69" s="38">
        <v>29</v>
      </c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8"/>
        <v>0.46508000000000005</v>
      </c>
      <c r="I69" s="16">
        <f t="shared" si="9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8"/>
        <v>0.39904000000000001</v>
      </c>
      <c r="I70" s="16">
        <f t="shared" si="9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8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8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175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30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31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I16+I17+I18+I19+I20+I21+I22+I23+I24+I25+I26+I27+I30+I31+I32+I33+I34+I45+I46+I47+I48+I49+I50+I61+I65+I66+I67+I68+I69+I80+I81</f>
        <v>131022.65172908889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32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15.75" customHeight="1">
      <c r="A85" s="38">
        <v>33</v>
      </c>
      <c r="B85" s="82" t="s">
        <v>196</v>
      </c>
      <c r="C85" s="100" t="s">
        <v>168</v>
      </c>
      <c r="D85" s="180"/>
      <c r="E85" s="23"/>
      <c r="F85" s="181">
        <v>1</v>
      </c>
      <c r="G85" s="16">
        <v>332.87</v>
      </c>
      <c r="H85" s="181">
        <f>G85*F85/1000</f>
        <v>0.33287</v>
      </c>
      <c r="I85" s="178">
        <f>G85</f>
        <v>332.87</v>
      </c>
    </row>
    <row r="86" spans="1:9" ht="15.75" customHeight="1">
      <c r="A86" s="38">
        <v>33</v>
      </c>
      <c r="B86" s="82" t="s">
        <v>197</v>
      </c>
      <c r="C86" s="100" t="s">
        <v>198</v>
      </c>
      <c r="D86" s="18"/>
      <c r="E86" s="23"/>
      <c r="F86" s="16">
        <v>1</v>
      </c>
      <c r="G86" s="16">
        <v>195.95</v>
      </c>
      <c r="H86" s="181">
        <f t="shared" ref="H86:H90" si="10">G86*F86/1000</f>
        <v>0.19594999999999999</v>
      </c>
      <c r="I86" s="178">
        <f t="shared" ref="I86:I90" si="11">G86</f>
        <v>195.95</v>
      </c>
    </row>
    <row r="87" spans="1:9" ht="15.75" customHeight="1">
      <c r="A87" s="38">
        <v>34</v>
      </c>
      <c r="B87" s="82" t="s">
        <v>199</v>
      </c>
      <c r="C87" s="100" t="s">
        <v>184</v>
      </c>
      <c r="D87" s="18"/>
      <c r="E87" s="23"/>
      <c r="F87" s="16">
        <f>1/100</f>
        <v>0.01</v>
      </c>
      <c r="G87" s="16">
        <v>7033.13</v>
      </c>
      <c r="H87" s="181">
        <f t="shared" si="10"/>
        <v>7.0331299999999999E-2</v>
      </c>
      <c r="I87" s="178">
        <f>G87*0.01</f>
        <v>70.331299999999999</v>
      </c>
    </row>
    <row r="88" spans="1:9" ht="15.75" customHeight="1">
      <c r="A88" s="38">
        <v>35</v>
      </c>
      <c r="B88" s="82" t="s">
        <v>93</v>
      </c>
      <c r="C88" s="100" t="s">
        <v>129</v>
      </c>
      <c r="D88" s="18"/>
      <c r="E88" s="23"/>
      <c r="F88" s="16">
        <v>3</v>
      </c>
      <c r="G88" s="16">
        <v>180.15</v>
      </c>
      <c r="H88" s="181">
        <f t="shared" si="10"/>
        <v>0.5404500000000001</v>
      </c>
      <c r="I88" s="178">
        <f t="shared" si="11"/>
        <v>180.15</v>
      </c>
    </row>
    <row r="89" spans="1:9" ht="15.75" customHeight="1">
      <c r="A89" s="38">
        <v>36</v>
      </c>
      <c r="B89" s="153" t="s">
        <v>99</v>
      </c>
      <c r="C89" s="100" t="s">
        <v>129</v>
      </c>
      <c r="D89" s="180"/>
      <c r="E89" s="23"/>
      <c r="F89" s="181">
        <v>3</v>
      </c>
      <c r="G89" s="16">
        <v>179.96</v>
      </c>
      <c r="H89" s="181">
        <f t="shared" si="10"/>
        <v>0.53988000000000003</v>
      </c>
      <c r="I89" s="178">
        <f t="shared" si="11"/>
        <v>179.96</v>
      </c>
    </row>
    <row r="90" spans="1:9" ht="15.75" customHeight="1">
      <c r="A90" s="38">
        <v>37</v>
      </c>
      <c r="B90" s="153" t="s">
        <v>200</v>
      </c>
      <c r="C90" s="100" t="s">
        <v>162</v>
      </c>
      <c r="D90" s="180"/>
      <c r="E90" s="23"/>
      <c r="F90" s="181">
        <v>1</v>
      </c>
      <c r="G90" s="16">
        <v>424</v>
      </c>
      <c r="H90" s="181">
        <f t="shared" si="10"/>
        <v>0.42399999999999999</v>
      </c>
      <c r="I90" s="178">
        <f t="shared" si="11"/>
        <v>424</v>
      </c>
    </row>
    <row r="91" spans="1:9" ht="15.75" customHeight="1">
      <c r="A91" s="38"/>
      <c r="B91" s="61" t="s">
        <v>52</v>
      </c>
      <c r="C91" s="57"/>
      <c r="D91" s="71"/>
      <c r="E91" s="57">
        <v>1</v>
      </c>
      <c r="F91" s="57"/>
      <c r="G91" s="57"/>
      <c r="H91" s="57"/>
      <c r="I91" s="40">
        <f>SUM(I84:I90)</f>
        <v>4474.7412999999997</v>
      </c>
    </row>
    <row r="92" spans="1:9" ht="15.75" customHeight="1">
      <c r="A92" s="38"/>
      <c r="B92" s="67" t="s">
        <v>85</v>
      </c>
      <c r="C92" s="19"/>
      <c r="D92" s="19"/>
      <c r="E92" s="58"/>
      <c r="F92" s="58"/>
      <c r="G92" s="59"/>
      <c r="H92" s="59"/>
      <c r="I92" s="22">
        <v>0</v>
      </c>
    </row>
    <row r="93" spans="1:9" ht="15.75" customHeight="1">
      <c r="A93" s="72"/>
      <c r="B93" s="62" t="s">
        <v>53</v>
      </c>
      <c r="C93" s="46"/>
      <c r="D93" s="46"/>
      <c r="E93" s="46"/>
      <c r="F93" s="46"/>
      <c r="G93" s="46"/>
      <c r="H93" s="46"/>
      <c r="I93" s="60">
        <f>I82+I91</f>
        <v>135497.39302908888</v>
      </c>
    </row>
    <row r="94" spans="1:9" ht="15.75" customHeight="1">
      <c r="A94" s="146" t="s">
        <v>222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 customHeight="1">
      <c r="A95" s="118"/>
      <c r="B95" s="147" t="s">
        <v>223</v>
      </c>
      <c r="C95" s="147"/>
      <c r="D95" s="147"/>
      <c r="E95" s="147"/>
      <c r="F95" s="147"/>
      <c r="G95" s="147"/>
      <c r="H95" s="152"/>
      <c r="I95" s="3"/>
    </row>
    <row r="96" spans="1:9">
      <c r="A96" s="73"/>
      <c r="B96" s="133" t="s">
        <v>6</v>
      </c>
      <c r="C96" s="133"/>
      <c r="D96" s="133"/>
      <c r="E96" s="133"/>
      <c r="F96" s="133"/>
      <c r="G96" s="133"/>
      <c r="H96" s="33"/>
      <c r="I96" s="74"/>
    </row>
    <row r="97" spans="1:9" ht="15.75" customHeight="1">
      <c r="A97" s="110"/>
      <c r="B97" s="110"/>
      <c r="C97" s="110"/>
      <c r="D97" s="110"/>
      <c r="E97" s="110"/>
      <c r="F97" s="110"/>
      <c r="G97" s="110"/>
      <c r="H97" s="110"/>
      <c r="I97" s="110"/>
    </row>
    <row r="98" spans="1:9" ht="15.75" customHeight="1">
      <c r="A98" s="130" t="s">
        <v>7</v>
      </c>
      <c r="B98" s="130"/>
      <c r="C98" s="130"/>
      <c r="D98" s="130"/>
      <c r="E98" s="130"/>
      <c r="F98" s="130"/>
      <c r="G98" s="130"/>
      <c r="H98" s="130"/>
      <c r="I98" s="130"/>
    </row>
    <row r="99" spans="1:9" ht="15.75" customHeight="1">
      <c r="A99" s="130" t="s">
        <v>8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 customHeight="1">
      <c r="A100" s="126" t="s">
        <v>64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ht="15.75" customHeight="1">
      <c r="A101" s="11"/>
    </row>
    <row r="102" spans="1:9" ht="15.75" customHeight="1">
      <c r="A102" s="132" t="s">
        <v>9</v>
      </c>
      <c r="B102" s="132"/>
      <c r="C102" s="132"/>
      <c r="D102" s="132"/>
      <c r="E102" s="132"/>
      <c r="F102" s="132"/>
      <c r="G102" s="132"/>
      <c r="H102" s="132"/>
      <c r="I102" s="132"/>
    </row>
    <row r="103" spans="1:9" ht="15.75" customHeight="1">
      <c r="A103" s="4"/>
    </row>
    <row r="104" spans="1:9" ht="15.75" customHeight="1">
      <c r="B104" s="115" t="s">
        <v>10</v>
      </c>
      <c r="C104" s="144" t="s">
        <v>176</v>
      </c>
      <c r="D104" s="144"/>
      <c r="E104" s="144"/>
      <c r="F104" s="150"/>
      <c r="I104" s="113"/>
    </row>
    <row r="105" spans="1:9" ht="15.75" customHeight="1">
      <c r="A105" s="114"/>
      <c r="C105" s="133" t="s">
        <v>11</v>
      </c>
      <c r="D105" s="133"/>
      <c r="E105" s="133"/>
      <c r="F105" s="33"/>
      <c r="I105" s="112" t="s">
        <v>12</v>
      </c>
    </row>
    <row r="106" spans="1:9" ht="15.75" customHeight="1">
      <c r="A106" s="34"/>
      <c r="C106" s="12"/>
      <c r="D106" s="12"/>
      <c r="G106" s="12"/>
      <c r="H106" s="12"/>
    </row>
    <row r="107" spans="1:9" ht="15.75">
      <c r="B107" s="115" t="s">
        <v>13</v>
      </c>
      <c r="C107" s="134"/>
      <c r="D107" s="134"/>
      <c r="E107" s="134"/>
      <c r="F107" s="151"/>
      <c r="I107" s="113"/>
    </row>
    <row r="108" spans="1:9">
      <c r="A108" s="114"/>
      <c r="C108" s="135" t="s">
        <v>11</v>
      </c>
      <c r="D108" s="135"/>
      <c r="E108" s="135"/>
      <c r="F108" s="114"/>
      <c r="I108" s="112" t="s">
        <v>12</v>
      </c>
    </row>
    <row r="109" spans="1:9" ht="15.75" customHeight="1">
      <c r="A109" s="4" t="s">
        <v>14</v>
      </c>
    </row>
    <row r="110" spans="1:9" ht="15.75" customHeight="1">
      <c r="A110" s="136" t="s">
        <v>15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45" customHeight="1">
      <c r="A111" s="131" t="s">
        <v>16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30" customHeight="1">
      <c r="A112" s="131" t="s">
        <v>17</v>
      </c>
      <c r="B112" s="131"/>
      <c r="C112" s="131"/>
      <c r="D112" s="131"/>
      <c r="E112" s="131"/>
      <c r="F112" s="131"/>
      <c r="G112" s="131"/>
      <c r="H112" s="131"/>
      <c r="I112" s="131"/>
    </row>
    <row r="113" spans="1:9" ht="30" customHeight="1">
      <c r="A113" s="131" t="s">
        <v>21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15" customHeight="1">
      <c r="A114" s="131" t="s">
        <v>20</v>
      </c>
      <c r="B114" s="131"/>
      <c r="C114" s="131"/>
      <c r="D114" s="131"/>
      <c r="E114" s="131"/>
      <c r="F114" s="131"/>
      <c r="G114" s="131"/>
      <c r="H114" s="131"/>
      <c r="I114" s="131"/>
    </row>
  </sheetData>
  <autoFilter ref="I12:I61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94:I94"/>
    <mergeCell ref="B95:G95"/>
    <mergeCell ref="B96:G96"/>
    <mergeCell ref="A98:I98"/>
    <mergeCell ref="A99:I99"/>
    <mergeCell ref="A100:I100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224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58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42551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hidden="1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hidden="1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hidden="1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hidden="1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hidden="1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hidden="1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hidden="1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hidden="1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hidden="1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hidden="1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177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hidden="1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hidden="1" customHeight="1">
      <c r="A57" s="38">
        <v>16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12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hidden="1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customHeight="1">
      <c r="A72" s="38">
        <v>13</v>
      </c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f>G72*0.1</f>
        <v>50.162000000000006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178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14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15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I16+I17+I18+I20+I21+I26+I27+I30+I31+I33+I34+I61+I72+I80+I81</f>
        <v>40627.078538088892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16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15.75" customHeight="1">
      <c r="A85" s="38">
        <v>17</v>
      </c>
      <c r="B85" s="153" t="s">
        <v>99</v>
      </c>
      <c r="C85" s="100" t="s">
        <v>129</v>
      </c>
      <c r="D85" s="180"/>
      <c r="E85" s="23"/>
      <c r="F85" s="181">
        <v>3</v>
      </c>
      <c r="G85" s="16">
        <v>179.96</v>
      </c>
      <c r="H85" s="181">
        <f t="shared" ref="H85:H86" si="8">G85*F85/1000</f>
        <v>0.53988000000000003</v>
      </c>
      <c r="I85" s="178">
        <f>G85</f>
        <v>179.96</v>
      </c>
    </row>
    <row r="86" spans="1:9" ht="15.75" customHeight="1">
      <c r="A86" s="38">
        <v>18</v>
      </c>
      <c r="B86" s="82" t="s">
        <v>201</v>
      </c>
      <c r="C86" s="100" t="s">
        <v>129</v>
      </c>
      <c r="D86" s="180"/>
      <c r="E86" s="23"/>
      <c r="F86" s="181">
        <v>1</v>
      </c>
      <c r="G86" s="16">
        <v>149.63999999999999</v>
      </c>
      <c r="H86" s="181">
        <f t="shared" si="8"/>
        <v>0.14964</v>
      </c>
      <c r="I86" s="178">
        <f>G86</f>
        <v>149.63999999999999</v>
      </c>
    </row>
    <row r="87" spans="1:9" ht="15.75" customHeight="1">
      <c r="A87" s="38"/>
      <c r="B87" s="61" t="s">
        <v>52</v>
      </c>
      <c r="C87" s="57"/>
      <c r="D87" s="71"/>
      <c r="E87" s="57">
        <v>1</v>
      </c>
      <c r="F87" s="57"/>
      <c r="G87" s="57"/>
      <c r="H87" s="57"/>
      <c r="I87" s="40">
        <f>SUM(I84:I86)</f>
        <v>3421.08</v>
      </c>
    </row>
    <row r="88" spans="1:9" ht="15.75" customHeight="1">
      <c r="A88" s="38"/>
      <c r="B88" s="67" t="s">
        <v>85</v>
      </c>
      <c r="C88" s="19"/>
      <c r="D88" s="19"/>
      <c r="E88" s="58"/>
      <c r="F88" s="58"/>
      <c r="G88" s="59"/>
      <c r="H88" s="59"/>
      <c r="I88" s="22">
        <v>0</v>
      </c>
    </row>
    <row r="89" spans="1:9" ht="15.75" customHeight="1">
      <c r="A89" s="72"/>
      <c r="B89" s="62" t="s">
        <v>53</v>
      </c>
      <c r="C89" s="46"/>
      <c r="D89" s="46"/>
      <c r="E89" s="46"/>
      <c r="F89" s="46"/>
      <c r="G89" s="46"/>
      <c r="H89" s="46"/>
      <c r="I89" s="60">
        <f>I82+I87</f>
        <v>44048.158538088894</v>
      </c>
    </row>
    <row r="90" spans="1:9" ht="15.75" customHeight="1">
      <c r="A90" s="146" t="s">
        <v>225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 customHeight="1">
      <c r="A91" s="118"/>
      <c r="B91" s="147" t="s">
        <v>226</v>
      </c>
      <c r="C91" s="147"/>
      <c r="D91" s="147"/>
      <c r="E91" s="147"/>
      <c r="F91" s="147"/>
      <c r="G91" s="147"/>
      <c r="H91" s="152"/>
      <c r="I91" s="3"/>
    </row>
    <row r="92" spans="1:9">
      <c r="A92" s="73"/>
      <c r="B92" s="133" t="s">
        <v>6</v>
      </c>
      <c r="C92" s="133"/>
      <c r="D92" s="133"/>
      <c r="E92" s="133"/>
      <c r="F92" s="133"/>
      <c r="G92" s="133"/>
      <c r="H92" s="33"/>
      <c r="I92" s="74"/>
    </row>
    <row r="93" spans="1:9" ht="15.75" customHeight="1">
      <c r="A93" s="110"/>
      <c r="B93" s="110"/>
      <c r="C93" s="110"/>
      <c r="D93" s="110"/>
      <c r="E93" s="110"/>
      <c r="F93" s="110"/>
      <c r="G93" s="110"/>
      <c r="H93" s="110"/>
      <c r="I93" s="110"/>
    </row>
    <row r="94" spans="1:9" ht="15.75" customHeight="1">
      <c r="A94" s="130" t="s">
        <v>7</v>
      </c>
      <c r="B94" s="130"/>
      <c r="C94" s="130"/>
      <c r="D94" s="130"/>
      <c r="E94" s="130"/>
      <c r="F94" s="130"/>
      <c r="G94" s="130"/>
      <c r="H94" s="130"/>
      <c r="I94" s="130"/>
    </row>
    <row r="95" spans="1:9" ht="15.75" customHeight="1">
      <c r="A95" s="130" t="s">
        <v>8</v>
      </c>
      <c r="B95" s="130"/>
      <c r="C95" s="130"/>
      <c r="D95" s="130"/>
      <c r="E95" s="130"/>
      <c r="F95" s="130"/>
      <c r="G95" s="130"/>
      <c r="H95" s="130"/>
      <c r="I95" s="130"/>
    </row>
    <row r="96" spans="1:9" ht="15.75" customHeight="1">
      <c r="A96" s="126" t="s">
        <v>64</v>
      </c>
      <c r="B96" s="126"/>
      <c r="C96" s="126"/>
      <c r="D96" s="126"/>
      <c r="E96" s="126"/>
      <c r="F96" s="126"/>
      <c r="G96" s="126"/>
      <c r="H96" s="126"/>
      <c r="I96" s="126"/>
    </row>
    <row r="97" spans="1:9" ht="15.75" customHeight="1">
      <c r="A97" s="11"/>
    </row>
    <row r="98" spans="1:9" ht="15.75" customHeight="1">
      <c r="A98" s="132" t="s">
        <v>9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 customHeight="1">
      <c r="A99" s="4"/>
    </row>
    <row r="100" spans="1:9" ht="15.75" customHeight="1">
      <c r="B100" s="115" t="s">
        <v>10</v>
      </c>
      <c r="C100" s="144" t="s">
        <v>176</v>
      </c>
      <c r="D100" s="144"/>
      <c r="E100" s="144"/>
      <c r="F100" s="150"/>
      <c r="I100" s="113"/>
    </row>
    <row r="101" spans="1:9" ht="15.75" customHeight="1">
      <c r="A101" s="114"/>
      <c r="C101" s="133" t="s">
        <v>11</v>
      </c>
      <c r="D101" s="133"/>
      <c r="E101" s="133"/>
      <c r="F101" s="33"/>
      <c r="I101" s="112" t="s">
        <v>12</v>
      </c>
    </row>
    <row r="102" spans="1:9" ht="15.75" customHeight="1">
      <c r="A102" s="34"/>
      <c r="C102" s="12"/>
      <c r="D102" s="12"/>
      <c r="G102" s="12"/>
      <c r="H102" s="12"/>
    </row>
    <row r="103" spans="1:9" ht="15.75">
      <c r="B103" s="115" t="s">
        <v>13</v>
      </c>
      <c r="C103" s="134"/>
      <c r="D103" s="134"/>
      <c r="E103" s="134"/>
      <c r="F103" s="151"/>
      <c r="I103" s="113"/>
    </row>
    <row r="104" spans="1:9">
      <c r="A104" s="114"/>
      <c r="C104" s="135" t="s">
        <v>11</v>
      </c>
      <c r="D104" s="135"/>
      <c r="E104" s="135"/>
      <c r="F104" s="114"/>
      <c r="I104" s="112" t="s">
        <v>12</v>
      </c>
    </row>
    <row r="105" spans="1:9" ht="15.75" customHeight="1">
      <c r="A105" s="4" t="s">
        <v>14</v>
      </c>
    </row>
    <row r="106" spans="1:9" ht="15.75" customHeight="1">
      <c r="A106" s="136" t="s">
        <v>15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ht="45" customHeight="1">
      <c r="A107" s="131" t="s">
        <v>16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30" customHeight="1">
      <c r="A108" s="131" t="s">
        <v>17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30" customHeight="1">
      <c r="A109" s="131" t="s">
        <v>21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15" customHeight="1">
      <c r="A110" s="131" t="s">
        <v>20</v>
      </c>
      <c r="B110" s="131"/>
      <c r="C110" s="131"/>
      <c r="D110" s="131"/>
      <c r="E110" s="131"/>
      <c r="F110" s="131"/>
      <c r="G110" s="131"/>
      <c r="H110" s="131"/>
      <c r="I110" s="131"/>
    </row>
  </sheetData>
  <autoFilter ref="I12:I61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0:I90"/>
    <mergeCell ref="B91:G91"/>
    <mergeCell ref="B92:G92"/>
    <mergeCell ref="A94:I94"/>
    <mergeCell ref="A95:I95"/>
    <mergeCell ref="A96:I96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227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95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42582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hidden="1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hidden="1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hidden="1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hidden="1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hidden="1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hidden="1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hidden="1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hidden="1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hidden="1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hidden="1" customHeight="1">
      <c r="A54" s="38">
        <v>15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177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hidden="1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hidden="1" customHeight="1">
      <c r="A57" s="38">
        <v>16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12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customHeight="1">
      <c r="A63" s="38">
        <v>13</v>
      </c>
      <c r="B63" s="18" t="s">
        <v>47</v>
      </c>
      <c r="C63" s="20" t="s">
        <v>129</v>
      </c>
      <c r="D63" s="18" t="s">
        <v>73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f>G63</f>
        <v>222.4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178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14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15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I16+I17+I18+I20+I21+I26+I27+I30+I31+I33+I34+I61+I63+I80+I81</f>
        <v>40799.31653808889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16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15.75" customHeight="1">
      <c r="A85" s="38">
        <v>17</v>
      </c>
      <c r="B85" s="82" t="s">
        <v>194</v>
      </c>
      <c r="C85" s="100" t="s">
        <v>98</v>
      </c>
      <c r="D85" s="180"/>
      <c r="E85" s="23"/>
      <c r="F85" s="181">
        <v>4</v>
      </c>
      <c r="G85" s="16">
        <v>185.81</v>
      </c>
      <c r="H85" s="183">
        <f t="shared" ref="H85" si="8">G85*F85/1000</f>
        <v>0.74324000000000001</v>
      </c>
      <c r="I85" s="178">
        <f>G85*2</f>
        <v>371.62</v>
      </c>
    </row>
    <row r="86" spans="1:9" ht="15.75" customHeight="1">
      <c r="A86" s="38">
        <v>18</v>
      </c>
      <c r="B86" s="82" t="s">
        <v>93</v>
      </c>
      <c r="C86" s="100" t="s">
        <v>129</v>
      </c>
      <c r="D86" s="18"/>
      <c r="E86" s="23"/>
      <c r="F86" s="16">
        <v>3</v>
      </c>
      <c r="G86" s="16">
        <v>180.15</v>
      </c>
      <c r="H86" s="181">
        <f t="shared" ref="H86:H88" si="9">G86*F86/1000</f>
        <v>0.5404500000000001</v>
      </c>
      <c r="I86" s="16">
        <f>G86*2</f>
        <v>360.3</v>
      </c>
    </row>
    <row r="87" spans="1:9" ht="15.75" customHeight="1">
      <c r="A87" s="38">
        <v>19</v>
      </c>
      <c r="B87" s="153" t="s">
        <v>99</v>
      </c>
      <c r="C87" s="100" t="s">
        <v>129</v>
      </c>
      <c r="D87" s="180"/>
      <c r="E87" s="23"/>
      <c r="F87" s="181">
        <v>3</v>
      </c>
      <c r="G87" s="16">
        <v>179.96</v>
      </c>
      <c r="H87" s="181">
        <f t="shared" si="9"/>
        <v>0.53988000000000003</v>
      </c>
      <c r="I87" s="178">
        <f>G87</f>
        <v>179.96</v>
      </c>
    </row>
    <row r="88" spans="1:9" ht="15.75" customHeight="1">
      <c r="A88" s="38">
        <v>20</v>
      </c>
      <c r="B88" s="154" t="s">
        <v>202</v>
      </c>
      <c r="C88" s="155" t="s">
        <v>203</v>
      </c>
      <c r="D88" s="180"/>
      <c r="E88" s="23"/>
      <c r="F88" s="181">
        <f>7/3</f>
        <v>2.3333333333333335</v>
      </c>
      <c r="G88" s="16">
        <v>1063.47</v>
      </c>
      <c r="H88" s="181">
        <f t="shared" si="9"/>
        <v>2.4814300000000005</v>
      </c>
      <c r="I88" s="178">
        <f>G88*((4+3)/3)</f>
        <v>2481.4300000000003</v>
      </c>
    </row>
    <row r="89" spans="1:9" ht="15.75" customHeight="1">
      <c r="A89" s="38"/>
      <c r="B89" s="61" t="s">
        <v>52</v>
      </c>
      <c r="C89" s="57"/>
      <c r="D89" s="71"/>
      <c r="E89" s="57">
        <v>1</v>
      </c>
      <c r="F89" s="57"/>
      <c r="G89" s="57"/>
      <c r="H89" s="57"/>
      <c r="I89" s="40">
        <f>SUM(I84:I88)</f>
        <v>6484.7900000000009</v>
      </c>
    </row>
    <row r="90" spans="1:9" ht="15.75" customHeight="1">
      <c r="A90" s="38"/>
      <c r="B90" s="67" t="s">
        <v>85</v>
      </c>
      <c r="C90" s="19"/>
      <c r="D90" s="19"/>
      <c r="E90" s="58"/>
      <c r="F90" s="58"/>
      <c r="G90" s="59"/>
      <c r="H90" s="59"/>
      <c r="I90" s="22">
        <v>0</v>
      </c>
    </row>
    <row r="91" spans="1:9" ht="15.75" customHeight="1">
      <c r="A91" s="72"/>
      <c r="B91" s="62" t="s">
        <v>53</v>
      </c>
      <c r="C91" s="46"/>
      <c r="D91" s="46"/>
      <c r="E91" s="46"/>
      <c r="F91" s="46"/>
      <c r="G91" s="46"/>
      <c r="H91" s="46"/>
      <c r="I91" s="60">
        <f>I82+I89</f>
        <v>47284.10653808889</v>
      </c>
    </row>
    <row r="92" spans="1:9" ht="15.75" customHeight="1">
      <c r="A92" s="146" t="s">
        <v>228</v>
      </c>
      <c r="B92" s="146"/>
      <c r="C92" s="146"/>
      <c r="D92" s="146"/>
      <c r="E92" s="146"/>
      <c r="F92" s="146"/>
      <c r="G92" s="146"/>
      <c r="H92" s="146"/>
      <c r="I92" s="146"/>
    </row>
    <row r="93" spans="1:9" ht="15.75" customHeight="1">
      <c r="A93" s="118"/>
      <c r="B93" s="147" t="s">
        <v>229</v>
      </c>
      <c r="C93" s="147"/>
      <c r="D93" s="147"/>
      <c r="E93" s="147"/>
      <c r="F93" s="147"/>
      <c r="G93" s="147"/>
      <c r="H93" s="152"/>
      <c r="I93" s="3"/>
    </row>
    <row r="94" spans="1:9">
      <c r="A94" s="73"/>
      <c r="B94" s="133" t="s">
        <v>6</v>
      </c>
      <c r="C94" s="133"/>
      <c r="D94" s="133"/>
      <c r="E94" s="133"/>
      <c r="F94" s="133"/>
      <c r="G94" s="133"/>
      <c r="H94" s="33"/>
      <c r="I94" s="74"/>
    </row>
    <row r="95" spans="1:9" ht="15.75" customHeight="1">
      <c r="A95" s="110"/>
      <c r="B95" s="110"/>
      <c r="C95" s="110"/>
      <c r="D95" s="110"/>
      <c r="E95" s="110"/>
      <c r="F95" s="110"/>
      <c r="G95" s="110"/>
      <c r="H95" s="110"/>
      <c r="I95" s="110"/>
    </row>
    <row r="96" spans="1:9" ht="15.75" customHeight="1">
      <c r="A96" s="130" t="s">
        <v>7</v>
      </c>
      <c r="B96" s="130"/>
      <c r="C96" s="130"/>
      <c r="D96" s="130"/>
      <c r="E96" s="130"/>
      <c r="F96" s="130"/>
      <c r="G96" s="130"/>
      <c r="H96" s="130"/>
      <c r="I96" s="130"/>
    </row>
    <row r="97" spans="1:9" ht="15.75" customHeight="1">
      <c r="A97" s="130" t="s">
        <v>8</v>
      </c>
      <c r="B97" s="130"/>
      <c r="C97" s="130"/>
      <c r="D97" s="130"/>
      <c r="E97" s="130"/>
      <c r="F97" s="130"/>
      <c r="G97" s="130"/>
      <c r="H97" s="130"/>
      <c r="I97" s="130"/>
    </row>
    <row r="98" spans="1:9" ht="15.75" customHeight="1">
      <c r="A98" s="126" t="s">
        <v>64</v>
      </c>
      <c r="B98" s="126"/>
      <c r="C98" s="126"/>
      <c r="D98" s="126"/>
      <c r="E98" s="126"/>
      <c r="F98" s="126"/>
      <c r="G98" s="126"/>
      <c r="H98" s="126"/>
      <c r="I98" s="126"/>
    </row>
    <row r="99" spans="1:9" ht="15.75" customHeight="1">
      <c r="A99" s="11"/>
    </row>
    <row r="100" spans="1:9" ht="15.75" customHeight="1">
      <c r="A100" s="132" t="s">
        <v>9</v>
      </c>
      <c r="B100" s="132"/>
      <c r="C100" s="132"/>
      <c r="D100" s="132"/>
      <c r="E100" s="132"/>
      <c r="F100" s="132"/>
      <c r="G100" s="132"/>
      <c r="H100" s="132"/>
      <c r="I100" s="132"/>
    </row>
    <row r="101" spans="1:9" ht="15.75" customHeight="1">
      <c r="A101" s="4"/>
    </row>
    <row r="102" spans="1:9" ht="15.75" customHeight="1">
      <c r="B102" s="115" t="s">
        <v>10</v>
      </c>
      <c r="C102" s="144" t="s">
        <v>176</v>
      </c>
      <c r="D102" s="144"/>
      <c r="E102" s="144"/>
      <c r="F102" s="150"/>
      <c r="I102" s="113"/>
    </row>
    <row r="103" spans="1:9" ht="15.75" customHeight="1">
      <c r="A103" s="114"/>
      <c r="C103" s="133" t="s">
        <v>11</v>
      </c>
      <c r="D103" s="133"/>
      <c r="E103" s="133"/>
      <c r="F103" s="33"/>
      <c r="I103" s="112" t="s">
        <v>12</v>
      </c>
    </row>
    <row r="104" spans="1:9" ht="15.75" customHeight="1">
      <c r="A104" s="34"/>
      <c r="C104" s="12"/>
      <c r="D104" s="12"/>
      <c r="G104" s="12"/>
      <c r="H104" s="12"/>
    </row>
    <row r="105" spans="1:9" ht="15.75">
      <c r="B105" s="115" t="s">
        <v>13</v>
      </c>
      <c r="C105" s="134"/>
      <c r="D105" s="134"/>
      <c r="E105" s="134"/>
      <c r="F105" s="151"/>
      <c r="I105" s="113"/>
    </row>
    <row r="106" spans="1:9">
      <c r="A106" s="114"/>
      <c r="C106" s="135" t="s">
        <v>11</v>
      </c>
      <c r="D106" s="135"/>
      <c r="E106" s="135"/>
      <c r="F106" s="114"/>
      <c r="I106" s="112" t="s">
        <v>12</v>
      </c>
    </row>
    <row r="107" spans="1:9" ht="15.75" customHeight="1">
      <c r="A107" s="4" t="s">
        <v>14</v>
      </c>
    </row>
    <row r="108" spans="1:9" ht="15.75" customHeight="1">
      <c r="A108" s="136" t="s">
        <v>15</v>
      </c>
      <c r="B108" s="136"/>
      <c r="C108" s="136"/>
      <c r="D108" s="136"/>
      <c r="E108" s="136"/>
      <c r="F108" s="136"/>
      <c r="G108" s="136"/>
      <c r="H108" s="136"/>
      <c r="I108" s="136"/>
    </row>
    <row r="109" spans="1:9" ht="45" customHeight="1">
      <c r="A109" s="131" t="s">
        <v>16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30" customHeight="1">
      <c r="A110" s="131" t="s">
        <v>17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30" customHeight="1">
      <c r="A111" s="131" t="s">
        <v>21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15" customHeight="1">
      <c r="A112" s="131" t="s">
        <v>20</v>
      </c>
      <c r="B112" s="131"/>
      <c r="C112" s="131"/>
      <c r="D112" s="131"/>
      <c r="E112" s="131"/>
      <c r="F112" s="131"/>
      <c r="G112" s="131"/>
      <c r="H112" s="131"/>
      <c r="I112" s="131"/>
    </row>
  </sheetData>
  <autoFilter ref="I12:I61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  <mergeCell ref="A97:I97"/>
    <mergeCell ref="A98:I98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230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65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42613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hidden="1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hidden="1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hidden="1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hidden="1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hidden="1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hidden="1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hidden="1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hidden="1" customHeight="1">
      <c r="A45" s="38"/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4" si="5">SUM(F45*G45/1000)</f>
        <v>1.9397321700000003</v>
      </c>
      <c r="I45" s="16">
        <v>0</v>
      </c>
      <c r="J45" s="32"/>
      <c r="L45" s="25"/>
      <c r="M45" s="26"/>
      <c r="N45" s="27"/>
    </row>
    <row r="46" spans="1:14" ht="15.75" hidden="1" customHeight="1">
      <c r="A46" s="38"/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v>0</v>
      </c>
      <c r="J46" s="32"/>
      <c r="L46" s="25"/>
      <c r="M46" s="26"/>
      <c r="N46" s="27"/>
    </row>
    <row r="47" spans="1:14" ht="15.75" hidden="1" customHeight="1">
      <c r="A47" s="38"/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v>0</v>
      </c>
      <c r="J47" s="32"/>
      <c r="L47" s="25"/>
      <c r="M47" s="26"/>
      <c r="N47" s="27"/>
    </row>
    <row r="48" spans="1:14" ht="15.75" hidden="1" customHeight="1">
      <c r="A48" s="38"/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v>0</v>
      </c>
      <c r="J48" s="32"/>
      <c r="L48" s="25"/>
      <c r="M48" s="26"/>
      <c r="N48" s="27"/>
    </row>
    <row r="49" spans="1:22" ht="15.75" hidden="1" customHeight="1">
      <c r="A49" s="38"/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v>0</v>
      </c>
      <c r="J49" s="32"/>
      <c r="L49" s="25"/>
      <c r="M49" s="26"/>
      <c r="N49" s="27"/>
    </row>
    <row r="50" spans="1:22" ht="15.75" hidden="1" customHeight="1">
      <c r="A50" s="38">
        <v>14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hidden="1" customHeight="1">
      <c r="A51" s="38"/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v>0</v>
      </c>
      <c r="J51" s="32"/>
      <c r="L51" s="25"/>
      <c r="M51" s="26"/>
      <c r="N51" s="27"/>
    </row>
    <row r="52" spans="1:22" ht="31.5" hidden="1" customHeight="1">
      <c r="A52" s="38"/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v>0</v>
      </c>
      <c r="J52" s="32"/>
      <c r="L52" s="25"/>
      <c r="M52" s="26"/>
      <c r="N52" s="27"/>
    </row>
    <row r="53" spans="1:22" ht="15.75" hidden="1" customHeight="1">
      <c r="A53" s="38"/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v>0</v>
      </c>
      <c r="J53" s="32"/>
      <c r="L53" s="25"/>
      <c r="M53" s="26"/>
      <c r="N53" s="27"/>
    </row>
    <row r="54" spans="1:22" ht="15.75" customHeight="1">
      <c r="A54" s="38">
        <v>12</v>
      </c>
      <c r="B54" s="156" t="s">
        <v>42</v>
      </c>
      <c r="C54" s="157" t="s">
        <v>129</v>
      </c>
      <c r="D54" s="156" t="s">
        <v>77</v>
      </c>
      <c r="E54" s="158">
        <v>120</v>
      </c>
      <c r="F54" s="159">
        <f>SUM(E54)*3</f>
        <v>360</v>
      </c>
      <c r="G54" s="16">
        <v>65.67</v>
      </c>
      <c r="H54" s="160">
        <f t="shared" si="5"/>
        <v>23.641200000000001</v>
      </c>
      <c r="I54" s="16">
        <f>E54*G54</f>
        <v>7880.4000000000005</v>
      </c>
      <c r="J54" s="32"/>
      <c r="L54" s="25"/>
      <c r="M54" s="26"/>
      <c r="N54" s="27"/>
    </row>
    <row r="55" spans="1:22" ht="15.75" customHeight="1">
      <c r="A55" s="138" t="s">
        <v>174</v>
      </c>
      <c r="B55" s="139"/>
      <c r="C55" s="139"/>
      <c r="D55" s="139"/>
      <c r="E55" s="139"/>
      <c r="F55" s="139"/>
      <c r="G55" s="139"/>
      <c r="H55" s="139"/>
      <c r="I55" s="140"/>
      <c r="J55" s="32"/>
      <c r="L55" s="25"/>
      <c r="M55" s="26"/>
      <c r="N55" s="27"/>
    </row>
    <row r="56" spans="1:22" ht="15.75" hidden="1" customHeight="1">
      <c r="A56" s="38"/>
      <c r="B56" s="184" t="s">
        <v>44</v>
      </c>
      <c r="C56" s="157"/>
      <c r="D56" s="156"/>
      <c r="E56" s="158"/>
      <c r="F56" s="159"/>
      <c r="G56" s="159"/>
      <c r="H56" s="160"/>
      <c r="I56" s="16"/>
      <c r="J56" s="32"/>
      <c r="L56" s="25"/>
      <c r="M56" s="26"/>
      <c r="N56" s="27"/>
    </row>
    <row r="57" spans="1:22" ht="31.5" hidden="1" customHeight="1">
      <c r="A57" s="38">
        <v>16</v>
      </c>
      <c r="B57" s="156" t="s">
        <v>148</v>
      </c>
      <c r="C57" s="157" t="s">
        <v>105</v>
      </c>
      <c r="D57" s="156" t="s">
        <v>130</v>
      </c>
      <c r="E57" s="158">
        <v>131.77500000000001</v>
      </c>
      <c r="F57" s="159">
        <f>SUM(E57*6/100)</f>
        <v>7.9065000000000012</v>
      </c>
      <c r="G57" s="16">
        <v>1547.28</v>
      </c>
      <c r="H57" s="160">
        <f>SUM(F57*G57/1000)</f>
        <v>12.233569320000003</v>
      </c>
      <c r="I57" s="16">
        <f>F57/6*G57</f>
        <v>2038.9282200000002</v>
      </c>
      <c r="J57" s="32"/>
      <c r="L57" s="25"/>
      <c r="M57" s="26"/>
      <c r="N57" s="27"/>
    </row>
    <row r="58" spans="1:22" ht="15.75" customHeight="1">
      <c r="A58" s="38"/>
      <c r="B58" s="185" t="s">
        <v>45</v>
      </c>
      <c r="C58" s="165"/>
      <c r="D58" s="166"/>
      <c r="E58" s="167"/>
      <c r="F58" s="169"/>
      <c r="G58" s="16"/>
      <c r="H58" s="170"/>
      <c r="I58" s="16"/>
      <c r="J58" s="32"/>
      <c r="L58" s="25"/>
      <c r="M58" s="26"/>
      <c r="N58" s="27"/>
    </row>
    <row r="59" spans="1:22" ht="15.75" hidden="1" customHeight="1">
      <c r="A59" s="38"/>
      <c r="B59" s="166" t="s">
        <v>157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  <c r="J59" s="32"/>
      <c r="L59" s="25"/>
    </row>
    <row r="60" spans="1:22" ht="15.75" hidden="1" customHeight="1">
      <c r="A60" s="38"/>
      <c r="B60" s="166" t="s">
        <v>158</v>
      </c>
      <c r="C60" s="165" t="s">
        <v>54</v>
      </c>
      <c r="D60" s="166" t="s">
        <v>55</v>
      </c>
      <c r="E60" s="167">
        <v>890</v>
      </c>
      <c r="F60" s="169">
        <v>8.9</v>
      </c>
      <c r="G60" s="16">
        <v>793.61</v>
      </c>
      <c r="H60" s="170">
        <f>F60*G60/1000</f>
        <v>7.0631290000000009</v>
      </c>
      <c r="I60" s="16">
        <v>0</v>
      </c>
    </row>
    <row r="61" spans="1:22" ht="15.75" customHeight="1">
      <c r="A61" s="38">
        <v>13</v>
      </c>
      <c r="B61" s="166" t="s">
        <v>145</v>
      </c>
      <c r="C61" s="165" t="s">
        <v>25</v>
      </c>
      <c r="D61" s="166" t="s">
        <v>30</v>
      </c>
      <c r="E61" s="167">
        <v>158.19999999999999</v>
      </c>
      <c r="F61" s="169">
        <f>E61*12</f>
        <v>1898.3999999999999</v>
      </c>
      <c r="G61" s="177">
        <v>2.6</v>
      </c>
      <c r="H61" s="170">
        <f>F61*G61/1000</f>
        <v>4.9358399999999998</v>
      </c>
      <c r="I61" s="16">
        <f>F61/12*G61</f>
        <v>411.32</v>
      </c>
    </row>
    <row r="62" spans="1:22" ht="15.75" hidden="1" customHeight="1">
      <c r="A62" s="38"/>
      <c r="B62" s="185" t="s">
        <v>46</v>
      </c>
      <c r="C62" s="165"/>
      <c r="D62" s="166"/>
      <c r="E62" s="167"/>
      <c r="F62" s="168"/>
      <c r="G62" s="168"/>
      <c r="H62" s="169" t="s">
        <v>149</v>
      </c>
      <c r="I62" s="16"/>
    </row>
    <row r="63" spans="1:22" ht="15.75" hidden="1" customHeight="1">
      <c r="A63" s="38"/>
      <c r="B63" s="18" t="s">
        <v>47</v>
      </c>
      <c r="C63" s="20" t="s">
        <v>129</v>
      </c>
      <c r="D63" s="18" t="s">
        <v>180</v>
      </c>
      <c r="E63" s="23">
        <v>15</v>
      </c>
      <c r="F63" s="159">
        <v>15</v>
      </c>
      <c r="G63" s="16">
        <v>222.4</v>
      </c>
      <c r="H63" s="171">
        <f t="shared" ref="H63:H76" si="6">SUM(F63*G63/1000)</f>
        <v>3.3359999999999999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8"/>
      <c r="B64" s="18" t="s">
        <v>48</v>
      </c>
      <c r="C64" s="20" t="s">
        <v>129</v>
      </c>
      <c r="D64" s="18" t="s">
        <v>180</v>
      </c>
      <c r="E64" s="23">
        <v>8</v>
      </c>
      <c r="F64" s="159">
        <v>8</v>
      </c>
      <c r="G64" s="16">
        <v>76.25</v>
      </c>
      <c r="H64" s="171">
        <f t="shared" si="6"/>
        <v>0.61</v>
      </c>
      <c r="I64" s="16">
        <v>0</v>
      </c>
      <c r="J64" s="34"/>
      <c r="K64" s="34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8"/>
      <c r="B65" s="18" t="s">
        <v>49</v>
      </c>
      <c r="C65" s="20" t="s">
        <v>131</v>
      </c>
      <c r="D65" s="18" t="s">
        <v>55</v>
      </c>
      <c r="E65" s="158">
        <v>14220</v>
      </c>
      <c r="F65" s="16">
        <f>SUM(E65/100)</f>
        <v>142.19999999999999</v>
      </c>
      <c r="G65" s="16">
        <v>212.15</v>
      </c>
      <c r="H65" s="171">
        <f t="shared" si="6"/>
        <v>30.167729999999999</v>
      </c>
      <c r="I65" s="16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8"/>
      <c r="B66" s="18" t="s">
        <v>50</v>
      </c>
      <c r="C66" s="20" t="s">
        <v>132</v>
      </c>
      <c r="D66" s="18"/>
      <c r="E66" s="158">
        <v>14220</v>
      </c>
      <c r="F66" s="16">
        <f>SUM(E66/1000)</f>
        <v>14.22</v>
      </c>
      <c r="G66" s="16">
        <v>165.21</v>
      </c>
      <c r="H66" s="171">
        <f t="shared" si="6"/>
        <v>2.3492861999999999</v>
      </c>
      <c r="I66" s="16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135"/>
      <c r="S66" s="135"/>
      <c r="T66" s="135"/>
      <c r="U66" s="135"/>
    </row>
    <row r="67" spans="1:21" ht="15.75" hidden="1" customHeight="1">
      <c r="A67" s="38"/>
      <c r="B67" s="18" t="s">
        <v>51</v>
      </c>
      <c r="C67" s="20" t="s">
        <v>83</v>
      </c>
      <c r="D67" s="18" t="s">
        <v>55</v>
      </c>
      <c r="E67" s="158">
        <v>2260</v>
      </c>
      <c r="F67" s="16">
        <f>SUM(E67/100)</f>
        <v>22.6</v>
      </c>
      <c r="G67" s="16">
        <v>2074.63</v>
      </c>
      <c r="H67" s="171">
        <f t="shared" si="6"/>
        <v>46.886638000000005</v>
      </c>
      <c r="I67" s="16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8"/>
      <c r="B68" s="172" t="s">
        <v>133</v>
      </c>
      <c r="C68" s="20" t="s">
        <v>33</v>
      </c>
      <c r="D68" s="18"/>
      <c r="E68" s="158">
        <v>11</v>
      </c>
      <c r="F68" s="16">
        <f>SUM(E68)</f>
        <v>11</v>
      </c>
      <c r="G68" s="16">
        <v>45.32</v>
      </c>
      <c r="H68" s="171">
        <f t="shared" si="6"/>
        <v>0.49851999999999996</v>
      </c>
      <c r="I68" s="16">
        <f t="shared" si="7"/>
        <v>498.52</v>
      </c>
    </row>
    <row r="69" spans="1:21" ht="15.75" hidden="1" customHeight="1">
      <c r="A69" s="38"/>
      <c r="B69" s="172" t="s">
        <v>134</v>
      </c>
      <c r="C69" s="20" t="s">
        <v>33</v>
      </c>
      <c r="D69" s="18"/>
      <c r="E69" s="158">
        <v>11</v>
      </c>
      <c r="F69" s="16">
        <f>SUM(E69)</f>
        <v>11</v>
      </c>
      <c r="G69" s="16">
        <v>42.28</v>
      </c>
      <c r="H69" s="171">
        <f t="shared" si="6"/>
        <v>0.46508000000000005</v>
      </c>
      <c r="I69" s="16">
        <f t="shared" si="7"/>
        <v>465.08000000000004</v>
      </c>
    </row>
    <row r="70" spans="1:21" ht="15.75" hidden="1" customHeight="1">
      <c r="A70" s="38"/>
      <c r="B70" s="18" t="s">
        <v>60</v>
      </c>
      <c r="C70" s="20" t="s">
        <v>61</v>
      </c>
      <c r="D70" s="18" t="s">
        <v>55</v>
      </c>
      <c r="E70" s="23">
        <v>8</v>
      </c>
      <c r="F70" s="159">
        <v>8</v>
      </c>
      <c r="G70" s="16">
        <v>49.88</v>
      </c>
      <c r="H70" s="171">
        <f t="shared" si="6"/>
        <v>0.39904000000000001</v>
      </c>
      <c r="I70" s="16">
        <f t="shared" si="7"/>
        <v>399.04</v>
      </c>
    </row>
    <row r="71" spans="1:21" ht="15.75" hidden="1" customHeight="1">
      <c r="A71" s="38"/>
      <c r="B71" s="116" t="s">
        <v>78</v>
      </c>
      <c r="C71" s="20"/>
      <c r="D71" s="18"/>
      <c r="E71" s="23"/>
      <c r="F71" s="16"/>
      <c r="G71" s="16"/>
      <c r="H71" s="171" t="s">
        <v>149</v>
      </c>
      <c r="I71" s="16"/>
    </row>
    <row r="72" spans="1:21" ht="15.75" hidden="1" customHeight="1">
      <c r="A72" s="38"/>
      <c r="B72" s="18" t="s">
        <v>79</v>
      </c>
      <c r="C72" s="20" t="s">
        <v>81</v>
      </c>
      <c r="D72" s="18"/>
      <c r="E72" s="23">
        <v>2</v>
      </c>
      <c r="F72" s="16">
        <v>0.2</v>
      </c>
      <c r="G72" s="16">
        <v>501.62</v>
      </c>
      <c r="H72" s="171">
        <f t="shared" si="6"/>
        <v>0.10032400000000001</v>
      </c>
      <c r="I72" s="16">
        <v>0</v>
      </c>
    </row>
    <row r="73" spans="1:21" ht="15.75" hidden="1" customHeight="1">
      <c r="A73" s="38"/>
      <c r="B73" s="18" t="s">
        <v>80</v>
      </c>
      <c r="C73" s="20" t="s">
        <v>31</v>
      </c>
      <c r="D73" s="18"/>
      <c r="E73" s="23">
        <v>1</v>
      </c>
      <c r="F73" s="148">
        <v>1</v>
      </c>
      <c r="G73" s="16">
        <v>852.99</v>
      </c>
      <c r="H73" s="171">
        <f>F73*G73/1000</f>
        <v>0.85299000000000003</v>
      </c>
      <c r="I73" s="16">
        <v>0</v>
      </c>
    </row>
    <row r="74" spans="1:21" ht="15.75" hidden="1" customHeight="1">
      <c r="A74" s="38"/>
      <c r="B74" s="18" t="s">
        <v>136</v>
      </c>
      <c r="C74" s="20" t="s">
        <v>31</v>
      </c>
      <c r="D74" s="18"/>
      <c r="E74" s="23">
        <v>1</v>
      </c>
      <c r="F74" s="16">
        <v>1</v>
      </c>
      <c r="G74" s="16">
        <v>358.51</v>
      </c>
      <c r="H74" s="171">
        <f>G74*F74/1000</f>
        <v>0.35851</v>
      </c>
      <c r="I74" s="16">
        <v>0</v>
      </c>
    </row>
    <row r="75" spans="1:21" ht="15.75" hidden="1" customHeight="1">
      <c r="A75" s="38"/>
      <c r="B75" s="174" t="s">
        <v>82</v>
      </c>
      <c r="C75" s="20"/>
      <c r="D75" s="18"/>
      <c r="E75" s="23"/>
      <c r="F75" s="16"/>
      <c r="G75" s="16" t="s">
        <v>149</v>
      </c>
      <c r="H75" s="171" t="s">
        <v>149</v>
      </c>
      <c r="I75" s="16"/>
    </row>
    <row r="76" spans="1:21" ht="15.75" hidden="1" customHeight="1">
      <c r="A76" s="38"/>
      <c r="B76" s="67" t="s">
        <v>146</v>
      </c>
      <c r="C76" s="20" t="s">
        <v>83</v>
      </c>
      <c r="D76" s="18"/>
      <c r="E76" s="23"/>
      <c r="F76" s="16">
        <v>0.1</v>
      </c>
      <c r="G76" s="16">
        <v>2759.44</v>
      </c>
      <c r="H76" s="171">
        <f t="shared" si="6"/>
        <v>0.27594400000000002</v>
      </c>
      <c r="I76" s="16">
        <v>0</v>
      </c>
    </row>
    <row r="77" spans="1:21" ht="15.75" hidden="1" customHeight="1">
      <c r="A77" s="38"/>
      <c r="B77" s="188" t="s">
        <v>113</v>
      </c>
      <c r="C77" s="188"/>
      <c r="D77" s="188"/>
      <c r="E77" s="188"/>
      <c r="F77" s="188"/>
      <c r="G77" s="162"/>
      <c r="H77" s="175">
        <f>SUM(H57:H76)</f>
        <v>117.59572952000001</v>
      </c>
      <c r="I77" s="162"/>
    </row>
    <row r="78" spans="1:21" ht="15.75" hidden="1" customHeight="1">
      <c r="A78" s="38"/>
      <c r="B78" s="186" t="s">
        <v>135</v>
      </c>
      <c r="C78" s="29"/>
      <c r="D78" s="28"/>
      <c r="E78" s="149"/>
      <c r="F78" s="187">
        <v>1</v>
      </c>
      <c r="G78" s="16">
        <v>10966.5</v>
      </c>
      <c r="H78" s="171">
        <f>G78*F78/1000</f>
        <v>10.9665</v>
      </c>
      <c r="I78" s="16">
        <v>0</v>
      </c>
    </row>
    <row r="79" spans="1:21" ht="15.75" customHeight="1">
      <c r="A79" s="141" t="s">
        <v>175</v>
      </c>
      <c r="B79" s="142"/>
      <c r="C79" s="142"/>
      <c r="D79" s="142"/>
      <c r="E79" s="142"/>
      <c r="F79" s="142"/>
      <c r="G79" s="142"/>
      <c r="H79" s="142"/>
      <c r="I79" s="143"/>
    </row>
    <row r="80" spans="1:21" ht="15.75" customHeight="1">
      <c r="A80" s="38">
        <v>14</v>
      </c>
      <c r="B80" s="156" t="s">
        <v>137</v>
      </c>
      <c r="C80" s="20" t="s">
        <v>56</v>
      </c>
      <c r="D80" s="145" t="s">
        <v>57</v>
      </c>
      <c r="E80" s="16">
        <v>3382.7</v>
      </c>
      <c r="F80" s="16">
        <f>SUM(E80*12)</f>
        <v>40592.399999999994</v>
      </c>
      <c r="G80" s="16">
        <v>2.1</v>
      </c>
      <c r="H80" s="171">
        <f>SUM(F80*G80/1000)</f>
        <v>85.244039999999998</v>
      </c>
      <c r="I80" s="16">
        <f>F80/12*G80</f>
        <v>7103.6699999999992</v>
      </c>
    </row>
    <row r="81" spans="1:9" ht="31.5" customHeight="1">
      <c r="A81" s="38">
        <v>15</v>
      </c>
      <c r="B81" s="18" t="s">
        <v>84</v>
      </c>
      <c r="C81" s="20"/>
      <c r="D81" s="145" t="s">
        <v>57</v>
      </c>
      <c r="E81" s="158">
        <f>E80</f>
        <v>3382.7</v>
      </c>
      <c r="F81" s="16">
        <f>E81*12</f>
        <v>40592.399999999994</v>
      </c>
      <c r="G81" s="16">
        <v>1.63</v>
      </c>
      <c r="H81" s="171">
        <f>F81*G81/1000</f>
        <v>66.165611999999982</v>
      </c>
      <c r="I81" s="16">
        <f>F81/12*G81</f>
        <v>5513.8009999999986</v>
      </c>
    </row>
    <row r="82" spans="1:9" ht="15.75" customHeight="1">
      <c r="A82" s="38"/>
      <c r="B82" s="54" t="s">
        <v>88</v>
      </c>
      <c r="C82" s="174"/>
      <c r="D82" s="173"/>
      <c r="E82" s="162"/>
      <c r="F82" s="162"/>
      <c r="G82" s="162"/>
      <c r="H82" s="175">
        <f>H81</f>
        <v>66.165611999999982</v>
      </c>
      <c r="I82" s="162">
        <f>I16+I17+I18+I20+I21+I26+I27+I30+I31+I33+I34+I54+I61+I80+I81</f>
        <v>48457.31653808889</v>
      </c>
    </row>
    <row r="83" spans="1:9" ht="15.75" customHeight="1">
      <c r="A83" s="38"/>
      <c r="B83" s="81" t="s">
        <v>63</v>
      </c>
      <c r="C83" s="20"/>
      <c r="D83" s="67"/>
      <c r="E83" s="16"/>
      <c r="F83" s="16"/>
      <c r="G83" s="16"/>
      <c r="H83" s="16"/>
      <c r="I83" s="16"/>
    </row>
    <row r="84" spans="1:9" ht="15.75" customHeight="1">
      <c r="A84" s="38">
        <v>16</v>
      </c>
      <c r="B84" s="82" t="s">
        <v>152</v>
      </c>
      <c r="C84" s="155" t="s">
        <v>129</v>
      </c>
      <c r="D84" s="166"/>
      <c r="E84" s="167"/>
      <c r="F84" s="168">
        <v>732</v>
      </c>
      <c r="G84" s="178">
        <v>50.68</v>
      </c>
      <c r="H84" s="169">
        <f>SUM(F84*G84/1000)</f>
        <v>37.097760000000001</v>
      </c>
      <c r="I84" s="178">
        <f>G84*61</f>
        <v>3091.48</v>
      </c>
    </row>
    <row r="85" spans="1:9" ht="31.5" customHeight="1">
      <c r="A85" s="38">
        <v>17</v>
      </c>
      <c r="B85" s="82" t="s">
        <v>204</v>
      </c>
      <c r="C85" s="100" t="s">
        <v>205</v>
      </c>
      <c r="D85" s="18"/>
      <c r="E85" s="23"/>
      <c r="F85" s="16">
        <v>2</v>
      </c>
      <c r="G85" s="16">
        <v>51.39</v>
      </c>
      <c r="H85" s="181">
        <f t="shared" ref="H85" si="8">G85*F85/1000</f>
        <v>0.10278</v>
      </c>
      <c r="I85" s="178">
        <f>G85</f>
        <v>51.39</v>
      </c>
    </row>
    <row r="86" spans="1:9" ht="15.75" customHeight="1">
      <c r="A86" s="38"/>
      <c r="B86" s="61" t="s">
        <v>52</v>
      </c>
      <c r="C86" s="57"/>
      <c r="D86" s="71"/>
      <c r="E86" s="57">
        <v>1</v>
      </c>
      <c r="F86" s="57"/>
      <c r="G86" s="57"/>
      <c r="H86" s="57"/>
      <c r="I86" s="40">
        <f>SUM(I84:I85)</f>
        <v>3142.87</v>
      </c>
    </row>
    <row r="87" spans="1:9" ht="15.75" customHeight="1">
      <c r="A87" s="38"/>
      <c r="B87" s="67" t="s">
        <v>85</v>
      </c>
      <c r="C87" s="19"/>
      <c r="D87" s="19"/>
      <c r="E87" s="58"/>
      <c r="F87" s="58"/>
      <c r="G87" s="59"/>
      <c r="H87" s="59"/>
      <c r="I87" s="22">
        <v>0</v>
      </c>
    </row>
    <row r="88" spans="1:9" ht="15.75" customHeight="1">
      <c r="A88" s="72"/>
      <c r="B88" s="62" t="s">
        <v>53</v>
      </c>
      <c r="C88" s="46"/>
      <c r="D88" s="46"/>
      <c r="E88" s="46"/>
      <c r="F88" s="46"/>
      <c r="G88" s="46"/>
      <c r="H88" s="46"/>
      <c r="I88" s="60">
        <f>I82+I86</f>
        <v>51600.186538088892</v>
      </c>
    </row>
    <row r="89" spans="1:9" ht="15.75" customHeight="1">
      <c r="A89" s="146" t="s">
        <v>231</v>
      </c>
      <c r="B89" s="146"/>
      <c r="C89" s="146"/>
      <c r="D89" s="146"/>
      <c r="E89" s="146"/>
      <c r="F89" s="146"/>
      <c r="G89" s="146"/>
      <c r="H89" s="146"/>
      <c r="I89" s="146"/>
    </row>
    <row r="90" spans="1:9" ht="15.75" customHeight="1">
      <c r="A90" s="118"/>
      <c r="B90" s="147" t="s">
        <v>232</v>
      </c>
      <c r="C90" s="147"/>
      <c r="D90" s="147"/>
      <c r="E90" s="147"/>
      <c r="F90" s="147"/>
      <c r="G90" s="147"/>
      <c r="H90" s="152"/>
      <c r="I90" s="3"/>
    </row>
    <row r="91" spans="1:9">
      <c r="A91" s="73"/>
      <c r="B91" s="133" t="s">
        <v>6</v>
      </c>
      <c r="C91" s="133"/>
      <c r="D91" s="133"/>
      <c r="E91" s="133"/>
      <c r="F91" s="133"/>
      <c r="G91" s="133"/>
      <c r="H91" s="33"/>
      <c r="I91" s="74"/>
    </row>
    <row r="92" spans="1:9" ht="15.75" customHeight="1">
      <c r="A92" s="110"/>
      <c r="B92" s="110"/>
      <c r="C92" s="110"/>
      <c r="D92" s="110"/>
      <c r="E92" s="110"/>
      <c r="F92" s="110"/>
      <c r="G92" s="110"/>
      <c r="H92" s="110"/>
      <c r="I92" s="110"/>
    </row>
    <row r="93" spans="1:9" ht="15.75" customHeight="1">
      <c r="A93" s="130" t="s">
        <v>7</v>
      </c>
      <c r="B93" s="130"/>
      <c r="C93" s="130"/>
      <c r="D93" s="130"/>
      <c r="E93" s="130"/>
      <c r="F93" s="130"/>
      <c r="G93" s="130"/>
      <c r="H93" s="130"/>
      <c r="I93" s="130"/>
    </row>
    <row r="94" spans="1:9" ht="15.75" customHeight="1">
      <c r="A94" s="130" t="s">
        <v>8</v>
      </c>
      <c r="B94" s="130"/>
      <c r="C94" s="130"/>
      <c r="D94" s="130"/>
      <c r="E94" s="130"/>
      <c r="F94" s="130"/>
      <c r="G94" s="130"/>
      <c r="H94" s="130"/>
      <c r="I94" s="130"/>
    </row>
    <row r="95" spans="1:9" ht="15.75" customHeight="1">
      <c r="A95" s="126" t="s">
        <v>64</v>
      </c>
      <c r="B95" s="126"/>
      <c r="C95" s="126"/>
      <c r="D95" s="126"/>
      <c r="E95" s="126"/>
      <c r="F95" s="126"/>
      <c r="G95" s="126"/>
      <c r="H95" s="126"/>
      <c r="I95" s="126"/>
    </row>
    <row r="96" spans="1:9" ht="15.75" customHeight="1">
      <c r="A96" s="11"/>
    </row>
    <row r="97" spans="1:9" ht="15.75" customHeight="1">
      <c r="A97" s="132" t="s">
        <v>9</v>
      </c>
      <c r="B97" s="132"/>
      <c r="C97" s="132"/>
      <c r="D97" s="132"/>
      <c r="E97" s="132"/>
      <c r="F97" s="132"/>
      <c r="G97" s="132"/>
      <c r="H97" s="132"/>
      <c r="I97" s="132"/>
    </row>
    <row r="98" spans="1:9" ht="15.75" customHeight="1">
      <c r="A98" s="4"/>
    </row>
    <row r="99" spans="1:9" ht="15.75" customHeight="1">
      <c r="B99" s="115" t="s">
        <v>10</v>
      </c>
      <c r="C99" s="144" t="s">
        <v>176</v>
      </c>
      <c r="D99" s="144"/>
      <c r="E99" s="144"/>
      <c r="F99" s="150"/>
      <c r="I99" s="113"/>
    </row>
    <row r="100" spans="1:9" ht="15.75" customHeight="1">
      <c r="A100" s="114"/>
      <c r="C100" s="133" t="s">
        <v>11</v>
      </c>
      <c r="D100" s="133"/>
      <c r="E100" s="133"/>
      <c r="F100" s="33"/>
      <c r="I100" s="112" t="s">
        <v>12</v>
      </c>
    </row>
    <row r="101" spans="1:9" ht="15.75" customHeight="1">
      <c r="A101" s="34"/>
      <c r="C101" s="12"/>
      <c r="D101" s="12"/>
      <c r="G101" s="12"/>
      <c r="H101" s="12"/>
    </row>
    <row r="102" spans="1:9" ht="15.75">
      <c r="B102" s="115" t="s">
        <v>13</v>
      </c>
      <c r="C102" s="134"/>
      <c r="D102" s="134"/>
      <c r="E102" s="134"/>
      <c r="F102" s="151"/>
      <c r="I102" s="113"/>
    </row>
    <row r="103" spans="1:9">
      <c r="A103" s="114"/>
      <c r="C103" s="135" t="s">
        <v>11</v>
      </c>
      <c r="D103" s="135"/>
      <c r="E103" s="135"/>
      <c r="F103" s="114"/>
      <c r="I103" s="112" t="s">
        <v>12</v>
      </c>
    </row>
    <row r="104" spans="1:9" ht="15.75" customHeight="1">
      <c r="A104" s="4" t="s">
        <v>14</v>
      </c>
    </row>
    <row r="105" spans="1:9" ht="15.75" customHeight="1">
      <c r="A105" s="136" t="s">
        <v>15</v>
      </c>
      <c r="B105" s="136"/>
      <c r="C105" s="136"/>
      <c r="D105" s="136"/>
      <c r="E105" s="136"/>
      <c r="F105" s="136"/>
      <c r="G105" s="136"/>
      <c r="H105" s="136"/>
      <c r="I105" s="136"/>
    </row>
    <row r="106" spans="1:9" ht="45" customHeight="1">
      <c r="A106" s="131" t="s">
        <v>16</v>
      </c>
      <c r="B106" s="131"/>
      <c r="C106" s="131"/>
      <c r="D106" s="131"/>
      <c r="E106" s="131"/>
      <c r="F106" s="131"/>
      <c r="G106" s="131"/>
      <c r="H106" s="131"/>
      <c r="I106" s="131"/>
    </row>
    <row r="107" spans="1:9" ht="30" customHeight="1">
      <c r="A107" s="131" t="s">
        <v>17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30" customHeight="1">
      <c r="A108" s="131" t="s">
        <v>21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15" customHeight="1">
      <c r="A109" s="131" t="s">
        <v>20</v>
      </c>
      <c r="B109" s="131"/>
      <c r="C109" s="131"/>
      <c r="D109" s="131"/>
      <c r="E109" s="131"/>
      <c r="F109" s="131"/>
      <c r="G109" s="131"/>
      <c r="H109" s="131"/>
      <c r="I109" s="131"/>
    </row>
  </sheetData>
  <autoFilter ref="I12:I61"/>
  <mergeCells count="28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89:I89"/>
    <mergeCell ref="B90:G90"/>
    <mergeCell ref="B91:G91"/>
    <mergeCell ref="A93:I93"/>
    <mergeCell ref="A94:I94"/>
    <mergeCell ref="A95:I95"/>
    <mergeCell ref="A15:I15"/>
    <mergeCell ref="A28:I28"/>
    <mergeCell ref="A44:I44"/>
    <mergeCell ref="A55:I55"/>
    <mergeCell ref="R66:U66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6" t="s">
        <v>101</v>
      </c>
      <c r="I1" s="35"/>
      <c r="J1" s="1"/>
      <c r="K1" s="1"/>
      <c r="L1" s="1"/>
      <c r="M1" s="1"/>
    </row>
    <row r="2" spans="1:13" ht="15.75">
      <c r="A2" s="37" t="s">
        <v>68</v>
      </c>
      <c r="J2" s="2"/>
      <c r="K2" s="2"/>
      <c r="L2" s="2"/>
      <c r="M2" s="2"/>
    </row>
    <row r="3" spans="1:13" ht="15.75" customHeight="1">
      <c r="A3" s="121" t="s">
        <v>233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163</v>
      </c>
      <c r="B4" s="122"/>
      <c r="C4" s="122"/>
      <c r="D4" s="122"/>
      <c r="E4" s="122"/>
      <c r="F4" s="122"/>
      <c r="G4" s="122"/>
      <c r="H4" s="122"/>
      <c r="I4" s="122"/>
    </row>
    <row r="5" spans="1:13" ht="15.75">
      <c r="A5" s="121" t="s">
        <v>96</v>
      </c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9">
        <v>42643</v>
      </c>
      <c r="J6" s="2"/>
      <c r="K6" s="2"/>
      <c r="L6" s="2"/>
      <c r="M6" s="2"/>
    </row>
    <row r="7" spans="1:13" ht="15.75">
      <c r="B7" s="115"/>
      <c r="C7" s="115"/>
      <c r="D7" s="11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4" t="s">
        <v>171</v>
      </c>
      <c r="B8" s="124"/>
      <c r="C8" s="124"/>
      <c r="D8" s="124"/>
      <c r="E8" s="124"/>
      <c r="F8" s="124"/>
      <c r="G8" s="124"/>
      <c r="H8" s="124"/>
      <c r="I8" s="1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5" t="s">
        <v>172</v>
      </c>
      <c r="B10" s="125"/>
      <c r="C10" s="125"/>
      <c r="D10" s="125"/>
      <c r="E10" s="125"/>
      <c r="F10" s="125"/>
      <c r="G10" s="125"/>
      <c r="H10" s="125"/>
      <c r="I10" s="1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0" t="s">
        <v>62</v>
      </c>
      <c r="B14" s="120"/>
      <c r="C14" s="120"/>
      <c r="D14" s="120"/>
      <c r="E14" s="120"/>
      <c r="F14" s="120"/>
      <c r="G14" s="120"/>
      <c r="H14" s="120"/>
      <c r="I14" s="120"/>
      <c r="J14" s="8"/>
      <c r="K14" s="8"/>
      <c r="L14" s="8"/>
      <c r="M14" s="8"/>
    </row>
    <row r="15" spans="1:13" ht="15" customHeight="1">
      <c r="A15" s="137" t="s">
        <v>4</v>
      </c>
      <c r="B15" s="137"/>
      <c r="C15" s="137"/>
      <c r="D15" s="137"/>
      <c r="E15" s="137"/>
      <c r="F15" s="137"/>
      <c r="G15" s="137"/>
      <c r="H15" s="137"/>
      <c r="I15" s="137"/>
      <c r="J15" s="8"/>
      <c r="K15" s="8"/>
      <c r="L15" s="8"/>
      <c r="M15" s="8"/>
    </row>
    <row r="16" spans="1:13" ht="31.5" customHeight="1">
      <c r="A16" s="38">
        <v>1</v>
      </c>
      <c r="B16" s="156" t="s">
        <v>104</v>
      </c>
      <c r="C16" s="157" t="s">
        <v>105</v>
      </c>
      <c r="D16" s="156" t="s">
        <v>106</v>
      </c>
      <c r="E16" s="158">
        <v>66</v>
      </c>
      <c r="F16" s="159">
        <f>SUM(E16*156/100)</f>
        <v>102.96</v>
      </c>
      <c r="G16" s="159">
        <v>175.38</v>
      </c>
      <c r="H16" s="160">
        <f t="shared" ref="H16:H25" si="0">SUM(F16*G16/1000)</f>
        <v>18.057124799999997</v>
      </c>
      <c r="I16" s="16">
        <f>F16/12*G16</f>
        <v>1504.7603999999999</v>
      </c>
      <c r="J16" s="30"/>
      <c r="K16" s="8"/>
      <c r="L16" s="8"/>
      <c r="M16" s="8"/>
    </row>
    <row r="17" spans="1:13" ht="31.5" customHeight="1">
      <c r="A17" s="38">
        <v>2</v>
      </c>
      <c r="B17" s="156" t="s">
        <v>140</v>
      </c>
      <c r="C17" s="157" t="s">
        <v>105</v>
      </c>
      <c r="D17" s="156" t="s">
        <v>107</v>
      </c>
      <c r="E17" s="158">
        <v>264</v>
      </c>
      <c r="F17" s="159">
        <f>SUM(E17*104/100)</f>
        <v>274.56</v>
      </c>
      <c r="G17" s="159">
        <v>175.38</v>
      </c>
      <c r="H17" s="160">
        <f t="shared" si="0"/>
        <v>48.152332799999996</v>
      </c>
      <c r="I17" s="16">
        <f>F17/12*G17</f>
        <v>4012.6943999999999</v>
      </c>
      <c r="J17" s="31"/>
      <c r="K17" s="8"/>
      <c r="L17" s="8"/>
      <c r="M17" s="8"/>
    </row>
    <row r="18" spans="1:13" ht="31.5" customHeight="1">
      <c r="A18" s="38">
        <v>3</v>
      </c>
      <c r="B18" s="156" t="s">
        <v>141</v>
      </c>
      <c r="C18" s="157" t="s">
        <v>105</v>
      </c>
      <c r="D18" s="156" t="s">
        <v>147</v>
      </c>
      <c r="E18" s="158">
        <f>SUM(E16+E17)</f>
        <v>330</v>
      </c>
      <c r="F18" s="159">
        <f>SUM(E18*24/100)</f>
        <v>79.2</v>
      </c>
      <c r="G18" s="159">
        <v>504.5</v>
      </c>
      <c r="H18" s="160">
        <f t="shared" si="0"/>
        <v>39.956400000000002</v>
      </c>
      <c r="I18" s="16">
        <f>F18/12*G18</f>
        <v>3329.7000000000003</v>
      </c>
      <c r="J18" s="31"/>
      <c r="K18" s="8"/>
      <c r="L18" s="8"/>
      <c r="M18" s="8"/>
    </row>
    <row r="19" spans="1:13" ht="15.75" hidden="1" customHeight="1">
      <c r="A19" s="38"/>
      <c r="B19" s="156" t="s">
        <v>114</v>
      </c>
      <c r="C19" s="157" t="s">
        <v>115</v>
      </c>
      <c r="D19" s="156" t="s">
        <v>116</v>
      </c>
      <c r="E19" s="158">
        <v>28.16</v>
      </c>
      <c r="F19" s="159">
        <f>SUM(E19/10)</f>
        <v>2.8159999999999998</v>
      </c>
      <c r="G19" s="159">
        <v>170.16</v>
      </c>
      <c r="H19" s="160">
        <f t="shared" si="0"/>
        <v>0.47917055999999997</v>
      </c>
      <c r="I19" s="16">
        <v>0</v>
      </c>
      <c r="J19" s="31"/>
      <c r="K19" s="8"/>
      <c r="L19" s="8"/>
      <c r="M19" s="8"/>
    </row>
    <row r="20" spans="1:13" ht="15.75" customHeight="1">
      <c r="A20" s="38">
        <v>4</v>
      </c>
      <c r="B20" s="156" t="s">
        <v>117</v>
      </c>
      <c r="C20" s="157" t="s">
        <v>105</v>
      </c>
      <c r="D20" s="156" t="s">
        <v>142</v>
      </c>
      <c r="E20" s="158">
        <v>14</v>
      </c>
      <c r="F20" s="159">
        <f>SUM(E20*12/100)</f>
        <v>1.68</v>
      </c>
      <c r="G20" s="159">
        <v>217.88</v>
      </c>
      <c r="H20" s="160">
        <f t="shared" si="0"/>
        <v>0.36603839999999999</v>
      </c>
      <c r="I20" s="16">
        <f>F20/12*G20</f>
        <v>30.503199999999996</v>
      </c>
      <c r="J20" s="31"/>
      <c r="K20" s="8"/>
      <c r="L20" s="8"/>
      <c r="M20" s="8"/>
    </row>
    <row r="21" spans="1:13" ht="15.75" customHeight="1">
      <c r="A21" s="38">
        <v>5</v>
      </c>
      <c r="B21" s="156" t="s">
        <v>118</v>
      </c>
      <c r="C21" s="157" t="s">
        <v>105</v>
      </c>
      <c r="D21" s="156" t="s">
        <v>30</v>
      </c>
      <c r="E21" s="158">
        <v>3.6</v>
      </c>
      <c r="F21" s="159">
        <f>SUM(E21*12/100)</f>
        <v>0.43200000000000005</v>
      </c>
      <c r="G21" s="159">
        <v>216.12</v>
      </c>
      <c r="H21" s="160">
        <f t="shared" si="0"/>
        <v>9.3363840000000003E-2</v>
      </c>
      <c r="I21" s="16">
        <f>F21/12*G21</f>
        <v>7.7803200000000015</v>
      </c>
      <c r="J21" s="31"/>
      <c r="K21" s="8"/>
      <c r="L21" s="8"/>
      <c r="M21" s="8"/>
    </row>
    <row r="22" spans="1:13" ht="15.75" hidden="1" customHeight="1">
      <c r="A22" s="38"/>
      <c r="B22" s="156" t="s">
        <v>119</v>
      </c>
      <c r="C22" s="157" t="s">
        <v>54</v>
      </c>
      <c r="D22" s="156" t="s">
        <v>116</v>
      </c>
      <c r="E22" s="158">
        <v>357</v>
      </c>
      <c r="F22" s="159">
        <f>SUM(E22/100)</f>
        <v>3.57</v>
      </c>
      <c r="G22" s="159">
        <v>269.26</v>
      </c>
      <c r="H22" s="160">
        <f t="shared" si="0"/>
        <v>0.96125819999999984</v>
      </c>
      <c r="I22" s="16">
        <v>0</v>
      </c>
      <c r="J22" s="31"/>
      <c r="K22" s="8"/>
      <c r="L22" s="8"/>
      <c r="M22" s="8"/>
    </row>
    <row r="23" spans="1:13" ht="15.75" hidden="1" customHeight="1">
      <c r="A23" s="38"/>
      <c r="B23" s="156" t="s">
        <v>120</v>
      </c>
      <c r="C23" s="157" t="s">
        <v>54</v>
      </c>
      <c r="D23" s="156" t="s">
        <v>116</v>
      </c>
      <c r="E23" s="161">
        <v>48.3</v>
      </c>
      <c r="F23" s="159">
        <f>SUM(E23/100)</f>
        <v>0.48299999999999998</v>
      </c>
      <c r="G23" s="159">
        <v>44.29</v>
      </c>
      <c r="H23" s="160">
        <f t="shared" si="0"/>
        <v>2.1392069999999999E-2</v>
      </c>
      <c r="I23" s="16">
        <v>0</v>
      </c>
      <c r="J23" s="31"/>
      <c r="K23" s="8"/>
      <c r="L23" s="8"/>
      <c r="M23" s="8"/>
    </row>
    <row r="24" spans="1:13" ht="15.75" hidden="1" customHeight="1">
      <c r="A24" s="38"/>
      <c r="B24" s="156" t="s">
        <v>121</v>
      </c>
      <c r="C24" s="157" t="s">
        <v>54</v>
      </c>
      <c r="D24" s="156" t="s">
        <v>153</v>
      </c>
      <c r="E24" s="158">
        <v>20</v>
      </c>
      <c r="F24" s="159">
        <f>E24/100</f>
        <v>0.2</v>
      </c>
      <c r="G24" s="159">
        <v>389.72</v>
      </c>
      <c r="H24" s="160">
        <f t="shared" si="0"/>
        <v>7.7944000000000013E-2</v>
      </c>
      <c r="I24" s="16">
        <v>0</v>
      </c>
      <c r="J24" s="31"/>
      <c r="K24" s="8"/>
      <c r="L24" s="8"/>
      <c r="M24" s="8"/>
    </row>
    <row r="25" spans="1:13" ht="15.75" hidden="1" customHeight="1">
      <c r="A25" s="38"/>
      <c r="B25" s="156" t="s">
        <v>122</v>
      </c>
      <c r="C25" s="157" t="s">
        <v>54</v>
      </c>
      <c r="D25" s="156" t="s">
        <v>116</v>
      </c>
      <c r="E25" s="158">
        <v>8.5</v>
      </c>
      <c r="F25" s="159">
        <f>SUM(E25/100)</f>
        <v>8.5000000000000006E-2</v>
      </c>
      <c r="G25" s="159">
        <v>520.79999999999995</v>
      </c>
      <c r="H25" s="160">
        <f t="shared" si="0"/>
        <v>4.4268000000000002E-2</v>
      </c>
      <c r="I25" s="16">
        <v>0</v>
      </c>
      <c r="J25" s="31"/>
      <c r="K25" s="8"/>
      <c r="L25" s="8"/>
      <c r="M25" s="8"/>
    </row>
    <row r="26" spans="1:13" ht="15.75" customHeight="1">
      <c r="A26" s="38">
        <v>6</v>
      </c>
      <c r="B26" s="156" t="s">
        <v>70</v>
      </c>
      <c r="C26" s="157" t="s">
        <v>33</v>
      </c>
      <c r="D26" s="156" t="s">
        <v>143</v>
      </c>
      <c r="E26" s="158">
        <v>0.1</v>
      </c>
      <c r="F26" s="159">
        <f>SUM(E26*365)</f>
        <v>36.5</v>
      </c>
      <c r="G26" s="159">
        <v>147.03</v>
      </c>
      <c r="H26" s="160">
        <f>SUM(F26*G26/1000)</f>
        <v>5.3665950000000002</v>
      </c>
      <c r="I26" s="16">
        <f>F26/12*G26</f>
        <v>447.21625</v>
      </c>
      <c r="J26" s="32"/>
    </row>
    <row r="27" spans="1:13" ht="15.75" customHeight="1">
      <c r="A27" s="38">
        <v>7</v>
      </c>
      <c r="B27" s="164" t="s">
        <v>23</v>
      </c>
      <c r="C27" s="157" t="s">
        <v>24</v>
      </c>
      <c r="D27" s="164" t="s">
        <v>149</v>
      </c>
      <c r="E27" s="158">
        <v>3382.7</v>
      </c>
      <c r="F27" s="159">
        <f>SUM(E27*12)</f>
        <v>40592.399999999994</v>
      </c>
      <c r="G27" s="159">
        <v>4.42</v>
      </c>
      <c r="H27" s="160">
        <f>SUM(F27*G27/1000)</f>
        <v>179.41840799999997</v>
      </c>
      <c r="I27" s="16">
        <f>F27/12*G27</f>
        <v>14951.533999999998</v>
      </c>
      <c r="J27" s="32"/>
    </row>
    <row r="28" spans="1:13" ht="15" customHeight="1">
      <c r="A28" s="137" t="s">
        <v>100</v>
      </c>
      <c r="B28" s="137"/>
      <c r="C28" s="137"/>
      <c r="D28" s="137"/>
      <c r="E28" s="137"/>
      <c r="F28" s="137"/>
      <c r="G28" s="137"/>
      <c r="H28" s="137"/>
      <c r="I28" s="137"/>
      <c r="J28" s="31"/>
      <c r="K28" s="8"/>
      <c r="L28" s="8"/>
      <c r="M28" s="8"/>
    </row>
    <row r="29" spans="1:13" ht="15.75" customHeight="1">
      <c r="A29" s="38"/>
      <c r="B29" s="184" t="s">
        <v>28</v>
      </c>
      <c r="C29" s="157"/>
      <c r="D29" s="156"/>
      <c r="E29" s="158"/>
      <c r="F29" s="159"/>
      <c r="G29" s="159"/>
      <c r="H29" s="160"/>
      <c r="I29" s="16"/>
      <c r="J29" s="31"/>
      <c r="K29" s="8"/>
      <c r="L29" s="8"/>
      <c r="M29" s="8"/>
    </row>
    <row r="30" spans="1:13" ht="31.5" customHeight="1">
      <c r="A30" s="38">
        <v>8</v>
      </c>
      <c r="B30" s="156" t="s">
        <v>126</v>
      </c>
      <c r="C30" s="157" t="s">
        <v>109</v>
      </c>
      <c r="D30" s="156" t="s">
        <v>123</v>
      </c>
      <c r="E30" s="159">
        <v>667.1</v>
      </c>
      <c r="F30" s="159">
        <f>SUM(E30*52/1000)</f>
        <v>34.689200000000007</v>
      </c>
      <c r="G30" s="159">
        <v>155.88999999999999</v>
      </c>
      <c r="H30" s="160">
        <f t="shared" ref="H30:H36" si="1">SUM(F30*G30/1000)</f>
        <v>5.4076993880000011</v>
      </c>
      <c r="I30" s="16">
        <f t="shared" ref="I30:I34" si="2">F30/6*G30</f>
        <v>901.28323133333345</v>
      </c>
      <c r="J30" s="31"/>
      <c r="K30" s="8"/>
      <c r="L30" s="8"/>
      <c r="M30" s="8"/>
    </row>
    <row r="31" spans="1:13" ht="31.5" customHeight="1">
      <c r="A31" s="38">
        <v>9</v>
      </c>
      <c r="B31" s="156" t="s">
        <v>144</v>
      </c>
      <c r="C31" s="157" t="s">
        <v>109</v>
      </c>
      <c r="D31" s="156" t="s">
        <v>124</v>
      </c>
      <c r="E31" s="159">
        <v>457.48</v>
      </c>
      <c r="F31" s="159">
        <f>SUM(E31*78/1000)</f>
        <v>35.683440000000004</v>
      </c>
      <c r="G31" s="159">
        <v>258.63</v>
      </c>
      <c r="H31" s="160">
        <f t="shared" si="1"/>
        <v>9.2288080872000009</v>
      </c>
      <c r="I31" s="16">
        <f t="shared" si="2"/>
        <v>1538.1346812000002</v>
      </c>
      <c r="J31" s="31"/>
      <c r="K31" s="8"/>
      <c r="L31" s="8"/>
      <c r="M31" s="8"/>
    </row>
    <row r="32" spans="1:13" ht="15.75" hidden="1" customHeight="1">
      <c r="A32" s="38"/>
      <c r="B32" s="156" t="s">
        <v>27</v>
      </c>
      <c r="C32" s="157" t="s">
        <v>109</v>
      </c>
      <c r="D32" s="156" t="s">
        <v>55</v>
      </c>
      <c r="E32" s="159">
        <v>667.1</v>
      </c>
      <c r="F32" s="159">
        <f>SUM(E32/1000)</f>
        <v>0.66710000000000003</v>
      </c>
      <c r="G32" s="159">
        <v>3020.33</v>
      </c>
      <c r="H32" s="160">
        <f t="shared" si="1"/>
        <v>2.0148621430000002</v>
      </c>
      <c r="I32" s="16">
        <f>F32*G32</f>
        <v>2014.8621430000001</v>
      </c>
      <c r="J32" s="31"/>
      <c r="K32" s="8"/>
      <c r="L32" s="8"/>
      <c r="M32" s="8"/>
    </row>
    <row r="33" spans="1:14" ht="15.75" customHeight="1">
      <c r="A33" s="38">
        <v>10</v>
      </c>
      <c r="B33" s="156" t="s">
        <v>150</v>
      </c>
      <c r="C33" s="157" t="s">
        <v>41</v>
      </c>
      <c r="D33" s="156" t="s">
        <v>69</v>
      </c>
      <c r="E33" s="159">
        <v>1</v>
      </c>
      <c r="F33" s="159">
        <v>1.55</v>
      </c>
      <c r="G33" s="159">
        <v>1302.02</v>
      </c>
      <c r="H33" s="160">
        <f>G33*F33/1000</f>
        <v>2.0181309999999999</v>
      </c>
      <c r="I33" s="16">
        <f t="shared" si="2"/>
        <v>336.35516666666672</v>
      </c>
      <c r="J33" s="31"/>
      <c r="K33" s="8"/>
      <c r="L33" s="8"/>
      <c r="M33" s="8"/>
    </row>
    <row r="34" spans="1:14" ht="15.75" customHeight="1">
      <c r="A34" s="38">
        <v>11</v>
      </c>
      <c r="B34" s="156" t="s">
        <v>125</v>
      </c>
      <c r="C34" s="157" t="s">
        <v>31</v>
      </c>
      <c r="D34" s="156" t="s">
        <v>69</v>
      </c>
      <c r="E34" s="163">
        <v>0.33333333333333331</v>
      </c>
      <c r="F34" s="159">
        <f>155/3</f>
        <v>51.666666666666664</v>
      </c>
      <c r="G34" s="159">
        <v>56.69</v>
      </c>
      <c r="H34" s="160">
        <f>SUM(G34*155/3/1000)</f>
        <v>2.9289833333333331</v>
      </c>
      <c r="I34" s="16">
        <f t="shared" si="2"/>
        <v>488.16388888888883</v>
      </c>
      <c r="J34" s="31"/>
      <c r="K34" s="8"/>
    </row>
    <row r="35" spans="1:14" ht="15.75" hidden="1" customHeight="1">
      <c r="A35" s="38"/>
      <c r="B35" s="156" t="s">
        <v>71</v>
      </c>
      <c r="C35" s="157" t="s">
        <v>33</v>
      </c>
      <c r="D35" s="156" t="s">
        <v>73</v>
      </c>
      <c r="E35" s="158"/>
      <c r="F35" s="159">
        <v>3</v>
      </c>
      <c r="G35" s="159">
        <v>191.32</v>
      </c>
      <c r="H35" s="160">
        <f t="shared" si="1"/>
        <v>0.57396000000000003</v>
      </c>
      <c r="I35" s="16">
        <v>0</v>
      </c>
      <c r="J35" s="32"/>
    </row>
    <row r="36" spans="1:14" ht="15.75" hidden="1" customHeight="1">
      <c r="A36" s="38"/>
      <c r="B36" s="156" t="s">
        <v>72</v>
      </c>
      <c r="C36" s="157" t="s">
        <v>32</v>
      </c>
      <c r="D36" s="156" t="s">
        <v>73</v>
      </c>
      <c r="E36" s="158"/>
      <c r="F36" s="159">
        <v>2</v>
      </c>
      <c r="G36" s="159">
        <v>1136.33</v>
      </c>
      <c r="H36" s="160">
        <f t="shared" si="1"/>
        <v>2.2726599999999997</v>
      </c>
      <c r="I36" s="16">
        <v>0</v>
      </c>
      <c r="J36" s="32"/>
    </row>
    <row r="37" spans="1:14" ht="15.75" hidden="1" customHeight="1">
      <c r="A37" s="38"/>
      <c r="B37" s="184" t="s">
        <v>5</v>
      </c>
      <c r="C37" s="157"/>
      <c r="D37" s="156"/>
      <c r="E37" s="158"/>
      <c r="F37" s="159"/>
      <c r="G37" s="159"/>
      <c r="H37" s="160" t="s">
        <v>149</v>
      </c>
      <c r="I37" s="16"/>
      <c r="J37" s="32"/>
    </row>
    <row r="38" spans="1:14" ht="15.75" hidden="1" customHeight="1">
      <c r="A38" s="38">
        <v>8</v>
      </c>
      <c r="B38" s="156" t="s">
        <v>26</v>
      </c>
      <c r="C38" s="157" t="s">
        <v>32</v>
      </c>
      <c r="D38" s="156"/>
      <c r="E38" s="158"/>
      <c r="F38" s="159">
        <v>10</v>
      </c>
      <c r="G38" s="159">
        <v>1527.22</v>
      </c>
      <c r="H38" s="160">
        <f t="shared" ref="H38:H43" si="3">SUM(F38*G38/1000)</f>
        <v>15.272200000000002</v>
      </c>
      <c r="I38" s="16">
        <f t="shared" ref="I38:I43" si="4">F38/6*G38</f>
        <v>2545.3666666666668</v>
      </c>
      <c r="J38" s="32"/>
    </row>
    <row r="39" spans="1:14" ht="15.75" hidden="1" customHeight="1">
      <c r="A39" s="38">
        <v>9</v>
      </c>
      <c r="B39" s="156" t="s">
        <v>127</v>
      </c>
      <c r="C39" s="157" t="s">
        <v>29</v>
      </c>
      <c r="D39" s="156" t="s">
        <v>154</v>
      </c>
      <c r="E39" s="158">
        <v>457.48</v>
      </c>
      <c r="F39" s="159">
        <f>E39*20/1000</f>
        <v>9.1495999999999995</v>
      </c>
      <c r="G39" s="159">
        <v>2102.71</v>
      </c>
      <c r="H39" s="160">
        <f t="shared" si="3"/>
        <v>19.238955416</v>
      </c>
      <c r="I39" s="16">
        <f t="shared" si="4"/>
        <v>3206.492569333333</v>
      </c>
      <c r="J39" s="32"/>
      <c r="L39" s="25"/>
      <c r="M39" s="26"/>
      <c r="N39" s="27"/>
    </row>
    <row r="40" spans="1:14" ht="15.75" hidden="1" customHeight="1">
      <c r="A40" s="38">
        <v>10</v>
      </c>
      <c r="B40" s="156" t="s">
        <v>74</v>
      </c>
      <c r="C40" s="157" t="s">
        <v>29</v>
      </c>
      <c r="D40" s="156" t="s">
        <v>108</v>
      </c>
      <c r="E40" s="159">
        <v>107.36</v>
      </c>
      <c r="F40" s="159">
        <f>SUM(E40*155/1000)</f>
        <v>16.640799999999999</v>
      </c>
      <c r="G40" s="159">
        <v>350.75</v>
      </c>
      <c r="H40" s="160">
        <f t="shared" si="3"/>
        <v>5.8367605999999999</v>
      </c>
      <c r="I40" s="16">
        <f t="shared" si="4"/>
        <v>972.79343333333316</v>
      </c>
      <c r="J40" s="32"/>
      <c r="L40" s="25"/>
      <c r="M40" s="26"/>
      <c r="N40" s="27"/>
    </row>
    <row r="41" spans="1:14" ht="48" hidden="1" customHeight="1">
      <c r="A41" s="38">
        <v>11</v>
      </c>
      <c r="B41" s="156" t="s">
        <v>97</v>
      </c>
      <c r="C41" s="157" t="s">
        <v>109</v>
      </c>
      <c r="D41" s="156" t="s">
        <v>155</v>
      </c>
      <c r="E41" s="159">
        <v>24</v>
      </c>
      <c r="F41" s="159">
        <f>SUM(E41*50/1000)</f>
        <v>1.2</v>
      </c>
      <c r="G41" s="159">
        <v>5803.28</v>
      </c>
      <c r="H41" s="160">
        <f t="shared" si="3"/>
        <v>6.9639359999999995</v>
      </c>
      <c r="I41" s="16">
        <f t="shared" si="4"/>
        <v>1160.6559999999999</v>
      </c>
      <c r="J41" s="32"/>
      <c r="L41" s="25"/>
      <c r="M41" s="26"/>
      <c r="N41" s="27"/>
    </row>
    <row r="42" spans="1:14" ht="15.75" hidden="1" customHeight="1">
      <c r="A42" s="38">
        <v>12</v>
      </c>
      <c r="B42" s="156" t="s">
        <v>110</v>
      </c>
      <c r="C42" s="157" t="s">
        <v>109</v>
      </c>
      <c r="D42" s="156" t="s">
        <v>75</v>
      </c>
      <c r="E42" s="159">
        <v>123.36</v>
      </c>
      <c r="F42" s="159">
        <f>SUM(E42*45/1000)</f>
        <v>5.5511999999999997</v>
      </c>
      <c r="G42" s="159">
        <v>428.7</v>
      </c>
      <c r="H42" s="160">
        <f t="shared" si="3"/>
        <v>2.3797994399999998</v>
      </c>
      <c r="I42" s="16">
        <f t="shared" si="4"/>
        <v>396.63323999999994</v>
      </c>
      <c r="J42" s="32"/>
      <c r="L42" s="25"/>
      <c r="M42" s="26"/>
      <c r="N42" s="27"/>
    </row>
    <row r="43" spans="1:14" ht="15.75" hidden="1" customHeight="1">
      <c r="A43" s="38">
        <v>13</v>
      </c>
      <c r="B43" s="156" t="s">
        <v>76</v>
      </c>
      <c r="C43" s="157" t="s">
        <v>33</v>
      </c>
      <c r="D43" s="156"/>
      <c r="E43" s="158"/>
      <c r="F43" s="159">
        <v>0.9</v>
      </c>
      <c r="G43" s="159">
        <v>798</v>
      </c>
      <c r="H43" s="160">
        <f t="shared" si="3"/>
        <v>0.71820000000000006</v>
      </c>
      <c r="I43" s="16">
        <f t="shared" si="4"/>
        <v>119.69999999999999</v>
      </c>
      <c r="J43" s="32"/>
      <c r="L43" s="25"/>
      <c r="M43" s="26"/>
      <c r="N43" s="27"/>
    </row>
    <row r="44" spans="1:14" ht="15.75" customHeight="1">
      <c r="A44" s="138" t="s">
        <v>173</v>
      </c>
      <c r="B44" s="139"/>
      <c r="C44" s="139"/>
      <c r="D44" s="139"/>
      <c r="E44" s="139"/>
      <c r="F44" s="139"/>
      <c r="G44" s="139"/>
      <c r="H44" s="139"/>
      <c r="I44" s="140"/>
      <c r="J44" s="32"/>
      <c r="L44" s="25"/>
      <c r="M44" s="26"/>
      <c r="N44" s="27"/>
    </row>
    <row r="45" spans="1:14" ht="15.75" customHeight="1">
      <c r="A45" s="38">
        <v>12</v>
      </c>
      <c r="B45" s="156" t="s">
        <v>156</v>
      </c>
      <c r="C45" s="157" t="s">
        <v>109</v>
      </c>
      <c r="D45" s="156" t="s">
        <v>43</v>
      </c>
      <c r="E45" s="158">
        <v>1197.75</v>
      </c>
      <c r="F45" s="159">
        <f>SUM(E45*2/1000)</f>
        <v>2.3955000000000002</v>
      </c>
      <c r="G45" s="16">
        <v>809.74</v>
      </c>
      <c r="H45" s="160">
        <f t="shared" ref="H45:H53" si="5">SUM(F45*G45/1000)</f>
        <v>1.9397321700000003</v>
      </c>
      <c r="I45" s="16">
        <f t="shared" ref="I45:I48" si="6">F45/2*G45</f>
        <v>969.86608500000011</v>
      </c>
      <c r="J45" s="32"/>
      <c r="L45" s="25"/>
      <c r="M45" s="26"/>
      <c r="N45" s="27"/>
    </row>
    <row r="46" spans="1:14" ht="15.75" customHeight="1">
      <c r="A46" s="38">
        <v>13</v>
      </c>
      <c r="B46" s="156" t="s">
        <v>36</v>
      </c>
      <c r="C46" s="157" t="s">
        <v>109</v>
      </c>
      <c r="D46" s="156" t="s">
        <v>43</v>
      </c>
      <c r="E46" s="158">
        <v>52</v>
      </c>
      <c r="F46" s="159">
        <f>E46*2/1000</f>
        <v>0.104</v>
      </c>
      <c r="G46" s="16">
        <v>457.4</v>
      </c>
      <c r="H46" s="160">
        <f t="shared" si="5"/>
        <v>4.7569599999999997E-2</v>
      </c>
      <c r="I46" s="16">
        <f t="shared" si="6"/>
        <v>23.784799999999997</v>
      </c>
      <c r="J46" s="32"/>
      <c r="L46" s="25"/>
      <c r="M46" s="26"/>
      <c r="N46" s="27"/>
    </row>
    <row r="47" spans="1:14" ht="15.75" customHeight="1">
      <c r="A47" s="38">
        <v>14</v>
      </c>
      <c r="B47" s="156" t="s">
        <v>37</v>
      </c>
      <c r="C47" s="157" t="s">
        <v>109</v>
      </c>
      <c r="D47" s="156" t="s">
        <v>43</v>
      </c>
      <c r="E47" s="158">
        <v>1056.5999999999999</v>
      </c>
      <c r="F47" s="159">
        <f>SUM(E47*2/1000)</f>
        <v>2.1132</v>
      </c>
      <c r="G47" s="16">
        <v>579.48</v>
      </c>
      <c r="H47" s="160">
        <f t="shared" si="5"/>
        <v>1.224557136</v>
      </c>
      <c r="I47" s="16">
        <f t="shared" si="6"/>
        <v>612.27856800000006</v>
      </c>
      <c r="J47" s="32"/>
      <c r="L47" s="25"/>
      <c r="M47" s="26"/>
      <c r="N47" s="27"/>
    </row>
    <row r="48" spans="1:14" ht="15.75" customHeight="1">
      <c r="A48" s="38">
        <v>15</v>
      </c>
      <c r="B48" s="156" t="s">
        <v>38</v>
      </c>
      <c r="C48" s="157" t="s">
        <v>109</v>
      </c>
      <c r="D48" s="156" t="s">
        <v>43</v>
      </c>
      <c r="E48" s="158">
        <v>2582</v>
      </c>
      <c r="F48" s="159">
        <f>SUM(E48*2/1000)</f>
        <v>5.1639999999999997</v>
      </c>
      <c r="G48" s="16">
        <v>606.77</v>
      </c>
      <c r="H48" s="160">
        <f t="shared" si="5"/>
        <v>3.1333602799999998</v>
      </c>
      <c r="I48" s="16">
        <f t="shared" si="6"/>
        <v>1566.6801399999999</v>
      </c>
      <c r="J48" s="32"/>
      <c r="L48" s="25"/>
      <c r="M48" s="26"/>
      <c r="N48" s="27"/>
    </row>
    <row r="49" spans="1:22" ht="15.75" customHeight="1">
      <c r="A49" s="38">
        <v>16</v>
      </c>
      <c r="B49" s="156" t="s">
        <v>34</v>
      </c>
      <c r="C49" s="157" t="s">
        <v>35</v>
      </c>
      <c r="D49" s="156" t="s">
        <v>43</v>
      </c>
      <c r="E49" s="158">
        <v>1676.85</v>
      </c>
      <c r="F49" s="159">
        <f>SUM(E49*2/100)</f>
        <v>33.536999999999999</v>
      </c>
      <c r="G49" s="16">
        <v>72.81</v>
      </c>
      <c r="H49" s="160">
        <f t="shared" si="5"/>
        <v>2.44182897</v>
      </c>
      <c r="I49" s="16">
        <f>F49/2*G49</f>
        <v>1220.914485</v>
      </c>
      <c r="J49" s="32"/>
      <c r="L49" s="25"/>
      <c r="M49" s="26"/>
      <c r="N49" s="27"/>
    </row>
    <row r="50" spans="1:22" ht="15.75" customHeight="1">
      <c r="A50" s="38">
        <v>17</v>
      </c>
      <c r="B50" s="156" t="s">
        <v>59</v>
      </c>
      <c r="C50" s="157" t="s">
        <v>109</v>
      </c>
      <c r="D50" s="156" t="s">
        <v>209</v>
      </c>
      <c r="E50" s="158">
        <v>1916.4</v>
      </c>
      <c r="F50" s="159">
        <f>SUM(E50*5/1000)</f>
        <v>9.5820000000000007</v>
      </c>
      <c r="G50" s="16">
        <v>1213.55</v>
      </c>
      <c r="H50" s="160">
        <f t="shared" si="5"/>
        <v>11.628236100000001</v>
      </c>
      <c r="I50" s="16">
        <f>F50/5*G50</f>
        <v>2325.6472199999998</v>
      </c>
      <c r="J50" s="32"/>
      <c r="L50" s="25"/>
      <c r="M50" s="26"/>
      <c r="N50" s="27"/>
    </row>
    <row r="51" spans="1:22" ht="31.5" customHeight="1">
      <c r="A51" s="38">
        <v>18</v>
      </c>
      <c r="B51" s="156" t="s">
        <v>111</v>
      </c>
      <c r="C51" s="157" t="s">
        <v>109</v>
      </c>
      <c r="D51" s="156" t="s">
        <v>43</v>
      </c>
      <c r="E51" s="158">
        <v>1916.4</v>
      </c>
      <c r="F51" s="159">
        <f>SUM(E51*2/1000)</f>
        <v>3.8328000000000002</v>
      </c>
      <c r="G51" s="16">
        <v>1213.55</v>
      </c>
      <c r="H51" s="160">
        <f t="shared" si="5"/>
        <v>4.65129444</v>
      </c>
      <c r="I51" s="16">
        <f t="shared" ref="I51:I53" si="7">F51/2*G51</f>
        <v>2325.6472199999998</v>
      </c>
      <c r="J51" s="32"/>
      <c r="L51" s="25"/>
      <c r="M51" s="26"/>
      <c r="N51" s="27"/>
    </row>
    <row r="52" spans="1:22" ht="31.5" customHeight="1">
      <c r="A52" s="38">
        <v>19</v>
      </c>
      <c r="B52" s="156" t="s">
        <v>112</v>
      </c>
      <c r="C52" s="157" t="s">
        <v>39</v>
      </c>
      <c r="D52" s="156" t="s">
        <v>43</v>
      </c>
      <c r="E52" s="158">
        <v>20</v>
      </c>
      <c r="F52" s="159">
        <f>SUM(E52*2/100)</f>
        <v>0.4</v>
      </c>
      <c r="G52" s="16">
        <v>2730.49</v>
      </c>
      <c r="H52" s="160">
        <f t="shared" si="5"/>
        <v>1.0921959999999999</v>
      </c>
      <c r="I52" s="16">
        <f t="shared" si="7"/>
        <v>546.09799999999996</v>
      </c>
      <c r="J52" s="32"/>
      <c r="L52" s="25"/>
      <c r="M52" s="26"/>
      <c r="N52" s="27"/>
    </row>
    <row r="53" spans="1:22" ht="15.75" customHeight="1">
      <c r="A53" s="38">
        <v>20</v>
      </c>
      <c r="B53" s="156" t="s">
        <v>40</v>
      </c>
      <c r="C53" s="157" t="s">
        <v>41</v>
      </c>
      <c r="D53" s="156" t="s">
        <v>43</v>
      </c>
      <c r="E53" s="158">
        <v>1</v>
      </c>
      <c r="F53" s="159">
        <v>0.02</v>
      </c>
      <c r="G53" s="16">
        <v>5652.13</v>
      </c>
      <c r="H53" s="160">
        <f t="shared" si="5"/>
        <v>0.11304260000000001</v>
      </c>
      <c r="I53" s="16">
        <f t="shared" si="7"/>
        <v>56.521300000000004</v>
      </c>
      <c r="J53" s="32"/>
      <c r="L53" s="25"/>
      <c r="M53" s="26"/>
      <c r="N53" s="27"/>
    </row>
    <row r="54" spans="1:22" ht="15.75" customHeight="1">
      <c r="A54" s="138" t="s">
        <v>174</v>
      </c>
      <c r="B54" s="139"/>
      <c r="C54" s="139"/>
      <c r="D54" s="139"/>
      <c r="E54" s="139"/>
      <c r="F54" s="139"/>
      <c r="G54" s="139"/>
      <c r="H54" s="139"/>
      <c r="I54" s="140"/>
      <c r="J54" s="32"/>
      <c r="L54" s="25"/>
      <c r="M54" s="26"/>
      <c r="N54" s="27"/>
    </row>
    <row r="55" spans="1:22" ht="15.75" hidden="1" customHeight="1">
      <c r="A55" s="38"/>
      <c r="B55" s="184" t="s">
        <v>44</v>
      </c>
      <c r="C55" s="157"/>
      <c r="D55" s="156"/>
      <c r="E55" s="158"/>
      <c r="F55" s="159"/>
      <c r="G55" s="159"/>
      <c r="H55" s="160"/>
      <c r="I55" s="16"/>
      <c r="J55" s="32"/>
      <c r="L55" s="25"/>
      <c r="M55" s="26"/>
      <c r="N55" s="27"/>
    </row>
    <row r="56" spans="1:22" ht="31.5" hidden="1" customHeight="1">
      <c r="A56" s="38">
        <v>16</v>
      </c>
      <c r="B56" s="156" t="s">
        <v>148</v>
      </c>
      <c r="C56" s="157" t="s">
        <v>105</v>
      </c>
      <c r="D56" s="156" t="s">
        <v>130</v>
      </c>
      <c r="E56" s="158">
        <v>131.77500000000001</v>
      </c>
      <c r="F56" s="159">
        <f>SUM(E56*6/100)</f>
        <v>7.9065000000000012</v>
      </c>
      <c r="G56" s="16">
        <v>1547.28</v>
      </c>
      <c r="H56" s="160">
        <f>SUM(F56*G56/1000)</f>
        <v>12.233569320000003</v>
      </c>
      <c r="I56" s="16">
        <f>F56/6*G56</f>
        <v>2038.9282200000002</v>
      </c>
      <c r="J56" s="32"/>
      <c r="L56" s="25"/>
      <c r="M56" s="26"/>
      <c r="N56" s="27"/>
    </row>
    <row r="57" spans="1:22" ht="15.75" customHeight="1">
      <c r="A57" s="38"/>
      <c r="B57" s="185" t="s">
        <v>45</v>
      </c>
      <c r="C57" s="165"/>
      <c r="D57" s="166"/>
      <c r="E57" s="167"/>
      <c r="F57" s="169"/>
      <c r="G57" s="16"/>
      <c r="H57" s="170"/>
      <c r="I57" s="16"/>
      <c r="J57" s="32"/>
      <c r="L57" s="25"/>
      <c r="M57" s="26"/>
      <c r="N57" s="27"/>
    </row>
    <row r="58" spans="1:22" ht="15.75" hidden="1" customHeight="1">
      <c r="A58" s="38"/>
      <c r="B58" s="166" t="s">
        <v>157</v>
      </c>
      <c r="C58" s="165" t="s">
        <v>54</v>
      </c>
      <c r="D58" s="166" t="s">
        <v>55</v>
      </c>
      <c r="E58" s="167">
        <v>890</v>
      </c>
      <c r="F58" s="169">
        <v>8.9</v>
      </c>
      <c r="G58" s="16">
        <v>793.61</v>
      </c>
      <c r="H58" s="170">
        <f>F58*G58/1000</f>
        <v>7.0631290000000009</v>
      </c>
      <c r="I58" s="16">
        <v>0</v>
      </c>
      <c r="J58" s="32"/>
      <c r="L58" s="25"/>
    </row>
    <row r="59" spans="1:22" ht="15.75" hidden="1" customHeight="1">
      <c r="A59" s="38"/>
      <c r="B59" s="166" t="s">
        <v>158</v>
      </c>
      <c r="C59" s="165" t="s">
        <v>54</v>
      </c>
      <c r="D59" s="166" t="s">
        <v>55</v>
      </c>
      <c r="E59" s="167">
        <v>890</v>
      </c>
      <c r="F59" s="169">
        <v>8.9</v>
      </c>
      <c r="G59" s="16">
        <v>793.61</v>
      </c>
      <c r="H59" s="170">
        <f>F59*G59/1000</f>
        <v>7.0631290000000009</v>
      </c>
      <c r="I59" s="16">
        <v>0</v>
      </c>
    </row>
    <row r="60" spans="1:22" ht="15.75" customHeight="1">
      <c r="A60" s="38">
        <v>21</v>
      </c>
      <c r="B60" s="166" t="s">
        <v>145</v>
      </c>
      <c r="C60" s="165" t="s">
        <v>25</v>
      </c>
      <c r="D60" s="166" t="s">
        <v>30</v>
      </c>
      <c r="E60" s="167">
        <v>158.19999999999999</v>
      </c>
      <c r="F60" s="169">
        <f>E60*12</f>
        <v>1898.3999999999999</v>
      </c>
      <c r="G60" s="177">
        <v>2.6</v>
      </c>
      <c r="H60" s="170">
        <f>F60*G60/1000</f>
        <v>4.9358399999999998</v>
      </c>
      <c r="I60" s="16">
        <f>F60/12*G60</f>
        <v>411.32</v>
      </c>
    </row>
    <row r="61" spans="1:22" ht="15.75" customHeight="1">
      <c r="A61" s="38"/>
      <c r="B61" s="185" t="s">
        <v>46</v>
      </c>
      <c r="C61" s="165"/>
      <c r="D61" s="166"/>
      <c r="E61" s="167"/>
      <c r="F61" s="168"/>
      <c r="G61" s="168"/>
      <c r="H61" s="169" t="s">
        <v>149</v>
      </c>
      <c r="I61" s="16"/>
    </row>
    <row r="62" spans="1:22" ht="15.75" hidden="1" customHeight="1">
      <c r="A62" s="38"/>
      <c r="B62" s="18" t="s">
        <v>47</v>
      </c>
      <c r="C62" s="20" t="s">
        <v>129</v>
      </c>
      <c r="D62" s="18" t="s">
        <v>180</v>
      </c>
      <c r="E62" s="23">
        <v>15</v>
      </c>
      <c r="F62" s="159">
        <v>15</v>
      </c>
      <c r="G62" s="16">
        <v>222.4</v>
      </c>
      <c r="H62" s="171">
        <f t="shared" ref="H62:H75" si="8">SUM(F62*G62/1000)</f>
        <v>3.3359999999999999</v>
      </c>
      <c r="I62" s="16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8"/>
      <c r="B63" s="18" t="s">
        <v>48</v>
      </c>
      <c r="C63" s="20" t="s">
        <v>129</v>
      </c>
      <c r="D63" s="18" t="s">
        <v>180</v>
      </c>
      <c r="E63" s="23">
        <v>8</v>
      </c>
      <c r="F63" s="159">
        <v>8</v>
      </c>
      <c r="G63" s="16">
        <v>76.25</v>
      </c>
      <c r="H63" s="171">
        <f t="shared" si="8"/>
        <v>0.61</v>
      </c>
      <c r="I63" s="16">
        <v>0</v>
      </c>
      <c r="J63" s="34"/>
      <c r="K63" s="34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8"/>
      <c r="B64" s="18" t="s">
        <v>49</v>
      </c>
      <c r="C64" s="20" t="s">
        <v>131</v>
      </c>
      <c r="D64" s="18" t="s">
        <v>55</v>
      </c>
      <c r="E64" s="158">
        <v>14220</v>
      </c>
      <c r="F64" s="16">
        <f>SUM(E64/100)</f>
        <v>142.19999999999999</v>
      </c>
      <c r="G64" s="16">
        <v>212.15</v>
      </c>
      <c r="H64" s="171">
        <f t="shared" si="8"/>
        <v>30.167729999999999</v>
      </c>
      <c r="I64" s="16">
        <f>F64*G64</f>
        <v>30167.73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8"/>
      <c r="B65" s="18" t="s">
        <v>50</v>
      </c>
      <c r="C65" s="20" t="s">
        <v>132</v>
      </c>
      <c r="D65" s="18"/>
      <c r="E65" s="158">
        <v>14220</v>
      </c>
      <c r="F65" s="16">
        <f>SUM(E65/1000)</f>
        <v>14.22</v>
      </c>
      <c r="G65" s="16">
        <v>165.21</v>
      </c>
      <c r="H65" s="171">
        <f t="shared" si="8"/>
        <v>2.3492861999999999</v>
      </c>
      <c r="I65" s="16">
        <f t="shared" ref="I65:I69" si="9">F65*G65</f>
        <v>2349.2862</v>
      </c>
      <c r="J65" s="5"/>
      <c r="K65" s="5"/>
      <c r="L65" s="5"/>
      <c r="M65" s="5"/>
      <c r="N65" s="5"/>
      <c r="O65" s="5"/>
      <c r="P65" s="5"/>
      <c r="Q65" s="5"/>
      <c r="R65" s="135"/>
      <c r="S65" s="135"/>
      <c r="T65" s="135"/>
      <c r="U65" s="135"/>
    </row>
    <row r="66" spans="1:21" ht="15.75" hidden="1" customHeight="1">
      <c r="A66" s="38"/>
      <c r="B66" s="18" t="s">
        <v>51</v>
      </c>
      <c r="C66" s="20" t="s">
        <v>83</v>
      </c>
      <c r="D66" s="18" t="s">
        <v>55</v>
      </c>
      <c r="E66" s="158">
        <v>2260</v>
      </c>
      <c r="F66" s="16">
        <f>SUM(E66/100)</f>
        <v>22.6</v>
      </c>
      <c r="G66" s="16">
        <v>2074.63</v>
      </c>
      <c r="H66" s="171">
        <f t="shared" si="8"/>
        <v>46.886638000000005</v>
      </c>
      <c r="I66" s="16">
        <f t="shared" si="9"/>
        <v>46886.638000000006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8"/>
      <c r="B67" s="172" t="s">
        <v>133</v>
      </c>
      <c r="C67" s="20" t="s">
        <v>33</v>
      </c>
      <c r="D67" s="18"/>
      <c r="E67" s="158">
        <v>11</v>
      </c>
      <c r="F67" s="16">
        <f>SUM(E67)</f>
        <v>11</v>
      </c>
      <c r="G67" s="16">
        <v>45.32</v>
      </c>
      <c r="H67" s="171">
        <f t="shared" si="8"/>
        <v>0.49851999999999996</v>
      </c>
      <c r="I67" s="16">
        <f t="shared" si="9"/>
        <v>498.52</v>
      </c>
    </row>
    <row r="68" spans="1:21" ht="15.75" hidden="1" customHeight="1">
      <c r="A68" s="38"/>
      <c r="B68" s="172" t="s">
        <v>134</v>
      </c>
      <c r="C68" s="20" t="s">
        <v>33</v>
      </c>
      <c r="D68" s="18"/>
      <c r="E68" s="158">
        <v>11</v>
      </c>
      <c r="F68" s="16">
        <f>SUM(E68)</f>
        <v>11</v>
      </c>
      <c r="G68" s="16">
        <v>42.28</v>
      </c>
      <c r="H68" s="171">
        <f t="shared" si="8"/>
        <v>0.46508000000000005</v>
      </c>
      <c r="I68" s="16">
        <f t="shared" si="9"/>
        <v>465.08000000000004</v>
      </c>
    </row>
    <row r="69" spans="1:21" ht="15.75" customHeight="1">
      <c r="A69" s="38">
        <v>22</v>
      </c>
      <c r="B69" s="18" t="s">
        <v>60</v>
      </c>
      <c r="C69" s="20" t="s">
        <v>61</v>
      </c>
      <c r="D69" s="18" t="s">
        <v>55</v>
      </c>
      <c r="E69" s="23">
        <v>8</v>
      </c>
      <c r="F69" s="159">
        <v>8</v>
      </c>
      <c r="G69" s="16">
        <v>49.88</v>
      </c>
      <c r="H69" s="171">
        <f t="shared" si="8"/>
        <v>0.39904000000000001</v>
      </c>
      <c r="I69" s="16">
        <f t="shared" si="9"/>
        <v>399.04</v>
      </c>
    </row>
    <row r="70" spans="1:21" ht="15.75" hidden="1" customHeight="1">
      <c r="A70" s="38"/>
      <c r="B70" s="116" t="s">
        <v>78</v>
      </c>
      <c r="C70" s="20"/>
      <c r="D70" s="18"/>
      <c r="E70" s="23"/>
      <c r="F70" s="16"/>
      <c r="G70" s="16"/>
      <c r="H70" s="171" t="s">
        <v>149</v>
      </c>
      <c r="I70" s="16"/>
    </row>
    <row r="71" spans="1:21" ht="15.75" hidden="1" customHeight="1">
      <c r="A71" s="38"/>
      <c r="B71" s="18" t="s">
        <v>79</v>
      </c>
      <c r="C71" s="20" t="s">
        <v>81</v>
      </c>
      <c r="D71" s="18"/>
      <c r="E71" s="23">
        <v>2</v>
      </c>
      <c r="F71" s="16">
        <v>0.2</v>
      </c>
      <c r="G71" s="16">
        <v>501.62</v>
      </c>
      <c r="H71" s="171">
        <f t="shared" si="8"/>
        <v>0.10032400000000001</v>
      </c>
      <c r="I71" s="16">
        <v>0</v>
      </c>
    </row>
    <row r="72" spans="1:21" ht="15.75" hidden="1" customHeight="1">
      <c r="A72" s="38"/>
      <c r="B72" s="18" t="s">
        <v>80</v>
      </c>
      <c r="C72" s="20" t="s">
        <v>31</v>
      </c>
      <c r="D72" s="18"/>
      <c r="E72" s="23">
        <v>1</v>
      </c>
      <c r="F72" s="148">
        <v>1</v>
      </c>
      <c r="G72" s="16">
        <v>852.99</v>
      </c>
      <c r="H72" s="171">
        <f>F72*G72/1000</f>
        <v>0.85299000000000003</v>
      </c>
      <c r="I72" s="16">
        <v>0</v>
      </c>
    </row>
    <row r="73" spans="1:21" ht="15.75" hidden="1" customHeight="1">
      <c r="A73" s="38"/>
      <c r="B73" s="18" t="s">
        <v>136</v>
      </c>
      <c r="C73" s="20" t="s">
        <v>31</v>
      </c>
      <c r="D73" s="18"/>
      <c r="E73" s="23">
        <v>1</v>
      </c>
      <c r="F73" s="16">
        <v>1</v>
      </c>
      <c r="G73" s="16">
        <v>358.51</v>
      </c>
      <c r="H73" s="171">
        <f>G73*F73/1000</f>
        <v>0.35851</v>
      </c>
      <c r="I73" s="16">
        <v>0</v>
      </c>
    </row>
    <row r="74" spans="1:21" ht="15.75" hidden="1" customHeight="1">
      <c r="A74" s="38"/>
      <c r="B74" s="174" t="s">
        <v>82</v>
      </c>
      <c r="C74" s="20"/>
      <c r="D74" s="18"/>
      <c r="E74" s="23"/>
      <c r="F74" s="16"/>
      <c r="G74" s="16" t="s">
        <v>149</v>
      </c>
      <c r="H74" s="171" t="s">
        <v>149</v>
      </c>
      <c r="I74" s="16"/>
    </row>
    <row r="75" spans="1:21" ht="15.75" hidden="1" customHeight="1">
      <c r="A75" s="38"/>
      <c r="B75" s="67" t="s">
        <v>146</v>
      </c>
      <c r="C75" s="20" t="s">
        <v>83</v>
      </c>
      <c r="D75" s="18"/>
      <c r="E75" s="23"/>
      <c r="F75" s="16">
        <v>0.1</v>
      </c>
      <c r="G75" s="16">
        <v>2759.44</v>
      </c>
      <c r="H75" s="171">
        <f t="shared" si="8"/>
        <v>0.27594400000000002</v>
      </c>
      <c r="I75" s="16">
        <v>0</v>
      </c>
    </row>
    <row r="76" spans="1:21" ht="15.75" hidden="1" customHeight="1">
      <c r="A76" s="38"/>
      <c r="B76" s="188" t="s">
        <v>113</v>
      </c>
      <c r="C76" s="188"/>
      <c r="D76" s="188"/>
      <c r="E76" s="188"/>
      <c r="F76" s="188"/>
      <c r="G76" s="162"/>
      <c r="H76" s="175">
        <f>SUM(H56:H75)</f>
        <v>117.59572952000001</v>
      </c>
      <c r="I76" s="162"/>
    </row>
    <row r="77" spans="1:21" ht="15.75" hidden="1" customHeight="1">
      <c r="A77" s="38"/>
      <c r="B77" s="186" t="s">
        <v>135</v>
      </c>
      <c r="C77" s="29"/>
      <c r="D77" s="28"/>
      <c r="E77" s="149"/>
      <c r="F77" s="187">
        <v>1</v>
      </c>
      <c r="G77" s="16">
        <v>10966.5</v>
      </c>
      <c r="H77" s="171">
        <f>G77*F77/1000</f>
        <v>10.9665</v>
      </c>
      <c r="I77" s="16">
        <v>0</v>
      </c>
    </row>
    <row r="78" spans="1:21" ht="15.75" customHeight="1">
      <c r="A78" s="141" t="s">
        <v>175</v>
      </c>
      <c r="B78" s="142"/>
      <c r="C78" s="142"/>
      <c r="D78" s="142"/>
      <c r="E78" s="142"/>
      <c r="F78" s="142"/>
      <c r="G78" s="142"/>
      <c r="H78" s="142"/>
      <c r="I78" s="143"/>
    </row>
    <row r="79" spans="1:21" ht="15.75" customHeight="1">
      <c r="A79" s="38">
        <v>23</v>
      </c>
      <c r="B79" s="156" t="s">
        <v>137</v>
      </c>
      <c r="C79" s="20" t="s">
        <v>56</v>
      </c>
      <c r="D79" s="145" t="s">
        <v>57</v>
      </c>
      <c r="E79" s="16">
        <v>3382.7</v>
      </c>
      <c r="F79" s="16">
        <f>SUM(E79*12)</f>
        <v>40592.399999999994</v>
      </c>
      <c r="G79" s="16">
        <v>2.1</v>
      </c>
      <c r="H79" s="171">
        <f>SUM(F79*G79/1000)</f>
        <v>85.244039999999998</v>
      </c>
      <c r="I79" s="16">
        <f>F79/12*G79</f>
        <v>7103.6699999999992</v>
      </c>
    </row>
    <row r="80" spans="1:21" ht="31.5" customHeight="1">
      <c r="A80" s="38">
        <v>24</v>
      </c>
      <c r="B80" s="18" t="s">
        <v>84</v>
      </c>
      <c r="C80" s="20"/>
      <c r="D80" s="145" t="s">
        <v>57</v>
      </c>
      <c r="E80" s="158">
        <f>E79</f>
        <v>3382.7</v>
      </c>
      <c r="F80" s="16">
        <f>E80*12</f>
        <v>40592.399999999994</v>
      </c>
      <c r="G80" s="16">
        <v>1.63</v>
      </c>
      <c r="H80" s="171">
        <f>F80*G80/1000</f>
        <v>66.165611999999982</v>
      </c>
      <c r="I80" s="16">
        <f>F80/12*G80</f>
        <v>5513.8009999999986</v>
      </c>
    </row>
    <row r="81" spans="1:9" ht="15.75" customHeight="1">
      <c r="A81" s="38"/>
      <c r="B81" s="54" t="s">
        <v>88</v>
      </c>
      <c r="C81" s="174"/>
      <c r="D81" s="173"/>
      <c r="E81" s="162"/>
      <c r="F81" s="162"/>
      <c r="G81" s="162"/>
      <c r="H81" s="175">
        <f>H80</f>
        <v>66.165611999999982</v>
      </c>
      <c r="I81" s="162">
        <f>I16+I17+I18+I20+I21+I26+I27+I30+I31+I33+I34+I45+I46+I47+I48+I49+I50+I51+I52+I53+I60+I69+I79+I80</f>
        <v>50623.394356088895</v>
      </c>
    </row>
    <row r="82" spans="1:9" ht="15.75" customHeight="1">
      <c r="A82" s="38"/>
      <c r="B82" s="81" t="s">
        <v>63</v>
      </c>
      <c r="C82" s="20"/>
      <c r="D82" s="67"/>
      <c r="E82" s="16"/>
      <c r="F82" s="16"/>
      <c r="G82" s="16"/>
      <c r="H82" s="16"/>
      <c r="I82" s="16"/>
    </row>
    <row r="83" spans="1:9" ht="15.75" customHeight="1">
      <c r="A83" s="38">
        <v>25</v>
      </c>
      <c r="B83" s="82" t="s">
        <v>152</v>
      </c>
      <c r="C83" s="155" t="s">
        <v>129</v>
      </c>
      <c r="D83" s="166"/>
      <c r="E83" s="167"/>
      <c r="F83" s="168">
        <v>732</v>
      </c>
      <c r="G83" s="178">
        <v>50.68</v>
      </c>
      <c r="H83" s="169">
        <f>SUM(F83*G83/1000)</f>
        <v>37.097760000000001</v>
      </c>
      <c r="I83" s="178">
        <f>G83*61</f>
        <v>3091.48</v>
      </c>
    </row>
    <row r="84" spans="1:9" ht="31.5" customHeight="1">
      <c r="A84" s="38">
        <v>26</v>
      </c>
      <c r="B84" s="82" t="s">
        <v>87</v>
      </c>
      <c r="C84" s="100" t="s">
        <v>31</v>
      </c>
      <c r="D84" s="180"/>
      <c r="E84" s="23"/>
      <c r="F84" s="181">
        <v>4</v>
      </c>
      <c r="G84" s="16">
        <v>79.09</v>
      </c>
      <c r="H84" s="181">
        <f>G84*F84/1000</f>
        <v>0.31636000000000003</v>
      </c>
      <c r="I84" s="178">
        <f>G84</f>
        <v>79.09</v>
      </c>
    </row>
    <row r="85" spans="1:9" ht="15.75" customHeight="1">
      <c r="A85" s="38">
        <v>27</v>
      </c>
      <c r="B85" s="82" t="s">
        <v>194</v>
      </c>
      <c r="C85" s="100" t="s">
        <v>98</v>
      </c>
      <c r="D85" s="180"/>
      <c r="E85" s="23"/>
      <c r="F85" s="181">
        <v>4</v>
      </c>
      <c r="G85" s="16">
        <v>185.81</v>
      </c>
      <c r="H85" s="183">
        <f t="shared" ref="H85" si="10">G85*F85/1000</f>
        <v>0.74324000000000001</v>
      </c>
      <c r="I85" s="178">
        <f>G85</f>
        <v>185.81</v>
      </c>
    </row>
    <row r="86" spans="1:9" ht="31.5" customHeight="1">
      <c r="A86" s="38">
        <v>28</v>
      </c>
      <c r="B86" s="82" t="s">
        <v>204</v>
      </c>
      <c r="C86" s="100" t="s">
        <v>205</v>
      </c>
      <c r="D86" s="18"/>
      <c r="E86" s="23"/>
      <c r="F86" s="16">
        <v>2</v>
      </c>
      <c r="G86" s="16">
        <v>51.39</v>
      </c>
      <c r="H86" s="181">
        <f t="shared" ref="H86:H87" si="11">G86*F86/1000</f>
        <v>0.10278</v>
      </c>
      <c r="I86" s="178">
        <f>G86</f>
        <v>51.39</v>
      </c>
    </row>
    <row r="87" spans="1:9" ht="31.5" customHeight="1">
      <c r="A87" s="38">
        <v>29</v>
      </c>
      <c r="B87" s="82" t="s">
        <v>206</v>
      </c>
      <c r="C87" s="100" t="s">
        <v>151</v>
      </c>
      <c r="D87" s="180"/>
      <c r="E87" s="23"/>
      <c r="F87" s="181">
        <f>1.6/10</f>
        <v>0.16</v>
      </c>
      <c r="G87" s="16">
        <v>12132.03</v>
      </c>
      <c r="H87" s="181">
        <f t="shared" si="11"/>
        <v>1.9411248000000001</v>
      </c>
      <c r="I87" s="178">
        <f>G87*0.16</f>
        <v>1941.1248000000001</v>
      </c>
    </row>
    <row r="88" spans="1:9" ht="15.75" customHeight="1">
      <c r="A88" s="38"/>
      <c r="B88" s="61" t="s">
        <v>52</v>
      </c>
      <c r="C88" s="57"/>
      <c r="D88" s="71"/>
      <c r="E88" s="57">
        <v>1</v>
      </c>
      <c r="F88" s="57"/>
      <c r="G88" s="57"/>
      <c r="H88" s="57"/>
      <c r="I88" s="40">
        <f>SUM(I83:I87)</f>
        <v>5348.8948</v>
      </c>
    </row>
    <row r="89" spans="1:9" ht="15.75" customHeight="1">
      <c r="A89" s="38"/>
      <c r="B89" s="67" t="s">
        <v>85</v>
      </c>
      <c r="C89" s="19"/>
      <c r="D89" s="19"/>
      <c r="E89" s="58"/>
      <c r="F89" s="58"/>
      <c r="G89" s="59"/>
      <c r="H89" s="59"/>
      <c r="I89" s="22">
        <v>0</v>
      </c>
    </row>
    <row r="90" spans="1:9" ht="15.75" customHeight="1">
      <c r="A90" s="72"/>
      <c r="B90" s="62" t="s">
        <v>53</v>
      </c>
      <c r="C90" s="46"/>
      <c r="D90" s="46"/>
      <c r="E90" s="46"/>
      <c r="F90" s="46"/>
      <c r="G90" s="46"/>
      <c r="H90" s="46"/>
      <c r="I90" s="60">
        <f>I81+I88</f>
        <v>55972.289156088897</v>
      </c>
    </row>
    <row r="91" spans="1:9" ht="15.75" customHeight="1">
      <c r="A91" s="146" t="s">
        <v>234</v>
      </c>
      <c r="B91" s="146"/>
      <c r="C91" s="146"/>
      <c r="D91" s="146"/>
      <c r="E91" s="146"/>
      <c r="F91" s="146"/>
      <c r="G91" s="146"/>
      <c r="H91" s="146"/>
      <c r="I91" s="146"/>
    </row>
    <row r="92" spans="1:9" ht="15.75" customHeight="1">
      <c r="A92" s="118"/>
      <c r="B92" s="147" t="s">
        <v>235</v>
      </c>
      <c r="C92" s="147"/>
      <c r="D92" s="147"/>
      <c r="E92" s="147"/>
      <c r="F92" s="147"/>
      <c r="G92" s="147"/>
      <c r="H92" s="152"/>
      <c r="I92" s="3"/>
    </row>
    <row r="93" spans="1:9">
      <c r="A93" s="73"/>
      <c r="B93" s="133" t="s">
        <v>6</v>
      </c>
      <c r="C93" s="133"/>
      <c r="D93" s="133"/>
      <c r="E93" s="133"/>
      <c r="F93" s="133"/>
      <c r="G93" s="133"/>
      <c r="H93" s="33"/>
      <c r="I93" s="74"/>
    </row>
    <row r="94" spans="1:9" ht="15.75" customHeight="1">
      <c r="A94" s="110"/>
      <c r="B94" s="110"/>
      <c r="C94" s="110"/>
      <c r="D94" s="110"/>
      <c r="E94" s="110"/>
      <c r="F94" s="110"/>
      <c r="G94" s="110"/>
      <c r="H94" s="110"/>
      <c r="I94" s="110"/>
    </row>
    <row r="95" spans="1:9" ht="15.75" customHeight="1">
      <c r="A95" s="130" t="s">
        <v>7</v>
      </c>
      <c r="B95" s="130"/>
      <c r="C95" s="130"/>
      <c r="D95" s="130"/>
      <c r="E95" s="130"/>
      <c r="F95" s="130"/>
      <c r="G95" s="130"/>
      <c r="H95" s="130"/>
      <c r="I95" s="130"/>
    </row>
    <row r="96" spans="1:9" ht="15.75" customHeight="1">
      <c r="A96" s="130" t="s">
        <v>8</v>
      </c>
      <c r="B96" s="130"/>
      <c r="C96" s="130"/>
      <c r="D96" s="130"/>
      <c r="E96" s="130"/>
      <c r="F96" s="130"/>
      <c r="G96" s="130"/>
      <c r="H96" s="130"/>
      <c r="I96" s="130"/>
    </row>
    <row r="97" spans="1:9" ht="15.75" customHeight="1">
      <c r="A97" s="126" t="s">
        <v>64</v>
      </c>
      <c r="B97" s="126"/>
      <c r="C97" s="126"/>
      <c r="D97" s="126"/>
      <c r="E97" s="126"/>
      <c r="F97" s="126"/>
      <c r="G97" s="126"/>
      <c r="H97" s="126"/>
      <c r="I97" s="126"/>
    </row>
    <row r="98" spans="1:9" ht="15.75" customHeight="1">
      <c r="A98" s="11"/>
    </row>
    <row r="99" spans="1:9" ht="15.75" customHeight="1">
      <c r="A99" s="132" t="s">
        <v>9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 customHeight="1">
      <c r="A100" s="4"/>
    </row>
    <row r="101" spans="1:9" ht="15.75" customHeight="1">
      <c r="B101" s="115" t="s">
        <v>10</v>
      </c>
      <c r="C101" s="144" t="s">
        <v>176</v>
      </c>
      <c r="D101" s="144"/>
      <c r="E101" s="144"/>
      <c r="F101" s="150"/>
      <c r="I101" s="113"/>
    </row>
    <row r="102" spans="1:9" ht="15.75" customHeight="1">
      <c r="A102" s="114"/>
      <c r="C102" s="133" t="s">
        <v>11</v>
      </c>
      <c r="D102" s="133"/>
      <c r="E102" s="133"/>
      <c r="F102" s="33"/>
      <c r="I102" s="112" t="s">
        <v>12</v>
      </c>
    </row>
    <row r="103" spans="1:9" ht="15.75" customHeight="1">
      <c r="A103" s="34"/>
      <c r="C103" s="12"/>
      <c r="D103" s="12"/>
      <c r="G103" s="12"/>
      <c r="H103" s="12"/>
    </row>
    <row r="104" spans="1:9" ht="15.75">
      <c r="B104" s="115" t="s">
        <v>13</v>
      </c>
      <c r="C104" s="134"/>
      <c r="D104" s="134"/>
      <c r="E104" s="134"/>
      <c r="F104" s="151"/>
      <c r="I104" s="113"/>
    </row>
    <row r="105" spans="1:9">
      <c r="A105" s="114"/>
      <c r="C105" s="135" t="s">
        <v>11</v>
      </c>
      <c r="D105" s="135"/>
      <c r="E105" s="135"/>
      <c r="F105" s="114"/>
      <c r="I105" s="112" t="s">
        <v>12</v>
      </c>
    </row>
    <row r="106" spans="1:9" ht="15.75" customHeight="1">
      <c r="A106" s="4" t="s">
        <v>14</v>
      </c>
    </row>
    <row r="107" spans="1:9" ht="15.75" customHeight="1">
      <c r="A107" s="136" t="s">
        <v>15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45" customHeight="1">
      <c r="A108" s="131" t="s">
        <v>16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30" customHeight="1">
      <c r="A109" s="131" t="s">
        <v>17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30" customHeight="1">
      <c r="A110" s="131" t="s">
        <v>21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15" customHeight="1">
      <c r="A111" s="131" t="s">
        <v>20</v>
      </c>
      <c r="B111" s="131"/>
      <c r="C111" s="131"/>
      <c r="D111" s="131"/>
      <c r="E111" s="131"/>
      <c r="F111" s="131"/>
      <c r="G111" s="131"/>
      <c r="H111" s="131"/>
      <c r="I111" s="131"/>
    </row>
  </sheetData>
  <autoFilter ref="I12:I60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  <mergeCell ref="A97:I97"/>
    <mergeCell ref="A15:I15"/>
    <mergeCell ref="A28:I28"/>
    <mergeCell ref="A44:I44"/>
    <mergeCell ref="A54:I54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2017-05-16T08:27:31Z</cp:lastPrinted>
  <dcterms:created xsi:type="dcterms:W3CDTF">2016-03-25T08:33:47Z</dcterms:created>
  <dcterms:modified xsi:type="dcterms:W3CDTF">2017-05-16T08:28:33Z</dcterms:modified>
</cp:coreProperties>
</file>