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4" r:id="rId11"/>
    <sheet name="12.16" sheetId="8" r:id="rId12"/>
  </sheets>
  <definedNames>
    <definedName name="_xlnm._FilterDatabase" localSheetId="0" hidden="1">'01.16'!$I$12:$I$62</definedName>
    <definedName name="_xlnm._FilterDatabase" localSheetId="1" hidden="1">'02.16'!$I$12:$I$62</definedName>
    <definedName name="_xlnm._FilterDatabase" localSheetId="2" hidden="1">'03.16'!$I$12:$I$62</definedName>
    <definedName name="_xlnm._FilterDatabase" localSheetId="3" hidden="1">'04.16'!$I$12:$I$62</definedName>
    <definedName name="_xlnm._FilterDatabase" localSheetId="4" hidden="1">'05.16'!$I$12:$I$62</definedName>
    <definedName name="_xlnm._FilterDatabase" localSheetId="5" hidden="1">'06.16'!$I$12:$I$62</definedName>
    <definedName name="_xlnm._FilterDatabase" localSheetId="6" hidden="1">'07.16'!$I$12:$I$62</definedName>
    <definedName name="_xlnm._FilterDatabase" localSheetId="7" hidden="1">'08.16'!$I$12:$I$62</definedName>
    <definedName name="_xlnm._FilterDatabase" localSheetId="8" hidden="1">'09.16'!$I$12:$I$62</definedName>
    <definedName name="_xlnm._FilterDatabase" localSheetId="9" hidden="1">'10.16'!$I$12:$I$62</definedName>
    <definedName name="_xlnm._FilterDatabase" localSheetId="10" hidden="1">'11.16'!$G$12:$G$93</definedName>
    <definedName name="_xlnm._FilterDatabase" localSheetId="11" hidden="1">'12.16'!$G$12:$G$67</definedName>
    <definedName name="_xlnm.Print_Titles" localSheetId="10">'11.16'!$12:$13</definedName>
    <definedName name="_xlnm.Print_Area" localSheetId="0">'01.16'!$A$1:$I$134</definedName>
    <definedName name="_xlnm.Print_Area" localSheetId="1">'02.16'!$A$1:$I$134</definedName>
    <definedName name="_xlnm.Print_Area" localSheetId="2">'03.16'!$A$1:$I$115</definedName>
    <definedName name="_xlnm.Print_Area" localSheetId="3">'04.16'!$A$1:$I$105</definedName>
    <definedName name="_xlnm.Print_Area" localSheetId="4">'05.16'!$A$1:$I$113</definedName>
    <definedName name="_xlnm.Print_Area" localSheetId="5">'06.16'!$A$1:$I$119</definedName>
    <definedName name="_xlnm.Print_Area" localSheetId="6">'07.16'!$A$1:$I$134</definedName>
    <definedName name="_xlnm.Print_Area" localSheetId="7">'08.16'!$A$1:$I$114</definedName>
    <definedName name="_xlnm.Print_Area" localSheetId="8">'09.16'!$A$1:$I$113</definedName>
    <definedName name="_xlnm.Print_Area" localSheetId="9">'10.16'!$A$1:$I$120</definedName>
    <definedName name="_xlnm.Print_Area" localSheetId="10">'11.16'!$A$1:$G$115</definedName>
    <definedName name="_xlnm.Print_Area" localSheetId="11">'12.16'!$A$1:$G$118</definedName>
  </definedNames>
  <calcPr calcId="124519"/>
</workbook>
</file>

<file path=xl/calcChain.xml><?xml version="1.0" encoding="utf-8"?>
<calcChain xmlns="http://schemas.openxmlformats.org/spreadsheetml/2006/main">
  <c r="I96" i="26"/>
  <c r="I95"/>
  <c r="I94"/>
  <c r="I93"/>
  <c r="I92"/>
  <c r="I91"/>
  <c r="I90"/>
  <c r="I89"/>
  <c r="I88"/>
  <c r="I65"/>
  <c r="I56"/>
  <c r="I97"/>
  <c r="F96"/>
  <c r="H96" s="1"/>
  <c r="H95"/>
  <c r="H94"/>
  <c r="H93"/>
  <c r="F92"/>
  <c r="H92" s="1"/>
  <c r="H91"/>
  <c r="H90"/>
  <c r="H89"/>
  <c r="H88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F55"/>
  <c r="H55" s="1"/>
  <c r="F54"/>
  <c r="I54" s="1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H16"/>
  <c r="F16"/>
  <c r="I16" s="1"/>
  <c r="I92" i="25"/>
  <c r="I89"/>
  <c r="I88"/>
  <c r="F89"/>
  <c r="H89" s="1"/>
  <c r="H88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H55"/>
  <c r="F55"/>
  <c r="H54"/>
  <c r="F54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H41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90" i="24"/>
  <c r="I89"/>
  <c r="I88"/>
  <c r="I74"/>
  <c r="I91"/>
  <c r="H90"/>
  <c r="H89"/>
  <c r="H88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H55"/>
  <c r="F55"/>
  <c r="H54"/>
  <c r="F54"/>
  <c r="F53"/>
  <c r="I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I44" s="1"/>
  <c r="F43"/>
  <c r="I43" s="1"/>
  <c r="H42"/>
  <c r="F41"/>
  <c r="I41" s="1"/>
  <c r="F40"/>
  <c r="I40" s="1"/>
  <c r="I39"/>
  <c r="H39"/>
  <c r="H37"/>
  <c r="H36"/>
  <c r="H35"/>
  <c r="F35"/>
  <c r="I35" s="1"/>
  <c r="I34"/>
  <c r="F33"/>
  <c r="I33" s="1"/>
  <c r="F32"/>
  <c r="I32" s="1"/>
  <c r="F31"/>
  <c r="I31" s="1"/>
  <c r="H28"/>
  <c r="F28"/>
  <c r="I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I16" s="1"/>
  <c r="I86" i="23"/>
  <c r="I111"/>
  <c r="H110"/>
  <c r="F110"/>
  <c r="H109"/>
  <c r="H108"/>
  <c r="H107"/>
  <c r="F106"/>
  <c r="H106" s="1"/>
  <c r="H105"/>
  <c r="H104"/>
  <c r="F103"/>
  <c r="H103" s="1"/>
  <c r="F102"/>
  <c r="H102" s="1"/>
  <c r="H101"/>
  <c r="H100"/>
  <c r="F100"/>
  <c r="H99"/>
  <c r="H98"/>
  <c r="H97"/>
  <c r="H96"/>
  <c r="H95"/>
  <c r="H94"/>
  <c r="H93"/>
  <c r="H92"/>
  <c r="H91"/>
  <c r="G90"/>
  <c r="H90" s="1"/>
  <c r="H89"/>
  <c r="H88"/>
  <c r="F85"/>
  <c r="H85" s="1"/>
  <c r="E85"/>
  <c r="F84"/>
  <c r="H84" s="1"/>
  <c r="H82"/>
  <c r="H80"/>
  <c r="H78"/>
  <c r="F77"/>
  <c r="H77" s="1"/>
  <c r="H72"/>
  <c r="F72"/>
  <c r="I72" s="1"/>
  <c r="F71"/>
  <c r="H71" s="1"/>
  <c r="H70"/>
  <c r="F70"/>
  <c r="I70" s="1"/>
  <c r="F69"/>
  <c r="H69" s="1"/>
  <c r="H68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H55"/>
  <c r="F55"/>
  <c r="H54"/>
  <c r="F54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H41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H27"/>
  <c r="F27"/>
  <c r="I27" s="1"/>
  <c r="H26"/>
  <c r="F26"/>
  <c r="H25"/>
  <c r="H24"/>
  <c r="H23"/>
  <c r="F23"/>
  <c r="H22"/>
  <c r="F22"/>
  <c r="H21"/>
  <c r="F21"/>
  <c r="H20"/>
  <c r="F20"/>
  <c r="H19"/>
  <c r="F19"/>
  <c r="F18"/>
  <c r="H18" s="1"/>
  <c r="E18"/>
  <c r="F17"/>
  <c r="H17" s="1"/>
  <c r="H16"/>
  <c r="F16"/>
  <c r="I16" s="1"/>
  <c r="I95" i="22"/>
  <c r="I94"/>
  <c r="I93"/>
  <c r="I92"/>
  <c r="I91"/>
  <c r="I90"/>
  <c r="I89"/>
  <c r="I88"/>
  <c r="F95"/>
  <c r="H95" s="1"/>
  <c r="F94"/>
  <c r="H94" s="1"/>
  <c r="H93"/>
  <c r="F92"/>
  <c r="H92" s="1"/>
  <c r="H91"/>
  <c r="H90"/>
  <c r="H89"/>
  <c r="H88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H16"/>
  <c r="F16"/>
  <c r="I16" s="1"/>
  <c r="I89" i="21"/>
  <c r="I88"/>
  <c r="I90" s="1"/>
  <c r="I78"/>
  <c r="I56"/>
  <c r="I24"/>
  <c r="I25"/>
  <c r="H89"/>
  <c r="H88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F60"/>
  <c r="I60" s="1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F18"/>
  <c r="H18" s="1"/>
  <c r="E18"/>
  <c r="F17"/>
  <c r="H17" s="1"/>
  <c r="F16"/>
  <c r="I16" s="1"/>
  <c r="I81" i="20"/>
  <c r="I80"/>
  <c r="I74"/>
  <c r="I66"/>
  <c r="I65"/>
  <c r="I82"/>
  <c r="H81"/>
  <c r="H80"/>
  <c r="E77"/>
  <c r="F77" s="1"/>
  <c r="F76"/>
  <c r="H76" s="1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F62"/>
  <c r="H62" s="1"/>
  <c r="H60"/>
  <c r="F60"/>
  <c r="I60" s="1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F27"/>
  <c r="I27" s="1"/>
  <c r="F26"/>
  <c r="H26" s="1"/>
  <c r="H25"/>
  <c r="H24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89" i="19"/>
  <c r="I90"/>
  <c r="I91"/>
  <c r="I88"/>
  <c r="I65"/>
  <c r="H27" i="26" l="1"/>
  <c r="H41"/>
  <c r="H54"/>
  <c r="H70"/>
  <c r="I55"/>
  <c r="H68"/>
  <c r="H72"/>
  <c r="H60"/>
  <c r="H81" s="1"/>
  <c r="H45"/>
  <c r="H43"/>
  <c r="H33"/>
  <c r="H31"/>
  <c r="H85"/>
  <c r="I85"/>
  <c r="I17"/>
  <c r="I18"/>
  <c r="I28"/>
  <c r="I32"/>
  <c r="I40"/>
  <c r="I44"/>
  <c r="I53"/>
  <c r="I63"/>
  <c r="I67"/>
  <c r="I69"/>
  <c r="I71"/>
  <c r="I84"/>
  <c r="I90" i="25"/>
  <c r="H16"/>
  <c r="H27"/>
  <c r="I51"/>
  <c r="I49"/>
  <c r="I52"/>
  <c r="I50"/>
  <c r="I48"/>
  <c r="H60"/>
  <c r="H81" s="1"/>
  <c r="H45"/>
  <c r="H43"/>
  <c r="H33"/>
  <c r="H31"/>
  <c r="H85"/>
  <c r="I85"/>
  <c r="I17"/>
  <c r="I18"/>
  <c r="I28"/>
  <c r="I32"/>
  <c r="I40"/>
  <c r="I44"/>
  <c r="I53"/>
  <c r="I63"/>
  <c r="I67"/>
  <c r="H68"/>
  <c r="I69"/>
  <c r="H70"/>
  <c r="I71"/>
  <c r="H72"/>
  <c r="I84"/>
  <c r="H72" i="24"/>
  <c r="H32"/>
  <c r="H68"/>
  <c r="H70"/>
  <c r="H60"/>
  <c r="H81" s="1"/>
  <c r="H53"/>
  <c r="H40"/>
  <c r="H44"/>
  <c r="H18"/>
  <c r="I18"/>
  <c r="H85"/>
  <c r="I85"/>
  <c r="H16"/>
  <c r="H27"/>
  <c r="H31"/>
  <c r="H33"/>
  <c r="H41"/>
  <c r="H43"/>
  <c r="H45"/>
  <c r="I63"/>
  <c r="I67"/>
  <c r="I69"/>
  <c r="I71"/>
  <c r="I84"/>
  <c r="H60" i="23"/>
  <c r="H81" s="1"/>
  <c r="H45"/>
  <c r="H43"/>
  <c r="H33"/>
  <c r="H31"/>
  <c r="I32"/>
  <c r="I40"/>
  <c r="I63"/>
  <c r="I17"/>
  <c r="I18"/>
  <c r="I28"/>
  <c r="I44"/>
  <c r="I53"/>
  <c r="I67"/>
  <c r="I69"/>
  <c r="I71"/>
  <c r="I84"/>
  <c r="I85"/>
  <c r="I96" i="22"/>
  <c r="H27"/>
  <c r="H41"/>
  <c r="H60"/>
  <c r="H81" s="1"/>
  <c r="H43"/>
  <c r="H45"/>
  <c r="H31"/>
  <c r="H33"/>
  <c r="H85"/>
  <c r="I85"/>
  <c r="I17"/>
  <c r="I18"/>
  <c r="I28"/>
  <c r="I32"/>
  <c r="I40"/>
  <c r="I44"/>
  <c r="I53"/>
  <c r="I63"/>
  <c r="I67"/>
  <c r="H68"/>
  <c r="I69"/>
  <c r="H70"/>
  <c r="I71"/>
  <c r="H72"/>
  <c r="I84"/>
  <c r="I20" i="21"/>
  <c r="I23"/>
  <c r="I21"/>
  <c r="I51"/>
  <c r="I49"/>
  <c r="I54"/>
  <c r="I55"/>
  <c r="H16"/>
  <c r="H41"/>
  <c r="I19"/>
  <c r="I26"/>
  <c r="I22"/>
  <c r="I52"/>
  <c r="I50"/>
  <c r="I48"/>
  <c r="H68"/>
  <c r="H72"/>
  <c r="H70"/>
  <c r="H60"/>
  <c r="H43"/>
  <c r="H45"/>
  <c r="H31"/>
  <c r="H33"/>
  <c r="H27"/>
  <c r="H85"/>
  <c r="I85"/>
  <c r="H81"/>
  <c r="I28"/>
  <c r="I32"/>
  <c r="I40"/>
  <c r="I44"/>
  <c r="I53"/>
  <c r="I63"/>
  <c r="I67"/>
  <c r="I69"/>
  <c r="I71"/>
  <c r="I84"/>
  <c r="I17"/>
  <c r="I18"/>
  <c r="H16" i="20"/>
  <c r="H31"/>
  <c r="H43"/>
  <c r="H27"/>
  <c r="H33"/>
  <c r="H41"/>
  <c r="H45"/>
  <c r="H77"/>
  <c r="I77"/>
  <c r="I17"/>
  <c r="I18"/>
  <c r="I28"/>
  <c r="I32"/>
  <c r="I40"/>
  <c r="I44"/>
  <c r="I53"/>
  <c r="I63"/>
  <c r="I67"/>
  <c r="H68"/>
  <c r="I69"/>
  <c r="H70"/>
  <c r="I71"/>
  <c r="H72"/>
  <c r="I76"/>
  <c r="I92" i="19"/>
  <c r="H91"/>
  <c r="H90"/>
  <c r="H89"/>
  <c r="H88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H60"/>
  <c r="H81" s="1"/>
  <c r="F60"/>
  <c r="I60" s="1"/>
  <c r="I57"/>
  <c r="F57"/>
  <c r="H57" s="1"/>
  <c r="H56"/>
  <c r="F55"/>
  <c r="H55" s="1"/>
  <c r="H54"/>
  <c r="F54"/>
  <c r="F53"/>
  <c r="H53" s="1"/>
  <c r="F52"/>
  <c r="H52" s="1"/>
  <c r="F51"/>
  <c r="H51" s="1"/>
  <c r="F50"/>
  <c r="H50" s="1"/>
  <c r="F49"/>
  <c r="H49" s="1"/>
  <c r="F48"/>
  <c r="H48" s="1"/>
  <c r="I46"/>
  <c r="H46"/>
  <c r="H45"/>
  <c r="F45"/>
  <c r="I45" s="1"/>
  <c r="F44"/>
  <c r="H44" s="1"/>
  <c r="F43"/>
  <c r="I43" s="1"/>
  <c r="H42"/>
  <c r="F41"/>
  <c r="I41" s="1"/>
  <c r="F40"/>
  <c r="H40" s="1"/>
  <c r="I39"/>
  <c r="H39"/>
  <c r="H37"/>
  <c r="H36"/>
  <c r="H35"/>
  <c r="F35"/>
  <c r="I35" s="1"/>
  <c r="I34"/>
  <c r="F33"/>
  <c r="I33" s="1"/>
  <c r="F32"/>
  <c r="H32" s="1"/>
  <c r="F31"/>
  <c r="I31" s="1"/>
  <c r="F28"/>
  <c r="H28" s="1"/>
  <c r="H27"/>
  <c r="F27"/>
  <c r="I27" s="1"/>
  <c r="H26"/>
  <c r="F26"/>
  <c r="H25"/>
  <c r="H24"/>
  <c r="H23"/>
  <c r="F23"/>
  <c r="H22"/>
  <c r="F22"/>
  <c r="H21"/>
  <c r="F21"/>
  <c r="H20"/>
  <c r="F20"/>
  <c r="H19"/>
  <c r="F19"/>
  <c r="F18"/>
  <c r="H18" s="1"/>
  <c r="E18"/>
  <c r="F17"/>
  <c r="H17" s="1"/>
  <c r="F16"/>
  <c r="I16" s="1"/>
  <c r="I92" i="18"/>
  <c r="I91"/>
  <c r="I111" s="1"/>
  <c r="I90"/>
  <c r="I89"/>
  <c r="I88"/>
  <c r="I86"/>
  <c r="F110"/>
  <c r="H110" s="1"/>
  <c r="H109"/>
  <c r="H108"/>
  <c r="H107"/>
  <c r="F106"/>
  <c r="H106" s="1"/>
  <c r="H105"/>
  <c r="H104"/>
  <c r="H103"/>
  <c r="F103"/>
  <c r="H102"/>
  <c r="F102"/>
  <c r="H101"/>
  <c r="F100"/>
  <c r="H100" s="1"/>
  <c r="H99"/>
  <c r="H98"/>
  <c r="H97"/>
  <c r="H96"/>
  <c r="H95"/>
  <c r="H94"/>
  <c r="H93"/>
  <c r="H92"/>
  <c r="H91"/>
  <c r="H90"/>
  <c r="G90"/>
  <c r="H89"/>
  <c r="H88"/>
  <c r="E85"/>
  <c r="F85" s="1"/>
  <c r="F84"/>
  <c r="H84" s="1"/>
  <c r="H82"/>
  <c r="H80"/>
  <c r="H78"/>
  <c r="F77"/>
  <c r="H77" s="1"/>
  <c r="F72"/>
  <c r="I72" s="1"/>
  <c r="F71"/>
  <c r="H71" s="1"/>
  <c r="F70"/>
  <c r="I70" s="1"/>
  <c r="F69"/>
  <c r="H69" s="1"/>
  <c r="F68"/>
  <c r="I68" s="1"/>
  <c r="F67"/>
  <c r="H67" s="1"/>
  <c r="I66"/>
  <c r="H66"/>
  <c r="H65"/>
  <c r="F63"/>
  <c r="H63" s="1"/>
  <c r="F62"/>
  <c r="H62" s="1"/>
  <c r="H60"/>
  <c r="F60"/>
  <c r="I60" s="1"/>
  <c r="I57"/>
  <c r="F57"/>
  <c r="H57" s="1"/>
  <c r="H56"/>
  <c r="H55"/>
  <c r="F55"/>
  <c r="H54"/>
  <c r="F54"/>
  <c r="F53"/>
  <c r="H53" s="1"/>
  <c r="F52"/>
  <c r="H52" s="1"/>
  <c r="F51"/>
  <c r="H51" s="1"/>
  <c r="F50"/>
  <c r="H50" s="1"/>
  <c r="F49"/>
  <c r="H49" s="1"/>
  <c r="F48"/>
  <c r="H48" s="1"/>
  <c r="I46"/>
  <c r="H46"/>
  <c r="H45"/>
  <c r="F45"/>
  <c r="I45" s="1"/>
  <c r="F44"/>
  <c r="H44" s="1"/>
  <c r="H43"/>
  <c r="F43"/>
  <c r="I43" s="1"/>
  <c r="H42"/>
  <c r="H41"/>
  <c r="F41"/>
  <c r="I41" s="1"/>
  <c r="F40"/>
  <c r="H40" s="1"/>
  <c r="I39"/>
  <c r="H39"/>
  <c r="H37"/>
  <c r="H36"/>
  <c r="H35"/>
  <c r="F35"/>
  <c r="I35" s="1"/>
  <c r="I34"/>
  <c r="H33"/>
  <c r="F33"/>
  <c r="I33" s="1"/>
  <c r="F32"/>
  <c r="H32" s="1"/>
  <c r="H31"/>
  <c r="F31"/>
  <c r="I31" s="1"/>
  <c r="F28"/>
  <c r="H28" s="1"/>
  <c r="H27"/>
  <c r="F27"/>
  <c r="I27" s="1"/>
  <c r="H26"/>
  <c r="F26"/>
  <c r="H25"/>
  <c r="H24"/>
  <c r="H23"/>
  <c r="F23"/>
  <c r="H22"/>
  <c r="F22"/>
  <c r="H21"/>
  <c r="F21"/>
  <c r="H20"/>
  <c r="F20"/>
  <c r="H19"/>
  <c r="F19"/>
  <c r="F18"/>
  <c r="H18" s="1"/>
  <c r="E18"/>
  <c r="F17"/>
  <c r="H17" s="1"/>
  <c r="H16"/>
  <c r="F16"/>
  <c r="I16" s="1"/>
  <c r="I113" i="17"/>
  <c r="I111"/>
  <c r="I86"/>
  <c r="I86" i="26" l="1"/>
  <c r="I99" s="1"/>
  <c r="I86" i="25"/>
  <c r="I86" i="24"/>
  <c r="I93" s="1"/>
  <c r="I113" i="23"/>
  <c r="I86" i="22"/>
  <c r="I98" s="1"/>
  <c r="I86" i="21"/>
  <c r="I92" s="1"/>
  <c r="I78" i="20"/>
  <c r="I84" s="1"/>
  <c r="H33" i="19"/>
  <c r="H41"/>
  <c r="H16"/>
  <c r="H31"/>
  <c r="H43"/>
  <c r="H85"/>
  <c r="I85"/>
  <c r="I17"/>
  <c r="I18"/>
  <c r="I28"/>
  <c r="I32"/>
  <c r="I40"/>
  <c r="I44"/>
  <c r="I53"/>
  <c r="I63"/>
  <c r="I67"/>
  <c r="H68"/>
  <c r="I69"/>
  <c r="H70"/>
  <c r="I71"/>
  <c r="H72"/>
  <c r="I84"/>
  <c r="H81" i="18"/>
  <c r="H85"/>
  <c r="I85"/>
  <c r="I17"/>
  <c r="I18"/>
  <c r="I113" s="1"/>
  <c r="I28"/>
  <c r="I40"/>
  <c r="I44"/>
  <c r="I53"/>
  <c r="I63"/>
  <c r="I67"/>
  <c r="H68"/>
  <c r="I69"/>
  <c r="H70"/>
  <c r="I71"/>
  <c r="H72"/>
  <c r="I84"/>
  <c r="I32"/>
  <c r="I34" i="17"/>
  <c r="I86" i="19" l="1"/>
  <c r="I94" s="1"/>
  <c r="F110" i="17" l="1"/>
  <c r="H110" s="1"/>
  <c r="H109"/>
  <c r="H108"/>
  <c r="H107"/>
  <c r="F106"/>
  <c r="H106" s="1"/>
  <c r="H105"/>
  <c r="H104"/>
  <c r="F103"/>
  <c r="H103" s="1"/>
  <c r="F102"/>
  <c r="H102" s="1"/>
  <c r="H101"/>
  <c r="F100"/>
  <c r="H100" s="1"/>
  <c r="H99"/>
  <c r="H98"/>
  <c r="H97"/>
  <c r="H96"/>
  <c r="H95"/>
  <c r="H94"/>
  <c r="H93"/>
  <c r="H92"/>
  <c r="H91"/>
  <c r="G90"/>
  <c r="H90" s="1"/>
  <c r="H89"/>
  <c r="H88"/>
  <c r="E85"/>
  <c r="F85" s="1"/>
  <c r="F84"/>
  <c r="I84" s="1"/>
  <c r="H82"/>
  <c r="H80"/>
  <c r="H78"/>
  <c r="F77"/>
  <c r="H77" s="1"/>
  <c r="F72"/>
  <c r="F71"/>
  <c r="F70"/>
  <c r="F69"/>
  <c r="F68"/>
  <c r="F67"/>
  <c r="I66"/>
  <c r="H66"/>
  <c r="H65"/>
  <c r="F63"/>
  <c r="I63" s="1"/>
  <c r="F62"/>
  <c r="H62" s="1"/>
  <c r="F60"/>
  <c r="I60" s="1"/>
  <c r="I57"/>
  <c r="F57"/>
  <c r="H57" s="1"/>
  <c r="H56"/>
  <c r="F55"/>
  <c r="H55" s="1"/>
  <c r="F54"/>
  <c r="H54" s="1"/>
  <c r="F53"/>
  <c r="I53" s="1"/>
  <c r="F52"/>
  <c r="H52" s="1"/>
  <c r="F51"/>
  <c r="H51" s="1"/>
  <c r="F50"/>
  <c r="H50" s="1"/>
  <c r="F49"/>
  <c r="H49" s="1"/>
  <c r="F48"/>
  <c r="H48" s="1"/>
  <c r="I46"/>
  <c r="H46"/>
  <c r="F45"/>
  <c r="I45" s="1"/>
  <c r="F44"/>
  <c r="H44" s="1"/>
  <c r="F43"/>
  <c r="I43" s="1"/>
  <c r="H42"/>
  <c r="F41"/>
  <c r="I41" s="1"/>
  <c r="F40"/>
  <c r="H40" s="1"/>
  <c r="I39"/>
  <c r="H39"/>
  <c r="F28"/>
  <c r="H28" s="1"/>
  <c r="H37"/>
  <c r="H36"/>
  <c r="F27"/>
  <c r="I27" s="1"/>
  <c r="H35"/>
  <c r="F35"/>
  <c r="I35" s="1"/>
  <c r="F33"/>
  <c r="F32"/>
  <c r="F31"/>
  <c r="F26"/>
  <c r="H26" s="1"/>
  <c r="H25"/>
  <c r="H24"/>
  <c r="F23"/>
  <c r="H23" s="1"/>
  <c r="F22"/>
  <c r="H22" s="1"/>
  <c r="F21"/>
  <c r="F20"/>
  <c r="H20" s="1"/>
  <c r="F19"/>
  <c r="H19" s="1"/>
  <c r="E18"/>
  <c r="F18" s="1"/>
  <c r="F17"/>
  <c r="H17" s="1"/>
  <c r="F16"/>
  <c r="I16" s="1"/>
  <c r="H67" l="1"/>
  <c r="I67"/>
  <c r="H69"/>
  <c r="I69"/>
  <c r="H71"/>
  <c r="I71"/>
  <c r="H68"/>
  <c r="I68"/>
  <c r="H70"/>
  <c r="I70"/>
  <c r="H72"/>
  <c r="I72"/>
  <c r="H31"/>
  <c r="I31"/>
  <c r="H33"/>
  <c r="I33"/>
  <c r="H32"/>
  <c r="I32"/>
  <c r="H45"/>
  <c r="H63"/>
  <c r="H84"/>
  <c r="H18"/>
  <c r="I18"/>
  <c r="I85"/>
  <c r="H85"/>
  <c r="H16"/>
  <c r="I17"/>
  <c r="H21"/>
  <c r="H27"/>
  <c r="I28"/>
  <c r="I40"/>
  <c r="H41"/>
  <c r="H43"/>
  <c r="I44"/>
  <c r="H53"/>
  <c r="H60"/>
  <c r="H81" s="1"/>
  <c r="G95" i="8" l="1"/>
  <c r="G86"/>
  <c r="G91" i="14"/>
  <c r="E32" i="8" l="1"/>
  <c r="G97" l="1"/>
  <c r="G67" i="14" l="1"/>
  <c r="G94" s="1"/>
  <c r="E22" l="1"/>
  <c r="G46" l="1"/>
  <c r="G45"/>
  <c r="G43"/>
  <c r="G42"/>
  <c r="E42"/>
  <c r="E43"/>
  <c r="E44"/>
  <c r="G41"/>
  <c r="G40"/>
  <c r="G39"/>
  <c r="E26" l="1"/>
  <c r="E32"/>
  <c r="E37"/>
  <c r="E38"/>
  <c r="E39"/>
  <c r="E40"/>
  <c r="E41"/>
  <c r="E49"/>
  <c r="E55"/>
  <c r="E58"/>
  <c r="E59"/>
  <c r="E60"/>
  <c r="E61"/>
  <c r="E63"/>
  <c r="E65"/>
  <c r="G37" l="1"/>
  <c r="G38"/>
  <c r="E36" l="1"/>
  <c r="J65"/>
  <c r="E31" l="1"/>
  <c r="E27"/>
  <c r="G36" l="1"/>
  <c r="G44"/>
  <c r="E33"/>
  <c r="E34" l="1"/>
  <c r="H65" l="1"/>
  <c r="H66" s="1"/>
</calcChain>
</file>

<file path=xl/sharedStrings.xml><?xml version="1.0" encoding="utf-8"?>
<sst xmlns="http://schemas.openxmlformats.org/spreadsheetml/2006/main" count="2827" uniqueCount="312">
  <si>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</si>
  <si>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</si>
  <si>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</si>
  <si>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</si>
  <si>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</si>
  <si>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</si>
  <si>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</si>
  <si>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</si>
  <si>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</si>
  <si>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</si>
  <si>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</si>
  <si>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</si>
  <si>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</si>
  <si>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</si>
  <si>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</si>
  <si>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</si>
  <si>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</si>
  <si>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</si>
  <si>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</si>
  <si>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</si>
  <si>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</si>
  <si>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</si>
  <si>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</si>
  <si>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</si>
  <si>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</si>
  <si>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</si>
  <si>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</si>
  <si>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</si>
  <si>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</si>
  <si>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</si>
  <si>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</si>
  <si>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</si>
  <si>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</si>
  <si>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</si>
  <si>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</si>
  <si>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</si>
  <si>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</si>
  <si>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</si>
  <si>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</si>
  <si>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</si>
  <si>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</si>
  <si>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</si>
  <si>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</si>
  <si>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</si>
  <si>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</si>
  <si>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</si>
  <si>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</si>
  <si>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</si>
  <si>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</si>
  <si>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</si>
  <si>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</si>
  <si>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</si>
  <si>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</si>
  <si>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</si>
  <si>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</si>
  <si>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</si>
  <si>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</si>
  <si>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</si>
  <si>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</si>
  <si>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</si>
  <si>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</si>
  <si>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</si>
  <si>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</si>
  <si>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</si>
  <si>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</si>
  <si>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</si>
  <si>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</si>
  <si>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</si>
  <si>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</si>
  <si>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</si>
  <si>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</si>
  <si>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Техническое обслуживание  наружных газопроводов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</si>
  <si>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</si>
  <si>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</si>
  <si>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</si>
  <si>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</si>
  <si>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</si>
  <si>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</si>
  <si>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</si>
  <si>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</si>
  <si>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весенне-осенний осмотр, 2 раза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</si>
  <si>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</si>
  <si>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</si>
  <si>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</si>
  <si>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</si>
  <si>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</si>
  <si>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</si>
  <si>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</si>
  <si>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</si>
  <si>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</si>
  <si>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</si>
  <si>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</si>
  <si>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</si>
  <si>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</si>
  <si>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</si>
  <si>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</si>
  <si>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</si>
  <si>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</si>
  <si>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</si>
  <si>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</si>
  <si>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</si>
  <si>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</si>
  <si>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</si>
  <si>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</si>
  <si>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Осмотр и очистка оголовков дымоходов и вентканалов от наледи и снега (по необходимости) зимой</t>
  </si>
  <si>
    <t>2 раза в месяц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</si>
  <si>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</si>
  <si>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</si>
  <si>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</si>
  <si>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</si>
  <si>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</si>
  <si>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</si>
  <si>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</si>
  <si>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</si>
  <si>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</si>
  <si>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</si>
  <si>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</si>
  <si>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</si>
  <si>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</si>
  <si>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</si>
  <si>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</si>
  <si>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>7 раз в месяц</t>
  </si>
  <si>
    <t xml:space="preserve">ежедневно </t>
  </si>
  <si>
    <t xml:space="preserve">II. Уборка земельного участка </t>
  </si>
  <si>
    <t>26 раз в месяц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</si>
  <si>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</si>
  <si>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</si>
  <si>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</si>
  <si>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</si>
  <si>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</si>
  <si>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</si>
  <si>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</si>
  <si>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</si>
  <si>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</si>
  <si>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</si>
  <si>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</si>
  <si>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</si>
  <si>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</si>
  <si>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</si>
  <si>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</si>
  <si>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</si>
  <si>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4 раза в месяц</t>
  </si>
  <si>
    <t>Аварийно - диспетчерское обслуживание</t>
  </si>
  <si>
    <t>Прочистка засоров ГВС, XВC</t>
  </si>
  <si>
    <t>3м</t>
  </si>
  <si>
    <t>Смена трубопроводов на полипропиленовые трубы PN20 диаметром 25мм</t>
  </si>
  <si>
    <t xml:space="preserve">Смена сосков у трубопроводов диаметром до 20 мм </t>
  </si>
  <si>
    <t>1 шт</t>
  </si>
  <si>
    <t>руб./м2 в месяц</t>
  </si>
  <si>
    <t>Влажное подметание лестничных клеток 2-5 этажа</t>
  </si>
  <si>
    <t>Мытье лестничных  площадок и маршей 1-5 этаж.</t>
  </si>
  <si>
    <t>Площадь помещений</t>
  </si>
  <si>
    <t>Сдвигание снега в дни снегопада (крылька, тротуары)</t>
  </si>
  <si>
    <t>5 раз в месяц</t>
  </si>
  <si>
    <t>Вывоз снега с придомовой территории</t>
  </si>
  <si>
    <t>1 м3</t>
  </si>
  <si>
    <t>Очистка водостоков от наледи</t>
  </si>
  <si>
    <t>Дератизация</t>
  </si>
  <si>
    <t>Устройство герметизации горизонтальных и вертикальных стыков стеновых панелей</t>
  </si>
  <si>
    <t>100 м шва</t>
  </si>
  <si>
    <t>Заделка окон фанерой</t>
  </si>
  <si>
    <t>10 м2</t>
  </si>
  <si>
    <t>Влажная протирка перил</t>
  </si>
  <si>
    <t>Влажная протирка почтовых ящиков</t>
  </si>
  <si>
    <t>8 раз в месяц</t>
  </si>
  <si>
    <t>Зимняя уборка газонов от мусора</t>
  </si>
  <si>
    <t>Очистка внутреннего водостока</t>
  </si>
  <si>
    <t>водосток</t>
  </si>
  <si>
    <t>Снятие показаний эл.счетчика коммунального назначения</t>
  </si>
  <si>
    <t xml:space="preserve">Ремонт и регулировка доводчика (со стоимостью доводчика) </t>
  </si>
  <si>
    <t>1 шт.</t>
  </si>
  <si>
    <t>маш/час</t>
  </si>
  <si>
    <t>Обработка деревянных перил наждачной бумагой</t>
  </si>
  <si>
    <t xml:space="preserve"> 10 м</t>
  </si>
  <si>
    <t>Влажная протирка подоконников</t>
  </si>
  <si>
    <t>Влажная протирка отопительных приборов</t>
  </si>
  <si>
    <t>Уплотнение сгонов с применением льняной пряди или асбестового шнура (без разборки сгонов)</t>
  </si>
  <si>
    <t>1 соединение</t>
  </si>
  <si>
    <t>Смена автомата на ток до 20 А (авт.выкл. ВА47-29 Iн-25А)</t>
  </si>
  <si>
    <t>Внеплановая проверка вентканалов</t>
  </si>
  <si>
    <t>Сдвигание снега в дни снегопада (проезды)</t>
  </si>
  <si>
    <t>Смена светодиодных светильников</t>
  </si>
  <si>
    <t>Смена дощатых полов с добавлением новых досок до25%</t>
  </si>
  <si>
    <t xml:space="preserve">приемки оказанных услуг и выполненных работ по содержанию и текущему ремонту
общего имущества в многоквартирном доме № 11 по  ул. Нефтяников  пгт. Ярега
</t>
  </si>
  <si>
    <t xml:space="preserve">Очистка края кровли  от слежавшегося снега со сбрасыванием сосулек (10 % от S кровли) </t>
  </si>
  <si>
    <t>64 м</t>
  </si>
  <si>
    <t>Дезинфекция подвала</t>
  </si>
  <si>
    <t>Установка заглушек диаметром трубопроводов до 100 мм</t>
  </si>
  <si>
    <t>заглушка</t>
  </si>
  <si>
    <t>3031,3 м2</t>
  </si>
  <si>
    <t>АКТ №12</t>
  </si>
  <si>
    <t>за период с 01.12.2016 г. по 31.12.2016 г.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</si>
  <si>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</si>
  <si>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</si>
  <si>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</si>
  <si>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</si>
  <si>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</si>
  <si>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</si>
  <si>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</si>
  <si>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</si>
  <si>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</si>
  <si>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</si>
  <si>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</si>
  <si>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</si>
  <si>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</si>
  <si>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</si>
  <si>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</si>
  <si>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 xml:space="preserve">Очистка урн от мусора </t>
  </si>
  <si>
    <t>Уборка контейнерной площадки (16 кв.м.)</t>
  </si>
  <si>
    <t>30 раз за сезон</t>
  </si>
  <si>
    <t>1м3</t>
  </si>
  <si>
    <t>155 раз за сезон</t>
  </si>
  <si>
    <t xml:space="preserve">Пескопосыпка территории: крыльца и тротуары 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</si>
  <si>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</si>
  <si>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</si>
  <si>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</si>
  <si>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</si>
  <si>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</si>
  <si>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</si>
  <si>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</si>
  <si>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</si>
  <si>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</si>
  <si>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</si>
  <si>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</si>
  <si>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</si>
  <si>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</si>
  <si>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</si>
  <si>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№11 по ул.Нефтяников пгт.Ярега
</t>
  </si>
  <si>
    <t>Мытье лестничных площадок и маршей 1-5 этаж.</t>
  </si>
  <si>
    <t>12 раз за сезон</t>
  </si>
  <si>
    <t>Сдвигание снега в дни снегопада (крыльца, тротуары)</t>
  </si>
  <si>
    <t>24 раза за сезон</t>
  </si>
  <si>
    <t>Осмотр шиферной кровли</t>
  </si>
  <si>
    <t>Смена выключателей</t>
  </si>
  <si>
    <t>Смена патронов</t>
  </si>
  <si>
    <t>Ремонт и регулировка доводчика (со стоимостью доводчика)</t>
  </si>
  <si>
    <t>1шт.</t>
  </si>
  <si>
    <t>Внеплановый осмотр электросетей, армазуры и электрооборудования на лестничных клетках</t>
  </si>
  <si>
    <t>Манжета 110 мм</t>
  </si>
  <si>
    <t>2. Всего за период с  01.11.2016 г. по 30.11.2016 г. выполнено работ (оказано услуг) на общую сумму: 65118,75 руб.</t>
  </si>
  <si>
    <t>шестьдесят пять тысяч сто восемнадцать рублей 75 копеек)</t>
  </si>
  <si>
    <t>Прогрев ГВС</t>
  </si>
  <si>
    <t>Смена трубопроводов на полипропиленовые трубы PN25 диаметром 20 мм</t>
  </si>
  <si>
    <t>Смена трубопроводов на полипропиленовые трубы PN25 диаметром 25 мм</t>
  </si>
  <si>
    <t xml:space="preserve">Вывертывание и ввертывание радиаторной пробки.   </t>
  </si>
  <si>
    <t>1 пробка</t>
  </si>
  <si>
    <t>2. Всего за период с 01.12.2016 по 31.12.2016 выполнено работ (оказано услуг) на общую сумму: 54197,48 руб.</t>
  </si>
  <si>
    <t>(пятьдесят четыре тысячи сто девяносто семь рублей 48 копеек)</t>
  </si>
  <si>
    <r>
      <t xml:space="preserve">    Собственники помещений в многоквартирном доме,  расположенном по адресу:  пгт.Ярега, ул.Нефтяников, д.11,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08.11.2013г.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</si>
  <si>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11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д.11</t>
    </r>
  </si>
  <si>
    <t>III. Проведение технических осмотров</t>
  </si>
  <si>
    <t>IV. Содержание общего имущества МКД</t>
  </si>
  <si>
    <t>V. Прочие услуги</t>
  </si>
  <si>
    <t>АКТ №11</t>
  </si>
  <si>
    <t>АКТ №1</t>
  </si>
  <si>
    <t>Очистка урн от мусора</t>
  </si>
  <si>
    <t xml:space="preserve"> - Уборка контейнерной площадки (16 кв.м.)</t>
  </si>
  <si>
    <t>ежедневно 365 раз</t>
  </si>
  <si>
    <t>по мере необходимости</t>
  </si>
  <si>
    <t>2 раз в год</t>
  </si>
  <si>
    <t>Смена автомата на ток до 25А</t>
  </si>
  <si>
    <t>Монтаж освещения в подсобке уборщицы</t>
  </si>
  <si>
    <t>тыс.руб.</t>
  </si>
  <si>
    <t xml:space="preserve">Уплотнение сгонов с применением льняной пряди или асбестового шнура (без разборки сгонов) </t>
  </si>
  <si>
    <t>Мелкий ремонт электропроводки</t>
  </si>
  <si>
    <t>Ремонт и регулировка доводчика (без стоимости доводчика)</t>
  </si>
  <si>
    <t>Установка скамейки (I, IV под.)</t>
  </si>
  <si>
    <t>Установка хомута диаметром до 50 мм</t>
  </si>
  <si>
    <t>Ремонт отдельных мест покрытия из асбоцементных листов обыкновенного профиля</t>
  </si>
  <si>
    <t>Ремонт разделки</t>
  </si>
  <si>
    <t>руб.</t>
  </si>
  <si>
    <t>Ремонт поверхности кирпичных стен при глубине заделки в 0,5 кирпича площадью в одном месте до 1 м2 (ремонт кирпичной кладки цоколя I-II под.)</t>
  </si>
  <si>
    <t>Ремонт штукатурки гладких фасадов по камню и бетону с земли цементно-известковым раствором площадью до 5 м2 толщиной слоя до 20 мм (штукатурка цоколя I-II под.)</t>
  </si>
  <si>
    <t xml:space="preserve">Смена сгонов у трубопроводов диаметром до 20 мм </t>
  </si>
  <si>
    <t>1 сгон</t>
  </si>
  <si>
    <t>Заделка стыков соединений стояков внутренних водостоков</t>
  </si>
  <si>
    <t>Устройство подстилающих слоев щебеночных</t>
  </si>
  <si>
    <t>1 мЗ</t>
  </si>
  <si>
    <t>Герметизация входной двери (III подъезд)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</si>
  <si>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</si>
  <si>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</si>
  <si>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2. Всего за период с 01.01.2016 по 31.01.2016 выполнено работ (оказано услуг) на общую сумму: 55137,25 руб.</t>
  </si>
  <si>
    <t>(пятьдесят пять тысяч сто тридцать семь рублей 25 копеек)</t>
  </si>
  <si>
    <t>АКТ №2</t>
  </si>
  <si>
    <t>2. Всего за период с 01.02.2016 по 29.02.2016 выполнено работ (оказано услуг) на общую сумму: 56221,13 руб.</t>
  </si>
  <si>
    <t>(пятьдесят шесть тысяч двести двадцать один рубль 13 копеек)</t>
  </si>
  <si>
    <t>АКТ №3</t>
  </si>
  <si>
    <t>III. Содержание общего имущества МКД</t>
  </si>
  <si>
    <t>2. Всего за период с 01.03.2016 по 31.03.2016 выполнено работ (оказано услуг) на общую сумму: 49155,23 руб.</t>
  </si>
  <si>
    <t>(сорок девять тысяч сто пятьдесят пять рублей 23 копейки)</t>
  </si>
  <si>
    <t>АКТ №4</t>
  </si>
  <si>
    <t>2. Всего за период с 01.04.2016 по 30.04.2016 выполнено работ (оказано услуг) на общую сумму: 64935,54 руб.</t>
  </si>
  <si>
    <t>(шестьдесят четыре тысячи девятьсот тридцать пять рублей 54 копейки)</t>
  </si>
  <si>
    <t>АКТ №5</t>
  </si>
  <si>
    <t>2. Всего за период с 01.05.2016 по 31.05.2016 выполнено работ (оказано услуг) на общую сумму: 124009,22 руб.</t>
  </si>
  <si>
    <t>(сто двадцать четыре тысячи девять рублей 22 копейки)</t>
  </si>
  <si>
    <t>АКТ №6</t>
  </si>
  <si>
    <t>IV. Прочие услуги</t>
  </si>
  <si>
    <t>2. Всего за период с 01.05.2016 по 31.05.2016 выполнено работ (оказано услуг) на общую сумму: 56413,41 руб.</t>
  </si>
  <si>
    <t>(пятьдесят шесть тысяч четыреста тринадцать рублей 41 копейка)</t>
  </si>
  <si>
    <t>АКТ №7</t>
  </si>
  <si>
    <t>2. Всего за период с 01.07.2016 по 31.07.2016 выполнено работ (оказано услуг) на общую сумму: 39853,18 руб.</t>
  </si>
  <si>
    <t>(тридцать девять тысяч восемьсот пятьдесят три рубля 18 копеек)</t>
  </si>
  <si>
    <t>АКТ №8</t>
  </si>
  <si>
    <t>2. Всего за период с 01.08.2016 по 31.08.2016 выполнено работ (оказано услуг) на общую сумму: 49388,94 руб.</t>
  </si>
  <si>
    <t>(сорок девять тысяч триста восемьдесят восемь рублей 94 копейки)</t>
  </si>
  <si>
    <t>АКТ №9</t>
  </si>
  <si>
    <t>2. Всего за период с 01.09.2016 по 30.09.2016 выполнено работ (оказано услуг) на общую сумму: 50443,53 руб.</t>
  </si>
  <si>
    <t>(пятьдесят тысяч четыреста сорок три рубля 53 копейки)</t>
  </si>
  <si>
    <t>АКТ №10</t>
  </si>
  <si>
    <t>2. Всего за период с 01.10.2016 по 31.10.2016 выполнено работ (оказано услуг) на общую сумму: 52785,56 руб.</t>
  </si>
  <si>
    <t>(пятьдесят дае тысячи семьсот восемьдесят пять рублей 56 копеек)</t>
  </si>
</sst>
</file>

<file path=xl/styles.xml><?xml version="1.0" encoding="utf-8"?>
<styleSheet xmlns="http://schemas.openxmlformats.org/spreadsheetml/2006/main">
  <numFmts count="3">
    <numFmt numFmtId="164" formatCode="#,##0.000"/>
    <numFmt numFmtId="166" formatCode="#,##0.0"/>
    <numFmt numFmtId="167" formatCode="0.00000"/>
  </numFmts>
  <fonts count="3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rgb="FF353535"/>
      <name val="Times New Roman"/>
      <family val="1"/>
      <charset val="204"/>
    </font>
    <font>
      <b/>
      <sz val="12"/>
      <color rgb="FF35353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7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0" fillId="0" borderId="0" xfId="0" applyFont="1"/>
    <xf numFmtId="4" fontId="12" fillId="0" borderId="3" xfId="0" applyNumberFormat="1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3" xfId="0" applyFont="1" applyBorder="1"/>
    <xf numFmtId="2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4" fontId="0" fillId="0" borderId="0" xfId="0" applyNumberFormat="1" applyFill="1"/>
    <xf numFmtId="167" fontId="0" fillId="0" borderId="0" xfId="0" applyNumberFormat="1" applyFill="1"/>
    <xf numFmtId="0" fontId="5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5" fillId="0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right" vertical="top"/>
    </xf>
    <xf numFmtId="4" fontId="15" fillId="0" borderId="3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4" fontId="12" fillId="3" borderId="8" xfId="0" applyNumberFormat="1" applyFont="1" applyFill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Fill="1" applyBorder="1"/>
    <xf numFmtId="4" fontId="12" fillId="2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3" xfId="0" applyFont="1" applyBorder="1"/>
    <xf numFmtId="4" fontId="2" fillId="0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1" fillId="0" borderId="3" xfId="0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2" fillId="0" borderId="3" xfId="0" applyFont="1" applyBorder="1"/>
    <xf numFmtId="0" fontId="2" fillId="0" borderId="3" xfId="1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25" fillId="0" borderId="0" xfId="0" applyFont="1" applyAlignment="1">
      <alignment horizontal="right" wrapText="1"/>
    </xf>
    <xf numFmtId="0" fontId="25" fillId="0" borderId="0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justify"/>
    </xf>
    <xf numFmtId="0" fontId="26" fillId="0" borderId="0" xfId="0" applyFont="1"/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wrapText="1"/>
    </xf>
    <xf numFmtId="14" fontId="24" fillId="0" borderId="0" xfId="0" applyNumberFormat="1" applyFont="1" applyAlignment="1">
      <alignment wrapText="1"/>
    </xf>
    <xf numFmtId="0" fontId="27" fillId="0" borderId="0" xfId="0" applyFont="1" applyAlignment="1"/>
    <xf numFmtId="0" fontId="27" fillId="0" borderId="0" xfId="0" applyFont="1"/>
    <xf numFmtId="0" fontId="28" fillId="0" borderId="0" xfId="0" applyFont="1" applyAlignment="1">
      <alignment horizontal="center" vertical="top" wrapText="1"/>
    </xf>
    <xf numFmtId="0" fontId="29" fillId="0" borderId="0" xfId="0" applyFont="1"/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wrapText="1"/>
    </xf>
    <xf numFmtId="0" fontId="30" fillId="0" borderId="3" xfId="0" applyFont="1" applyFill="1" applyBorder="1" applyAlignment="1">
      <alignment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/>
    </xf>
    <xf numFmtId="4" fontId="12" fillId="2" borderId="15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12" fillId="5" borderId="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center" vertical="center"/>
    </xf>
    <xf numFmtId="4" fontId="2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/>
    </xf>
    <xf numFmtId="4" fontId="12" fillId="0" borderId="15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4" fontId="12" fillId="0" borderId="11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center" vertical="center"/>
    </xf>
    <xf numFmtId="4" fontId="12" fillId="0" borderId="16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" fontId="12" fillId="0" borderId="20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4" fontId="12" fillId="0" borderId="2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4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254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103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42400</v>
      </c>
      <c r="J6" s="2"/>
      <c r="K6" s="2"/>
      <c r="L6" s="2"/>
      <c r="M6" s="2"/>
    </row>
    <row r="7" spans="1:13" ht="15.7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hidden="1" customHeight="1">
      <c r="A19" s="46"/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v>0</v>
      </c>
      <c r="J19" s="31"/>
      <c r="K19" s="8"/>
      <c r="L19" s="8"/>
      <c r="M19" s="8"/>
    </row>
    <row r="20" spans="1:13" ht="15" hidden="1" customHeight="1">
      <c r="A20" s="46"/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v>0</v>
      </c>
      <c r="J20" s="31"/>
      <c r="K20" s="8"/>
      <c r="L20" s="8"/>
      <c r="M20" s="8"/>
    </row>
    <row r="21" spans="1:13" ht="15" hidden="1" customHeight="1">
      <c r="A21" s="46"/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v>0</v>
      </c>
      <c r="J21" s="31"/>
      <c r="K21" s="8"/>
      <c r="L21" s="8"/>
      <c r="M21" s="8"/>
    </row>
    <row r="22" spans="1:13" ht="15" hidden="1" customHeight="1">
      <c r="A22" s="46"/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v>0</v>
      </c>
      <c r="J22" s="31"/>
      <c r="K22" s="8"/>
      <c r="L22" s="8"/>
      <c r="M22" s="8"/>
    </row>
    <row r="23" spans="1:13" ht="15" hidden="1" customHeight="1">
      <c r="A23" s="46"/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v>0</v>
      </c>
      <c r="J23" s="31"/>
      <c r="K23" s="8"/>
      <c r="L23" s="8"/>
      <c r="M23" s="8"/>
    </row>
    <row r="24" spans="1:13" ht="15" hidden="1" customHeight="1">
      <c r="A24" s="46"/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v>0</v>
      </c>
      <c r="J24" s="31"/>
      <c r="K24" s="8"/>
      <c r="L24" s="8"/>
      <c r="M24" s="8"/>
    </row>
    <row r="25" spans="1:13" ht="15" hidden="1" customHeight="1">
      <c r="A25" s="46"/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v>0</v>
      </c>
      <c r="J25" s="31"/>
      <c r="K25" s="8"/>
      <c r="L25" s="8"/>
      <c r="M25" s="8"/>
    </row>
    <row r="26" spans="1:13" ht="15" hidden="1" customHeight="1">
      <c r="A26" s="46"/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v>0</v>
      </c>
      <c r="J26" s="31"/>
      <c r="K26" s="8"/>
      <c r="L26" s="8"/>
      <c r="M26" s="8"/>
    </row>
    <row r="27" spans="1:13" ht="15" customHeight="1">
      <c r="A27" s="46">
        <v>4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5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hidden="1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hidden="1" customHeight="1">
      <c r="A31" s="46">
        <v>6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1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hidden="1" customHeight="1">
      <c r="A32" s="46">
        <v>7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1"/>
        <v>1.3717735199999999</v>
      </c>
      <c r="I32" s="16">
        <f t="shared" ref="I32:I35" si="2">F32/6*G32</f>
        <v>228.62891999999999</v>
      </c>
      <c r="J32" s="31"/>
      <c r="K32" s="8"/>
      <c r="L32" s="8"/>
      <c r="M32" s="8"/>
    </row>
    <row r="33" spans="1:14" ht="15" hidden="1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1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hidden="1" customHeight="1">
      <c r="A34" s="46">
        <v>8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2"/>
        <v>1345.4206666666669</v>
      </c>
      <c r="J34" s="31"/>
      <c r="K34" s="8"/>
      <c r="L34" s="8"/>
      <c r="M34" s="8"/>
    </row>
    <row r="35" spans="1:14" ht="15" hidden="1" customHeight="1">
      <c r="A35" s="46">
        <v>9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2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1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1"/>
        <v>2.27264</v>
      </c>
      <c r="I37" s="16">
        <v>0</v>
      </c>
      <c r="J37" s="32"/>
    </row>
    <row r="38" spans="1:14" ht="15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3">SUM(F39*G39/1000)</f>
        <v>9.1633200000000006</v>
      </c>
      <c r="I39" s="16">
        <f>F39/6*G39</f>
        <v>1527.22</v>
      </c>
      <c r="J39" s="32"/>
    </row>
    <row r="40" spans="1:14" ht="15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3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3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3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3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3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hidden="1" customHeight="1">
      <c r="A48" s="46"/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4">SUM(F48*G48/1000)</f>
        <v>1.7187541239999997</v>
      </c>
      <c r="I48" s="16">
        <v>0</v>
      </c>
      <c r="J48" s="32"/>
      <c r="L48" s="25"/>
      <c r="M48" s="26"/>
      <c r="N48" s="27"/>
    </row>
    <row r="49" spans="1:22" ht="15" hidden="1" customHeight="1">
      <c r="A49" s="46"/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4"/>
        <v>6.0265920000000001E-2</v>
      </c>
      <c r="I49" s="16">
        <v>0</v>
      </c>
      <c r="J49" s="32"/>
      <c r="L49" s="25"/>
      <c r="M49" s="26"/>
      <c r="N49" s="27"/>
    </row>
    <row r="50" spans="1:22" ht="15" hidden="1" customHeight="1">
      <c r="A50" s="46"/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4"/>
        <v>1.4357196480000001</v>
      </c>
      <c r="I50" s="16">
        <v>0</v>
      </c>
      <c r="J50" s="32"/>
      <c r="L50" s="25"/>
      <c r="M50" s="26"/>
      <c r="N50" s="27"/>
    </row>
    <row r="51" spans="1:22" ht="15" hidden="1" customHeight="1">
      <c r="A51" s="46"/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4"/>
        <v>2.1771028954</v>
      </c>
      <c r="I51" s="16">
        <v>0</v>
      </c>
      <c r="J51" s="32"/>
      <c r="L51" s="25"/>
      <c r="M51" s="26"/>
      <c r="N51" s="27"/>
    </row>
    <row r="52" spans="1:22" ht="15" hidden="1" customHeight="1">
      <c r="A52" s="46"/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4"/>
        <v>0.124912836</v>
      </c>
      <c r="I52" s="16">
        <v>0</v>
      </c>
      <c r="J52" s="32"/>
      <c r="L52" s="25"/>
      <c r="M52" s="26"/>
      <c r="N52" s="27"/>
    </row>
    <row r="53" spans="1:22" ht="15" customHeight="1">
      <c r="A53" s="46">
        <v>13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4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hidden="1" customHeight="1">
      <c r="A54" s="46"/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4"/>
        <v>2.1455563999999998</v>
      </c>
      <c r="I54" s="16">
        <v>0</v>
      </c>
      <c r="J54" s="32"/>
      <c r="L54" s="25"/>
      <c r="M54" s="26"/>
      <c r="N54" s="27"/>
    </row>
    <row r="55" spans="1:22" ht="31.5" hidden="1" customHeight="1">
      <c r="A55" s="46"/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4"/>
        <v>1.0921959999999999</v>
      </c>
      <c r="I55" s="16">
        <v>0</v>
      </c>
      <c r="J55" s="32"/>
      <c r="L55" s="25"/>
      <c r="M55" s="26"/>
      <c r="N55" s="27"/>
    </row>
    <row r="56" spans="1:22" ht="15" hidden="1" customHeight="1">
      <c r="A56" s="46"/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4"/>
        <v>0.11304260000000001</v>
      </c>
      <c r="I56" s="16">
        <v>0</v>
      </c>
      <c r="J56" s="32"/>
      <c r="L56" s="25"/>
      <c r="M56" s="26"/>
      <c r="N56" s="27"/>
    </row>
    <row r="57" spans="1:22" ht="15" customHeight="1">
      <c r="A57" s="46">
        <v>14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4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251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customHeight="1">
      <c r="A60" s="46">
        <v>15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16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hidden="1" customHeight="1">
      <c r="A65" s="46"/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80" si="5">SUM(F65*G65/1000)</f>
        <v>4.4480000000000004</v>
      </c>
      <c r="I65" s="16">
        <v>0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customHeight="1">
      <c r="A66" s="46">
        <v>17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5"/>
        <v>#VALUE!</v>
      </c>
      <c r="I66" s="16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46"/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5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hidden="1" customHeight="1">
      <c r="A68" s="46"/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5"/>
        <v>2.08941087</v>
      </c>
      <c r="I68" s="16">
        <f t="shared" ref="I68:I72" si="6">F68*G68</f>
        <v>2089.4108700000002</v>
      </c>
    </row>
    <row r="69" spans="1:21" ht="15" hidden="1" customHeight="1">
      <c r="A69" s="46"/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5"/>
        <v>39.417970000000004</v>
      </c>
      <c r="I69" s="16">
        <f t="shared" si="6"/>
        <v>39417.97</v>
      </c>
    </row>
    <row r="70" spans="1:21" ht="15" hidden="1" customHeight="1">
      <c r="A70" s="46"/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5"/>
        <v>0.48217100000000007</v>
      </c>
      <c r="I70" s="16">
        <f t="shared" si="6"/>
        <v>482.17100000000005</v>
      </c>
    </row>
    <row r="71" spans="1:21" ht="15" hidden="1" customHeight="1">
      <c r="A71" s="46"/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5"/>
        <v>0.44985300000000006</v>
      </c>
      <c r="I71" s="16">
        <f t="shared" si="6"/>
        <v>449.85300000000007</v>
      </c>
    </row>
    <row r="72" spans="1:21" ht="15" hidden="1" customHeight="1">
      <c r="A72" s="46"/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5"/>
        <v>0.29928000000000005</v>
      </c>
      <c r="I72" s="16">
        <f t="shared" si="6"/>
        <v>299.28000000000003</v>
      </c>
    </row>
    <row r="73" spans="1:21" ht="15" hidden="1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hidden="1" customHeight="1">
      <c r="A74" s="46"/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v>0</v>
      </c>
    </row>
    <row r="75" spans="1:21" ht="15" hidden="1" customHeight="1">
      <c r="A75" s="46"/>
      <c r="B75" s="18" t="s">
        <v>233</v>
      </c>
      <c r="C75" s="20" t="s">
        <v>37</v>
      </c>
      <c r="D75" s="18"/>
      <c r="E75" s="23">
        <v>2</v>
      </c>
      <c r="F75" s="16">
        <v>2</v>
      </c>
      <c r="G75" s="16">
        <v>99.85</v>
      </c>
      <c r="H75" s="264">
        <v>0.1</v>
      </c>
      <c r="I75" s="16">
        <v>0</v>
      </c>
    </row>
    <row r="76" spans="1:21" ht="15" hidden="1" customHeight="1">
      <c r="A76" s="46"/>
      <c r="B76" s="18" t="s">
        <v>234</v>
      </c>
      <c r="C76" s="20" t="s">
        <v>37</v>
      </c>
      <c r="D76" s="18"/>
      <c r="E76" s="23">
        <v>1</v>
      </c>
      <c r="F76" s="241">
        <v>1</v>
      </c>
      <c r="G76" s="16">
        <v>120.26</v>
      </c>
      <c r="H76" s="264">
        <v>0.12</v>
      </c>
      <c r="I76" s="16">
        <v>0</v>
      </c>
    </row>
    <row r="77" spans="1:21" ht="15" hidden="1" customHeight="1">
      <c r="A77" s="46"/>
      <c r="B77" s="18" t="s">
        <v>134</v>
      </c>
      <c r="C77" s="20" t="s">
        <v>37</v>
      </c>
      <c r="D77" s="18"/>
      <c r="E77" s="23">
        <v>1</v>
      </c>
      <c r="F77" s="250">
        <f>SUM(E77)</f>
        <v>1</v>
      </c>
      <c r="G77" s="16">
        <v>358.51</v>
      </c>
      <c r="H77" s="264">
        <f t="shared" si="5"/>
        <v>0.35851</v>
      </c>
      <c r="I77" s="16">
        <v>0</v>
      </c>
    </row>
    <row r="78" spans="1:21" ht="15" hidden="1" customHeight="1">
      <c r="A78" s="46"/>
      <c r="B78" s="18" t="s">
        <v>97</v>
      </c>
      <c r="C78" s="20" t="s">
        <v>37</v>
      </c>
      <c r="D78" s="18"/>
      <c r="E78" s="23">
        <v>1</v>
      </c>
      <c r="F78" s="16">
        <v>1</v>
      </c>
      <c r="G78" s="16">
        <v>852.99</v>
      </c>
      <c r="H78" s="264">
        <f>F78*G78/1000</f>
        <v>0.85299000000000003</v>
      </c>
      <c r="I78" s="16">
        <v>0</v>
      </c>
    </row>
    <row r="79" spans="1:21" ht="15" hidden="1" customHeight="1">
      <c r="A79" s="46"/>
      <c r="B79" s="266" t="s">
        <v>99</v>
      </c>
      <c r="C79" s="20"/>
      <c r="D79" s="18"/>
      <c r="E79" s="23"/>
      <c r="F79" s="16"/>
      <c r="G79" s="16" t="s">
        <v>224</v>
      </c>
      <c r="H79" s="264" t="s">
        <v>224</v>
      </c>
      <c r="I79" s="16"/>
    </row>
    <row r="80" spans="1:21" ht="15" hidden="1" customHeight="1">
      <c r="A80" s="46"/>
      <c r="B80" s="82" t="s">
        <v>225</v>
      </c>
      <c r="C80" s="20" t="s">
        <v>100</v>
      </c>
      <c r="D80" s="18"/>
      <c r="E80" s="23"/>
      <c r="F80" s="16">
        <v>0.2</v>
      </c>
      <c r="G80" s="16">
        <v>2759.44</v>
      </c>
      <c r="H80" s="264">
        <f t="shared" si="5"/>
        <v>0.55188800000000005</v>
      </c>
      <c r="I80" s="16">
        <v>0</v>
      </c>
    </row>
    <row r="81" spans="1:9" ht="15" hidden="1" customHeight="1">
      <c r="A81" s="46"/>
      <c r="B81" s="254" t="s">
        <v>222</v>
      </c>
      <c r="C81" s="266"/>
      <c r="D81" s="52"/>
      <c r="E81" s="54"/>
      <c r="F81" s="255"/>
      <c r="G81" s="255"/>
      <c r="H81" s="267" t="e">
        <f>SUM(H60:H80)</f>
        <v>#VALUE!</v>
      </c>
      <c r="I81" s="255"/>
    </row>
    <row r="82" spans="1:9" ht="15" hidden="1" customHeight="1">
      <c r="A82" s="46"/>
      <c r="B82" s="247" t="s">
        <v>223</v>
      </c>
      <c r="C82" s="20"/>
      <c r="D82" s="18"/>
      <c r="E82" s="242"/>
      <c r="F82" s="16">
        <v>1</v>
      </c>
      <c r="G82" s="16">
        <v>13437.4</v>
      </c>
      <c r="H82" s="264">
        <f>G82*F82/1000</f>
        <v>13.4374</v>
      </c>
      <c r="I82" s="16">
        <v>0</v>
      </c>
    </row>
    <row r="83" spans="1:9" ht="15.75" customHeight="1">
      <c r="A83" s="238" t="s">
        <v>252</v>
      </c>
      <c r="B83" s="239"/>
      <c r="C83" s="239"/>
      <c r="D83" s="239"/>
      <c r="E83" s="239"/>
      <c r="F83" s="239"/>
      <c r="G83" s="239"/>
      <c r="H83" s="239"/>
      <c r="I83" s="240"/>
    </row>
    <row r="84" spans="1:9" ht="15" customHeight="1">
      <c r="A84" s="46">
        <v>18</v>
      </c>
      <c r="B84" s="247" t="s">
        <v>226</v>
      </c>
      <c r="C84" s="20" t="s">
        <v>72</v>
      </c>
      <c r="D84" s="268" t="s">
        <v>73</v>
      </c>
      <c r="E84" s="16">
        <v>3031.3</v>
      </c>
      <c r="F84" s="16">
        <f>SUM(E84*12)</f>
        <v>36375.600000000006</v>
      </c>
      <c r="G84" s="16">
        <v>2.1</v>
      </c>
      <c r="H84" s="264">
        <f>SUM(F84*G84/1000)</f>
        <v>76.388760000000005</v>
      </c>
      <c r="I84" s="16">
        <f>F84/12*G84</f>
        <v>6365.7300000000014</v>
      </c>
    </row>
    <row r="85" spans="1:9" ht="31.5" customHeight="1">
      <c r="A85" s="46">
        <v>19</v>
      </c>
      <c r="B85" s="18" t="s">
        <v>101</v>
      </c>
      <c r="C85" s="20"/>
      <c r="D85" s="268" t="s">
        <v>73</v>
      </c>
      <c r="E85" s="249">
        <f>E84</f>
        <v>3031.3</v>
      </c>
      <c r="F85" s="16">
        <f>E85*12</f>
        <v>36375.600000000006</v>
      </c>
      <c r="G85" s="16">
        <v>1.63</v>
      </c>
      <c r="H85" s="264">
        <f>F85*G85/1000</f>
        <v>59.292228000000001</v>
      </c>
      <c r="I85" s="16">
        <f>F85/12*G85</f>
        <v>4941.0190000000011</v>
      </c>
    </row>
    <row r="86" spans="1:9" ht="15.75" customHeight="1">
      <c r="A86" s="124"/>
      <c r="B86" s="69" t="s">
        <v>107</v>
      </c>
      <c r="C86" s="71"/>
      <c r="D86" s="19"/>
      <c r="E86" s="19"/>
      <c r="F86" s="19"/>
      <c r="G86" s="23"/>
      <c r="H86" s="23"/>
      <c r="I86" s="54">
        <f>I16+I17+I18+I27+I28+I39+I40+I41+I43+I44+I45+I46+I53+I57+I60+I63+I66+I84+I85</f>
        <v>55137.249711333345</v>
      </c>
    </row>
    <row r="87" spans="1:9" ht="15.75" customHeight="1">
      <c r="A87" s="124"/>
      <c r="B87" s="188" t="s">
        <v>79</v>
      </c>
      <c r="C87" s="188"/>
      <c r="D87" s="188"/>
      <c r="E87" s="188"/>
      <c r="F87" s="188"/>
      <c r="G87" s="188"/>
      <c r="H87" s="188"/>
      <c r="I87" s="188"/>
    </row>
    <row r="88" spans="1:9" ht="31.5" hidden="1" customHeight="1">
      <c r="A88" s="46"/>
      <c r="B88" s="191" t="s">
        <v>235</v>
      </c>
      <c r="C88" s="46" t="s">
        <v>236</v>
      </c>
      <c r="D88" s="82"/>
      <c r="E88" s="16"/>
      <c r="F88" s="16">
        <v>2</v>
      </c>
      <c r="G88" s="16">
        <v>1835.8</v>
      </c>
      <c r="H88" s="264">
        <f>G88*F88/1000</f>
        <v>3.6715999999999998</v>
      </c>
      <c r="I88" s="16">
        <v>0</v>
      </c>
    </row>
    <row r="89" spans="1:9" ht="31.5" hidden="1" customHeight="1">
      <c r="A89" s="46"/>
      <c r="B89" s="189" t="s">
        <v>106</v>
      </c>
      <c r="C89" s="193" t="s">
        <v>216</v>
      </c>
      <c r="D89" s="82"/>
      <c r="E89" s="16"/>
      <c r="F89" s="16">
        <v>8</v>
      </c>
      <c r="G89" s="16">
        <v>79.09</v>
      </c>
      <c r="H89" s="264">
        <f t="shared" ref="H89:H109" si="7">G89*F89/1000</f>
        <v>0.63272000000000006</v>
      </c>
      <c r="I89" s="16">
        <v>0</v>
      </c>
    </row>
    <row r="90" spans="1:9" ht="15" hidden="1" customHeight="1">
      <c r="A90" s="46"/>
      <c r="B90" s="189" t="s">
        <v>260</v>
      </c>
      <c r="C90" s="193" t="s">
        <v>216</v>
      </c>
      <c r="D90" s="82"/>
      <c r="E90" s="16"/>
      <c r="F90" s="16">
        <v>2</v>
      </c>
      <c r="G90" s="16">
        <f>620.95</f>
        <v>620.95000000000005</v>
      </c>
      <c r="H90" s="264">
        <f t="shared" si="7"/>
        <v>1.2419</v>
      </c>
      <c r="I90" s="16">
        <v>0</v>
      </c>
    </row>
    <row r="91" spans="1:9" ht="15" hidden="1" customHeight="1">
      <c r="A91" s="46"/>
      <c r="B91" s="82" t="s">
        <v>132</v>
      </c>
      <c r="C91" s="20" t="s">
        <v>171</v>
      </c>
      <c r="D91" s="82"/>
      <c r="E91" s="16"/>
      <c r="F91" s="16">
        <v>7.5</v>
      </c>
      <c r="G91" s="16">
        <v>1501</v>
      </c>
      <c r="H91" s="264">
        <f t="shared" si="7"/>
        <v>11.2575</v>
      </c>
      <c r="I91" s="16">
        <v>0</v>
      </c>
    </row>
    <row r="92" spans="1:9" ht="15" hidden="1" customHeight="1">
      <c r="A92" s="46"/>
      <c r="B92" s="269" t="s">
        <v>119</v>
      </c>
      <c r="C92" s="193" t="s">
        <v>216</v>
      </c>
      <c r="D92" s="82"/>
      <c r="E92" s="16"/>
      <c r="F92" s="16">
        <v>2</v>
      </c>
      <c r="G92" s="16">
        <v>179.96</v>
      </c>
      <c r="H92" s="16">
        <f t="shared" si="7"/>
        <v>0.35992000000000002</v>
      </c>
      <c r="I92" s="16">
        <v>0</v>
      </c>
    </row>
    <row r="93" spans="1:9" ht="15" hidden="1" customHeight="1">
      <c r="A93" s="46"/>
      <c r="B93" s="269" t="s">
        <v>261</v>
      </c>
      <c r="C93" s="193" t="s">
        <v>262</v>
      </c>
      <c r="D93" s="82"/>
      <c r="E93" s="16"/>
      <c r="F93" s="16">
        <v>1</v>
      </c>
      <c r="G93" s="16">
        <v>3651</v>
      </c>
      <c r="H93" s="264">
        <f t="shared" si="7"/>
        <v>3.6509999999999998</v>
      </c>
      <c r="I93" s="16">
        <v>0</v>
      </c>
    </row>
    <row r="94" spans="1:9" ht="31.5" hidden="1" customHeight="1">
      <c r="A94" s="46"/>
      <c r="B94" s="189" t="s">
        <v>263</v>
      </c>
      <c r="C94" s="193" t="s">
        <v>177</v>
      </c>
      <c r="D94" s="82"/>
      <c r="E94" s="16"/>
      <c r="F94" s="16">
        <v>1</v>
      </c>
      <c r="G94" s="16">
        <v>51.39</v>
      </c>
      <c r="H94" s="264">
        <f t="shared" si="7"/>
        <v>5.1389999999999998E-2</v>
      </c>
      <c r="I94" s="16">
        <v>0</v>
      </c>
    </row>
    <row r="95" spans="1:9" ht="15" hidden="1" customHeight="1">
      <c r="A95" s="46"/>
      <c r="B95" s="189" t="s">
        <v>264</v>
      </c>
      <c r="C95" s="246" t="s">
        <v>109</v>
      </c>
      <c r="D95" s="82"/>
      <c r="E95" s="16"/>
      <c r="F95" s="16">
        <v>1</v>
      </c>
      <c r="G95" s="16">
        <v>18</v>
      </c>
      <c r="H95" s="264">
        <f t="shared" si="7"/>
        <v>1.7999999999999999E-2</v>
      </c>
      <c r="I95" s="16">
        <v>0</v>
      </c>
    </row>
    <row r="96" spans="1:9" ht="31.5" hidden="1" customHeight="1">
      <c r="A96" s="46"/>
      <c r="B96" s="191" t="s">
        <v>265</v>
      </c>
      <c r="C96" s="46" t="s">
        <v>236</v>
      </c>
      <c r="D96" s="82"/>
      <c r="E96" s="16"/>
      <c r="F96" s="16">
        <v>1</v>
      </c>
      <c r="G96" s="16">
        <v>383.01</v>
      </c>
      <c r="H96" s="264">
        <f t="shared" si="7"/>
        <v>0.38301000000000002</v>
      </c>
      <c r="I96" s="16">
        <v>0</v>
      </c>
    </row>
    <row r="97" spans="1:9" ht="15" hidden="1" customHeight="1">
      <c r="A97" s="46"/>
      <c r="B97" s="189" t="s">
        <v>266</v>
      </c>
      <c r="C97" s="193" t="s">
        <v>262</v>
      </c>
      <c r="D97" s="82"/>
      <c r="E97" s="16"/>
      <c r="F97" s="16">
        <v>2</v>
      </c>
      <c r="G97" s="16">
        <v>4879</v>
      </c>
      <c r="H97" s="264">
        <f t="shared" si="7"/>
        <v>9.7579999999999991</v>
      </c>
      <c r="I97" s="16">
        <v>0</v>
      </c>
    </row>
    <row r="98" spans="1:9" ht="15" hidden="1" customHeight="1">
      <c r="A98" s="46"/>
      <c r="B98" s="189" t="s">
        <v>267</v>
      </c>
      <c r="C98" s="193" t="s">
        <v>118</v>
      </c>
      <c r="D98" s="82"/>
      <c r="E98" s="16"/>
      <c r="F98" s="16">
        <v>4</v>
      </c>
      <c r="G98" s="16">
        <v>185.81</v>
      </c>
      <c r="H98" s="264">
        <f t="shared" si="7"/>
        <v>0.74324000000000001</v>
      </c>
      <c r="I98" s="16">
        <v>0</v>
      </c>
    </row>
    <row r="99" spans="1:9" ht="15" hidden="1" customHeight="1">
      <c r="A99" s="46"/>
      <c r="B99" s="189" t="s">
        <v>112</v>
      </c>
      <c r="C99" s="193" t="s">
        <v>216</v>
      </c>
      <c r="D99" s="82"/>
      <c r="E99" s="16"/>
      <c r="F99" s="16">
        <v>3</v>
      </c>
      <c r="G99" s="16">
        <v>180.15</v>
      </c>
      <c r="H99" s="264">
        <f t="shared" si="7"/>
        <v>0.5404500000000001</v>
      </c>
      <c r="I99" s="16">
        <v>0</v>
      </c>
    </row>
    <row r="100" spans="1:9" ht="31.5" hidden="1" customHeight="1">
      <c r="A100" s="46"/>
      <c r="B100" s="189" t="s">
        <v>268</v>
      </c>
      <c r="C100" s="193" t="s">
        <v>161</v>
      </c>
      <c r="D100" s="82"/>
      <c r="E100" s="16"/>
      <c r="F100" s="16">
        <f>3.11/10</f>
        <v>0.311</v>
      </c>
      <c r="G100" s="16">
        <v>5641.28</v>
      </c>
      <c r="H100" s="264">
        <f t="shared" si="7"/>
        <v>1.7544380799999999</v>
      </c>
      <c r="I100" s="16">
        <v>0</v>
      </c>
    </row>
    <row r="101" spans="1:9" ht="15" hidden="1" customHeight="1">
      <c r="A101" s="46"/>
      <c r="B101" s="189" t="s">
        <v>269</v>
      </c>
      <c r="C101" s="193" t="s">
        <v>270</v>
      </c>
      <c r="D101" s="82"/>
      <c r="E101" s="16"/>
      <c r="F101" s="16">
        <v>1</v>
      </c>
      <c r="G101" s="16">
        <v>755</v>
      </c>
      <c r="H101" s="264">
        <f t="shared" si="7"/>
        <v>0.755</v>
      </c>
      <c r="I101" s="16">
        <v>0</v>
      </c>
    </row>
    <row r="102" spans="1:9" ht="47.25" hidden="1" customHeight="1">
      <c r="A102" s="46"/>
      <c r="B102" s="191" t="s">
        <v>271</v>
      </c>
      <c r="C102" s="46" t="s">
        <v>161</v>
      </c>
      <c r="D102" s="82"/>
      <c r="E102" s="16"/>
      <c r="F102" s="16">
        <f>2/10</f>
        <v>0.2</v>
      </c>
      <c r="G102" s="16">
        <v>18308.990000000002</v>
      </c>
      <c r="H102" s="264">
        <f t="shared" si="7"/>
        <v>3.6617980000000006</v>
      </c>
      <c r="I102" s="16">
        <v>0</v>
      </c>
    </row>
    <row r="103" spans="1:9" ht="47.25" hidden="1" customHeight="1">
      <c r="A103" s="46"/>
      <c r="B103" s="189" t="s">
        <v>272</v>
      </c>
      <c r="C103" s="193" t="s">
        <v>161</v>
      </c>
      <c r="D103" s="82"/>
      <c r="E103" s="16"/>
      <c r="F103" s="16">
        <f>6/10</f>
        <v>0.6</v>
      </c>
      <c r="G103" s="16">
        <v>9068.24</v>
      </c>
      <c r="H103" s="264">
        <f t="shared" si="7"/>
        <v>5.4409439999999991</v>
      </c>
      <c r="I103" s="16">
        <v>0</v>
      </c>
    </row>
    <row r="104" spans="1:9" ht="15" hidden="1" customHeight="1">
      <c r="A104" s="46"/>
      <c r="B104" s="189" t="s">
        <v>273</v>
      </c>
      <c r="C104" s="193" t="s">
        <v>274</v>
      </c>
      <c r="D104" s="82"/>
      <c r="E104" s="16"/>
      <c r="F104" s="16">
        <v>1</v>
      </c>
      <c r="G104" s="16">
        <v>195.95</v>
      </c>
      <c r="H104" s="264">
        <f t="shared" si="7"/>
        <v>0.19594999999999999</v>
      </c>
      <c r="I104" s="16">
        <v>0</v>
      </c>
    </row>
    <row r="105" spans="1:9" ht="31.5" hidden="1" customHeight="1">
      <c r="A105" s="46"/>
      <c r="B105" s="189" t="s">
        <v>275</v>
      </c>
      <c r="C105" s="193" t="s">
        <v>177</v>
      </c>
      <c r="D105" s="82"/>
      <c r="E105" s="16"/>
      <c r="F105" s="16">
        <v>1</v>
      </c>
      <c r="G105" s="16">
        <v>122.55</v>
      </c>
      <c r="H105" s="264">
        <f t="shared" si="7"/>
        <v>0.12254999999999999</v>
      </c>
      <c r="I105" s="16">
        <v>0</v>
      </c>
    </row>
    <row r="106" spans="1:9" ht="15" hidden="1" customHeight="1">
      <c r="A106" s="46"/>
      <c r="B106" s="189" t="s">
        <v>143</v>
      </c>
      <c r="C106" s="193" t="s">
        <v>144</v>
      </c>
      <c r="D106" s="82"/>
      <c r="E106" s="16"/>
      <c r="F106" s="16">
        <f>45/3</f>
        <v>15</v>
      </c>
      <c r="G106" s="16">
        <v>1063.47</v>
      </c>
      <c r="H106" s="264">
        <f>G106*F106/1000</f>
        <v>15.952050000000002</v>
      </c>
      <c r="I106" s="16">
        <v>0</v>
      </c>
    </row>
    <row r="107" spans="1:9" ht="15" hidden="1" customHeight="1">
      <c r="A107" s="46"/>
      <c r="B107" s="189" t="s">
        <v>276</v>
      </c>
      <c r="C107" s="193" t="s">
        <v>277</v>
      </c>
      <c r="D107" s="82"/>
      <c r="E107" s="16"/>
      <c r="F107" s="16">
        <v>1</v>
      </c>
      <c r="G107" s="16">
        <v>4627.21</v>
      </c>
      <c r="H107" s="264">
        <f>G107*F107/1000</f>
        <v>4.6272099999999998</v>
      </c>
      <c r="I107" s="16">
        <v>0</v>
      </c>
    </row>
    <row r="108" spans="1:9" ht="15" hidden="1" customHeight="1">
      <c r="A108" s="46"/>
      <c r="B108" s="191" t="s">
        <v>186</v>
      </c>
      <c r="C108" s="46" t="s">
        <v>216</v>
      </c>
      <c r="D108" s="82"/>
      <c r="E108" s="16"/>
      <c r="F108" s="16">
        <v>2</v>
      </c>
      <c r="G108" s="16">
        <v>470</v>
      </c>
      <c r="H108" s="264">
        <f t="shared" ref="H108" si="8">G108*F108/1000</f>
        <v>0.94</v>
      </c>
      <c r="I108" s="16">
        <v>0</v>
      </c>
    </row>
    <row r="109" spans="1:9" ht="15" hidden="1" customHeight="1">
      <c r="A109" s="46"/>
      <c r="B109" s="189" t="s">
        <v>179</v>
      </c>
      <c r="C109" s="193" t="s">
        <v>216</v>
      </c>
      <c r="D109" s="82"/>
      <c r="E109" s="16"/>
      <c r="F109" s="16">
        <v>1</v>
      </c>
      <c r="G109" s="16">
        <v>81.73</v>
      </c>
      <c r="H109" s="264">
        <f t="shared" si="7"/>
        <v>8.1729999999999997E-2</v>
      </c>
      <c r="I109" s="16">
        <v>0</v>
      </c>
    </row>
    <row r="110" spans="1:9" ht="15" hidden="1" customHeight="1">
      <c r="A110" s="46"/>
      <c r="B110" s="269" t="s">
        <v>278</v>
      </c>
      <c r="C110" s="246" t="s">
        <v>98</v>
      </c>
      <c r="D110" s="82"/>
      <c r="E110" s="16"/>
      <c r="F110" s="16">
        <f>1/10</f>
        <v>0.1</v>
      </c>
      <c r="G110" s="16">
        <v>9767.5</v>
      </c>
      <c r="H110" s="264">
        <f>G110*F110/1000</f>
        <v>0.97675000000000001</v>
      </c>
      <c r="I110" s="16">
        <v>0</v>
      </c>
    </row>
    <row r="111" spans="1:9" ht="15.75" customHeight="1">
      <c r="A111" s="46"/>
      <c r="B111" s="76" t="s">
        <v>66</v>
      </c>
      <c r="C111" s="72"/>
      <c r="D111" s="126"/>
      <c r="E111" s="72">
        <v>1</v>
      </c>
      <c r="F111" s="72"/>
      <c r="G111" s="72"/>
      <c r="H111" s="72"/>
      <c r="I111" s="54">
        <f>SUM(I88:I110)</f>
        <v>0</v>
      </c>
    </row>
    <row r="112" spans="1:9" ht="15.75" customHeight="1">
      <c r="A112" s="46"/>
      <c r="B112" s="82" t="s">
        <v>102</v>
      </c>
      <c r="C112" s="19"/>
      <c r="D112" s="19"/>
      <c r="E112" s="73"/>
      <c r="F112" s="73"/>
      <c r="G112" s="74"/>
      <c r="H112" s="74"/>
      <c r="I112" s="22">
        <v>0</v>
      </c>
    </row>
    <row r="113" spans="1:9" ht="15.75" customHeight="1">
      <c r="A113" s="127"/>
      <c r="B113" s="77" t="s">
        <v>67</v>
      </c>
      <c r="C113" s="60"/>
      <c r="D113" s="60"/>
      <c r="E113" s="60"/>
      <c r="F113" s="60"/>
      <c r="G113" s="60"/>
      <c r="H113" s="60"/>
      <c r="I113" s="75">
        <f>I86+I111</f>
        <v>55137.249711333345</v>
      </c>
    </row>
    <row r="114" spans="1:9" ht="15.75">
      <c r="A114" s="227" t="s">
        <v>281</v>
      </c>
      <c r="B114" s="227"/>
      <c r="C114" s="227"/>
      <c r="D114" s="227"/>
      <c r="E114" s="227"/>
      <c r="F114" s="227"/>
      <c r="G114" s="227"/>
      <c r="H114" s="227"/>
      <c r="I114" s="227"/>
    </row>
    <row r="115" spans="1:9" ht="15.75">
      <c r="A115" s="204"/>
      <c r="B115" s="228" t="s">
        <v>282</v>
      </c>
      <c r="C115" s="228"/>
      <c r="D115" s="228"/>
      <c r="E115" s="228"/>
      <c r="F115" s="228"/>
      <c r="G115" s="228"/>
      <c r="H115" s="245"/>
      <c r="I115" s="3"/>
    </row>
    <row r="116" spans="1:9">
      <c r="A116" s="200"/>
      <c r="B116" s="216" t="s">
        <v>7</v>
      </c>
      <c r="C116" s="216"/>
      <c r="D116" s="216"/>
      <c r="E116" s="216"/>
      <c r="F116" s="216"/>
      <c r="G116" s="216"/>
      <c r="H116" s="36"/>
      <c r="I116" s="5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5.75">
      <c r="A118" s="229" t="s">
        <v>8</v>
      </c>
      <c r="B118" s="229"/>
      <c r="C118" s="229"/>
      <c r="D118" s="229"/>
      <c r="E118" s="229"/>
      <c r="F118" s="229"/>
      <c r="G118" s="229"/>
      <c r="H118" s="229"/>
      <c r="I118" s="229"/>
    </row>
    <row r="119" spans="1:9" ht="15.75">
      <c r="A119" s="229" t="s">
        <v>9</v>
      </c>
      <c r="B119" s="229"/>
      <c r="C119" s="229"/>
      <c r="D119" s="229"/>
      <c r="E119" s="229"/>
      <c r="F119" s="229"/>
      <c r="G119" s="229"/>
      <c r="H119" s="229"/>
      <c r="I119" s="229"/>
    </row>
    <row r="120" spans="1:9" ht="15.75">
      <c r="A120" s="225" t="s">
        <v>81</v>
      </c>
      <c r="B120" s="225"/>
      <c r="C120" s="225"/>
      <c r="D120" s="225"/>
      <c r="E120" s="225"/>
      <c r="F120" s="225"/>
      <c r="G120" s="225"/>
      <c r="H120" s="225"/>
      <c r="I120" s="225"/>
    </row>
    <row r="121" spans="1:9" ht="15.75">
      <c r="A121" s="12"/>
    </row>
    <row r="122" spans="1:9" ht="15.75">
      <c r="A122" s="226" t="s">
        <v>11</v>
      </c>
      <c r="B122" s="226"/>
      <c r="C122" s="226"/>
      <c r="D122" s="226"/>
      <c r="E122" s="226"/>
      <c r="F122" s="226"/>
      <c r="G122" s="226"/>
      <c r="H122" s="226"/>
      <c r="I122" s="226"/>
    </row>
    <row r="123" spans="1:9" ht="15.75">
      <c r="A123" s="4"/>
    </row>
    <row r="124" spans="1:9" ht="15.75">
      <c r="B124" s="203" t="s">
        <v>12</v>
      </c>
      <c r="C124" s="218" t="s">
        <v>140</v>
      </c>
      <c r="D124" s="218"/>
      <c r="E124" s="218"/>
      <c r="F124" s="243"/>
      <c r="I124" s="199"/>
    </row>
    <row r="125" spans="1:9">
      <c r="A125" s="200"/>
      <c r="C125" s="216" t="s">
        <v>13</v>
      </c>
      <c r="D125" s="216"/>
      <c r="E125" s="216"/>
      <c r="F125" s="36"/>
      <c r="I125" s="198" t="s">
        <v>14</v>
      </c>
    </row>
    <row r="126" spans="1:9" ht="15.75">
      <c r="A126" s="37"/>
      <c r="C126" s="13"/>
      <c r="D126" s="13"/>
      <c r="G126" s="13"/>
      <c r="H126" s="13"/>
    </row>
    <row r="127" spans="1:9" ht="15.75">
      <c r="B127" s="203" t="s">
        <v>15</v>
      </c>
      <c r="C127" s="217"/>
      <c r="D127" s="217"/>
      <c r="E127" s="217"/>
      <c r="F127" s="244"/>
      <c r="I127" s="199"/>
    </row>
    <row r="128" spans="1:9">
      <c r="A128" s="200"/>
      <c r="C128" s="211" t="s">
        <v>13</v>
      </c>
      <c r="D128" s="211"/>
      <c r="E128" s="211"/>
      <c r="F128" s="200"/>
      <c r="I128" s="198" t="s">
        <v>14</v>
      </c>
    </row>
    <row r="129" spans="1:9" ht="15.75">
      <c r="A129" s="4" t="s">
        <v>16</v>
      </c>
    </row>
    <row r="130" spans="1:9">
      <c r="A130" s="224" t="s">
        <v>17</v>
      </c>
      <c r="B130" s="224"/>
      <c r="C130" s="224"/>
      <c r="D130" s="224"/>
      <c r="E130" s="224"/>
      <c r="F130" s="224"/>
      <c r="G130" s="224"/>
      <c r="H130" s="224"/>
      <c r="I130" s="224"/>
    </row>
    <row r="131" spans="1:9" ht="45" customHeight="1">
      <c r="A131" s="223" t="s">
        <v>18</v>
      </c>
      <c r="B131" s="223"/>
      <c r="C131" s="223"/>
      <c r="D131" s="223"/>
      <c r="E131" s="223"/>
      <c r="F131" s="223"/>
      <c r="G131" s="223"/>
      <c r="H131" s="223"/>
      <c r="I131" s="223"/>
    </row>
    <row r="132" spans="1:9" ht="30" customHeight="1">
      <c r="A132" s="223" t="s">
        <v>19</v>
      </c>
      <c r="B132" s="223"/>
      <c r="C132" s="223"/>
      <c r="D132" s="223"/>
      <c r="E132" s="223"/>
      <c r="F132" s="223"/>
      <c r="G132" s="223"/>
      <c r="H132" s="223"/>
      <c r="I132" s="223"/>
    </row>
    <row r="133" spans="1:9" ht="30" customHeight="1">
      <c r="A133" s="223" t="s">
        <v>24</v>
      </c>
      <c r="B133" s="223"/>
      <c r="C133" s="223"/>
      <c r="D133" s="223"/>
      <c r="E133" s="223"/>
      <c r="F133" s="223"/>
      <c r="G133" s="223"/>
      <c r="H133" s="223"/>
      <c r="I133" s="223"/>
    </row>
    <row r="134" spans="1:9" ht="15.75">
      <c r="A134" s="223" t="s">
        <v>23</v>
      </c>
      <c r="B134" s="223"/>
      <c r="C134" s="223"/>
      <c r="D134" s="223"/>
      <c r="E134" s="223"/>
      <c r="F134" s="223"/>
      <c r="G134" s="223"/>
      <c r="H134" s="223"/>
      <c r="I134" s="223"/>
    </row>
  </sheetData>
  <autoFilter ref="I12:I62"/>
  <mergeCells count="28">
    <mergeCell ref="A131:I131"/>
    <mergeCell ref="A132:I132"/>
    <mergeCell ref="A133:I133"/>
    <mergeCell ref="A134:I134"/>
    <mergeCell ref="A122:I122"/>
    <mergeCell ref="C124:E124"/>
    <mergeCell ref="C125:E125"/>
    <mergeCell ref="C127:E127"/>
    <mergeCell ref="C128:E128"/>
    <mergeCell ref="A130:I130"/>
    <mergeCell ref="A114:I114"/>
    <mergeCell ref="B115:G115"/>
    <mergeCell ref="B116:G116"/>
    <mergeCell ref="A118:I118"/>
    <mergeCell ref="A119:I119"/>
    <mergeCell ref="A120:I120"/>
    <mergeCell ref="A15:I15"/>
    <mergeCell ref="A29:I29"/>
    <mergeCell ref="A47:I47"/>
    <mergeCell ref="A58:I5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309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83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42674</v>
      </c>
      <c r="J6" s="2"/>
      <c r="K6" s="2"/>
      <c r="L6" s="2"/>
      <c r="M6" s="2"/>
    </row>
    <row r="7" spans="1:13" ht="15.7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hidden="1" customHeight="1">
      <c r="A19" s="46"/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v>0</v>
      </c>
      <c r="J19" s="31"/>
      <c r="K19" s="8"/>
      <c r="L19" s="8"/>
      <c r="M19" s="8"/>
    </row>
    <row r="20" spans="1:13" ht="15" hidden="1" customHeight="1">
      <c r="A20" s="46"/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v>0</v>
      </c>
      <c r="J20" s="31"/>
      <c r="K20" s="8"/>
      <c r="L20" s="8"/>
      <c r="M20" s="8"/>
    </row>
    <row r="21" spans="1:13" ht="15" hidden="1" customHeight="1">
      <c r="A21" s="46"/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v>0</v>
      </c>
      <c r="J21" s="31"/>
      <c r="K21" s="8"/>
      <c r="L21" s="8"/>
      <c r="M21" s="8"/>
    </row>
    <row r="22" spans="1:13" ht="15" hidden="1" customHeight="1">
      <c r="A22" s="46"/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v>0</v>
      </c>
      <c r="J22" s="31"/>
      <c r="K22" s="8"/>
      <c r="L22" s="8"/>
      <c r="M22" s="8"/>
    </row>
    <row r="23" spans="1:13" ht="15" hidden="1" customHeight="1">
      <c r="A23" s="46"/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v>0</v>
      </c>
      <c r="J23" s="31"/>
      <c r="K23" s="8"/>
      <c r="L23" s="8"/>
      <c r="M23" s="8"/>
    </row>
    <row r="24" spans="1:13" ht="15" hidden="1" customHeight="1">
      <c r="A24" s="46"/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v>0</v>
      </c>
      <c r="J24" s="31"/>
      <c r="K24" s="8"/>
      <c r="L24" s="8"/>
      <c r="M24" s="8"/>
    </row>
    <row r="25" spans="1:13" ht="15" hidden="1" customHeight="1">
      <c r="A25" s="46"/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v>0</v>
      </c>
      <c r="J25" s="31"/>
      <c r="K25" s="8"/>
      <c r="L25" s="8"/>
      <c r="M25" s="8"/>
    </row>
    <row r="26" spans="1:13" ht="15" hidden="1" customHeight="1">
      <c r="A26" s="46"/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v>0</v>
      </c>
      <c r="J26" s="31"/>
      <c r="K26" s="8"/>
      <c r="L26" s="8"/>
      <c r="M26" s="8"/>
    </row>
    <row r="27" spans="1:13" ht="15" customHeight="1">
      <c r="A27" s="46">
        <v>4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5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customHeight="1">
      <c r="A31" s="46">
        <v>6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1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customHeight="1">
      <c r="A32" s="46">
        <v>7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1"/>
        <v>1.3717735199999999</v>
      </c>
      <c r="I32" s="16">
        <f t="shared" ref="I32:I35" si="2">F32/6*G32</f>
        <v>228.62891999999999</v>
      </c>
      <c r="J32" s="31"/>
      <c r="K32" s="8"/>
      <c r="L32" s="8"/>
      <c r="M32" s="8"/>
    </row>
    <row r="33" spans="1:14" ht="15" hidden="1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1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customHeight="1">
      <c r="A34" s="46">
        <v>8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2"/>
        <v>1345.4206666666669</v>
      </c>
      <c r="J34" s="31"/>
      <c r="K34" s="8"/>
      <c r="L34" s="8"/>
      <c r="M34" s="8"/>
    </row>
    <row r="35" spans="1:14" ht="15" customHeight="1">
      <c r="A35" s="46">
        <v>9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2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1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1"/>
        <v>2.27264</v>
      </c>
      <c r="I37" s="16">
        <v>0</v>
      </c>
      <c r="J37" s="32"/>
    </row>
    <row r="38" spans="1:14" ht="15" hidden="1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hidden="1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3">SUM(F39*G39/1000)</f>
        <v>9.1633200000000006</v>
      </c>
      <c r="I39" s="16">
        <f>F39/6*G39</f>
        <v>1527.22</v>
      </c>
      <c r="J39" s="32"/>
    </row>
    <row r="40" spans="1:14" ht="15" hidden="1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3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hidden="1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hidden="1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3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hidden="1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3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hidden="1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3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hidden="1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3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hidden="1" customHeight="1">
      <c r="A48" s="46"/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4">SUM(F48*G48/1000)</f>
        <v>1.7187541239999997</v>
      </c>
      <c r="I48" s="16">
        <v>0</v>
      </c>
      <c r="J48" s="32"/>
      <c r="L48" s="25"/>
      <c r="M48" s="26"/>
      <c r="N48" s="27"/>
    </row>
    <row r="49" spans="1:22" ht="15" hidden="1" customHeight="1">
      <c r="A49" s="46"/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4"/>
        <v>6.0265920000000001E-2</v>
      </c>
      <c r="I49" s="16">
        <v>0</v>
      </c>
      <c r="J49" s="32"/>
      <c r="L49" s="25"/>
      <c r="M49" s="26"/>
      <c r="N49" s="27"/>
    </row>
    <row r="50" spans="1:22" ht="15" hidden="1" customHeight="1">
      <c r="A50" s="46"/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4"/>
        <v>1.4357196480000001</v>
      </c>
      <c r="I50" s="16">
        <v>0</v>
      </c>
      <c r="J50" s="32"/>
      <c r="L50" s="25"/>
      <c r="M50" s="26"/>
      <c r="N50" s="27"/>
    </row>
    <row r="51" spans="1:22" ht="15" hidden="1" customHeight="1">
      <c r="A51" s="46"/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4"/>
        <v>2.1771028954</v>
      </c>
      <c r="I51" s="16">
        <v>0</v>
      </c>
      <c r="J51" s="32"/>
      <c r="L51" s="25"/>
      <c r="M51" s="26"/>
      <c r="N51" s="27"/>
    </row>
    <row r="52" spans="1:22" ht="15" hidden="1" customHeight="1">
      <c r="A52" s="46"/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4"/>
        <v>0.124912836</v>
      </c>
      <c r="I52" s="16">
        <v>0</v>
      </c>
      <c r="J52" s="32"/>
      <c r="L52" s="25"/>
      <c r="M52" s="26"/>
      <c r="N52" s="27"/>
    </row>
    <row r="53" spans="1:22" ht="15" hidden="1" customHeight="1">
      <c r="A53" s="46">
        <v>13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4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customHeight="1">
      <c r="A54" s="46">
        <v>10</v>
      </c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4"/>
        <v>2.1455563999999998</v>
      </c>
      <c r="I54" s="16">
        <f>F54/2*G54</f>
        <v>1072.7782</v>
      </c>
      <c r="J54" s="32"/>
      <c r="L54" s="25"/>
      <c r="M54" s="26"/>
      <c r="N54" s="27"/>
    </row>
    <row r="55" spans="1:22" ht="31.5" customHeight="1">
      <c r="A55" s="46">
        <v>11</v>
      </c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4"/>
        <v>1.0921959999999999</v>
      </c>
      <c r="I55" s="16">
        <f t="shared" ref="I55:I56" si="5">F55/2*G55</f>
        <v>546.09799999999996</v>
      </c>
      <c r="J55" s="32"/>
      <c r="L55" s="25"/>
      <c r="M55" s="26"/>
      <c r="N55" s="27"/>
    </row>
    <row r="56" spans="1:22" ht="15" customHeight="1">
      <c r="A56" s="46">
        <v>12</v>
      </c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4"/>
        <v>0.11304260000000001</v>
      </c>
      <c r="I56" s="16">
        <f t="shared" si="5"/>
        <v>56.521300000000004</v>
      </c>
      <c r="J56" s="32"/>
      <c r="L56" s="25"/>
      <c r="M56" s="26"/>
      <c r="N56" s="27"/>
    </row>
    <row r="57" spans="1:22" ht="15" hidden="1" customHeight="1">
      <c r="A57" s="46">
        <v>14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4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251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hidden="1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hidden="1" customHeight="1">
      <c r="A60" s="46">
        <v>15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13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customHeight="1">
      <c r="A65" s="46">
        <v>14</v>
      </c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80" si="6">SUM(F65*G65/1000)</f>
        <v>4.4480000000000004</v>
      </c>
      <c r="I65" s="16">
        <f>G65</f>
        <v>222.4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46">
        <v>17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6"/>
        <v>#VALUE!</v>
      </c>
      <c r="I66" s="16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46"/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6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hidden="1" customHeight="1">
      <c r="A68" s="46"/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6"/>
        <v>2.08941087</v>
      </c>
      <c r="I68" s="16">
        <f t="shared" ref="I68:I72" si="7">F68*G68</f>
        <v>2089.4108700000002</v>
      </c>
    </row>
    <row r="69" spans="1:21" ht="15" hidden="1" customHeight="1">
      <c r="A69" s="46"/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6"/>
        <v>39.417970000000004</v>
      </c>
      <c r="I69" s="16">
        <f t="shared" si="7"/>
        <v>39417.97</v>
      </c>
    </row>
    <row r="70" spans="1:21" ht="15" hidden="1" customHeight="1">
      <c r="A70" s="46"/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6"/>
        <v>0.48217100000000007</v>
      </c>
      <c r="I70" s="16">
        <f t="shared" si="7"/>
        <v>482.17100000000005</v>
      </c>
    </row>
    <row r="71" spans="1:21" ht="15" hidden="1" customHeight="1">
      <c r="A71" s="46"/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6"/>
        <v>0.44985300000000006</v>
      </c>
      <c r="I71" s="16">
        <f t="shared" si="7"/>
        <v>449.85300000000007</v>
      </c>
    </row>
    <row r="72" spans="1:21" ht="15" hidden="1" customHeight="1">
      <c r="A72" s="46"/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6"/>
        <v>0.29928000000000005</v>
      </c>
      <c r="I72" s="16">
        <f t="shared" si="7"/>
        <v>299.28000000000003</v>
      </c>
    </row>
    <row r="73" spans="1:21" ht="15" hidden="1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hidden="1" customHeight="1">
      <c r="A74" s="46"/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v>0</v>
      </c>
    </row>
    <row r="75" spans="1:21" ht="15" hidden="1" customHeight="1">
      <c r="A75" s="46"/>
      <c r="B75" s="18" t="s">
        <v>233</v>
      </c>
      <c r="C75" s="20" t="s">
        <v>37</v>
      </c>
      <c r="D75" s="18"/>
      <c r="E75" s="23">
        <v>2</v>
      </c>
      <c r="F75" s="16">
        <v>2</v>
      </c>
      <c r="G75" s="16">
        <v>99.85</v>
      </c>
      <c r="H75" s="264">
        <v>0.1</v>
      </c>
      <c r="I75" s="16">
        <v>0</v>
      </c>
    </row>
    <row r="76" spans="1:21" ht="15" hidden="1" customHeight="1">
      <c r="A76" s="46"/>
      <c r="B76" s="18" t="s">
        <v>234</v>
      </c>
      <c r="C76" s="20" t="s">
        <v>37</v>
      </c>
      <c r="D76" s="18"/>
      <c r="E76" s="23">
        <v>1</v>
      </c>
      <c r="F76" s="241">
        <v>1</v>
      </c>
      <c r="G76" s="16">
        <v>120.26</v>
      </c>
      <c r="H76" s="264">
        <v>0.12</v>
      </c>
      <c r="I76" s="16">
        <v>0</v>
      </c>
    </row>
    <row r="77" spans="1:21" ht="15" hidden="1" customHeight="1">
      <c r="A77" s="46"/>
      <c r="B77" s="18" t="s">
        <v>134</v>
      </c>
      <c r="C77" s="20" t="s">
        <v>37</v>
      </c>
      <c r="D77" s="18"/>
      <c r="E77" s="23">
        <v>1</v>
      </c>
      <c r="F77" s="250">
        <f>SUM(E77)</f>
        <v>1</v>
      </c>
      <c r="G77" s="16">
        <v>358.51</v>
      </c>
      <c r="H77" s="264">
        <f t="shared" si="6"/>
        <v>0.35851</v>
      </c>
      <c r="I77" s="16">
        <v>0</v>
      </c>
    </row>
    <row r="78" spans="1:21" ht="15" hidden="1" customHeight="1">
      <c r="A78" s="46"/>
      <c r="B78" s="18" t="s">
        <v>97</v>
      </c>
      <c r="C78" s="20" t="s">
        <v>37</v>
      </c>
      <c r="D78" s="18"/>
      <c r="E78" s="23">
        <v>1</v>
      </c>
      <c r="F78" s="16">
        <v>1</v>
      </c>
      <c r="G78" s="16">
        <v>852.99</v>
      </c>
      <c r="H78" s="264">
        <f>F78*G78/1000</f>
        <v>0.85299000000000003</v>
      </c>
      <c r="I78" s="16">
        <v>0</v>
      </c>
    </row>
    <row r="79" spans="1:21" ht="15" hidden="1" customHeight="1">
      <c r="A79" s="46"/>
      <c r="B79" s="266" t="s">
        <v>99</v>
      </c>
      <c r="C79" s="20"/>
      <c r="D79" s="18"/>
      <c r="E79" s="23"/>
      <c r="F79" s="16"/>
      <c r="G79" s="16" t="s">
        <v>224</v>
      </c>
      <c r="H79" s="264" t="s">
        <v>224</v>
      </c>
      <c r="I79" s="16"/>
    </row>
    <row r="80" spans="1:21" ht="15" hidden="1" customHeight="1">
      <c r="A80" s="46"/>
      <c r="B80" s="82" t="s">
        <v>225</v>
      </c>
      <c r="C80" s="20" t="s">
        <v>100</v>
      </c>
      <c r="D80" s="18"/>
      <c r="E80" s="23"/>
      <c r="F80" s="16">
        <v>0.2</v>
      </c>
      <c r="G80" s="16">
        <v>2759.44</v>
      </c>
      <c r="H80" s="264">
        <f t="shared" si="6"/>
        <v>0.55188800000000005</v>
      </c>
      <c r="I80" s="16">
        <v>0</v>
      </c>
    </row>
    <row r="81" spans="1:9" ht="15" hidden="1" customHeight="1">
      <c r="A81" s="46"/>
      <c r="B81" s="254" t="s">
        <v>222</v>
      </c>
      <c r="C81" s="266"/>
      <c r="D81" s="52"/>
      <c r="E81" s="54"/>
      <c r="F81" s="255"/>
      <c r="G81" s="255"/>
      <c r="H81" s="267" t="e">
        <f>SUM(H60:H80)</f>
        <v>#VALUE!</v>
      </c>
      <c r="I81" s="255"/>
    </row>
    <row r="82" spans="1:9" ht="15" hidden="1" customHeight="1">
      <c r="A82" s="46"/>
      <c r="B82" s="247" t="s">
        <v>223</v>
      </c>
      <c r="C82" s="20"/>
      <c r="D82" s="18"/>
      <c r="E82" s="242"/>
      <c r="F82" s="16">
        <v>1</v>
      </c>
      <c r="G82" s="16">
        <v>13437.4</v>
      </c>
      <c r="H82" s="264">
        <f>G82*F82/1000</f>
        <v>13.4374</v>
      </c>
      <c r="I82" s="16">
        <v>0</v>
      </c>
    </row>
    <row r="83" spans="1:9" ht="15.75" customHeight="1">
      <c r="A83" s="238" t="s">
        <v>252</v>
      </c>
      <c r="B83" s="239"/>
      <c r="C83" s="239"/>
      <c r="D83" s="239"/>
      <c r="E83" s="239"/>
      <c r="F83" s="239"/>
      <c r="G83" s="239"/>
      <c r="H83" s="239"/>
      <c r="I83" s="240"/>
    </row>
    <row r="84" spans="1:9" ht="15" customHeight="1">
      <c r="A84" s="46">
        <v>15</v>
      </c>
      <c r="B84" s="247" t="s">
        <v>226</v>
      </c>
      <c r="C84" s="20" t="s">
        <v>72</v>
      </c>
      <c r="D84" s="268" t="s">
        <v>73</v>
      </c>
      <c r="E84" s="16">
        <v>3031.3</v>
      </c>
      <c r="F84" s="16">
        <f>SUM(E84*12)</f>
        <v>36375.600000000006</v>
      </c>
      <c r="G84" s="16">
        <v>2.1</v>
      </c>
      <c r="H84" s="264">
        <f>SUM(F84*G84/1000)</f>
        <v>76.388760000000005</v>
      </c>
      <c r="I84" s="16">
        <f>F84/12*G84</f>
        <v>6365.7300000000014</v>
      </c>
    </row>
    <row r="85" spans="1:9" ht="31.5" customHeight="1">
      <c r="A85" s="46">
        <v>16</v>
      </c>
      <c r="B85" s="18" t="s">
        <v>101</v>
      </c>
      <c r="C85" s="20"/>
      <c r="D85" s="268" t="s">
        <v>73</v>
      </c>
      <c r="E85" s="249">
        <f>E84</f>
        <v>3031.3</v>
      </c>
      <c r="F85" s="16">
        <f>E85*12</f>
        <v>36375.600000000006</v>
      </c>
      <c r="G85" s="16">
        <v>1.63</v>
      </c>
      <c r="H85" s="264">
        <f>F85*G85/1000</f>
        <v>59.292228000000001</v>
      </c>
      <c r="I85" s="16">
        <f>F85/12*G85</f>
        <v>4941.0190000000011</v>
      </c>
    </row>
    <row r="86" spans="1:9" ht="15.75" customHeight="1">
      <c r="A86" s="124"/>
      <c r="B86" s="69" t="s">
        <v>107</v>
      </c>
      <c r="C86" s="71"/>
      <c r="D86" s="19"/>
      <c r="E86" s="19"/>
      <c r="F86" s="19"/>
      <c r="G86" s="23"/>
      <c r="H86" s="23"/>
      <c r="I86" s="54">
        <f>I16+I17+I18+I27+I28+I31+I32+I34+I35+I54+I55+I56+I63+I65+I84+I85</f>
        <v>41750.981454955567</v>
      </c>
    </row>
    <row r="87" spans="1:9" ht="15.75" customHeight="1">
      <c r="A87" s="124"/>
      <c r="B87" s="188" t="s">
        <v>79</v>
      </c>
      <c r="C87" s="188"/>
      <c r="D87" s="188"/>
      <c r="E87" s="188"/>
      <c r="F87" s="188"/>
      <c r="G87" s="188"/>
      <c r="H87" s="188"/>
      <c r="I87" s="188"/>
    </row>
    <row r="88" spans="1:9" ht="31.5" customHeight="1">
      <c r="A88" s="46">
        <v>17</v>
      </c>
      <c r="B88" s="189" t="s">
        <v>106</v>
      </c>
      <c r="C88" s="193" t="s">
        <v>216</v>
      </c>
      <c r="D88" s="82"/>
      <c r="E88" s="16"/>
      <c r="F88" s="16">
        <v>8</v>
      </c>
      <c r="G88" s="16">
        <v>79.09</v>
      </c>
      <c r="H88" s="264">
        <f t="shared" ref="H88:H95" si="8">G88*F88/1000</f>
        <v>0.63272000000000006</v>
      </c>
      <c r="I88" s="16">
        <f>G88</f>
        <v>79.09</v>
      </c>
    </row>
    <row r="89" spans="1:9" ht="15" customHeight="1">
      <c r="A89" s="46">
        <v>18</v>
      </c>
      <c r="B89" s="269" t="s">
        <v>119</v>
      </c>
      <c r="C89" s="193" t="s">
        <v>216</v>
      </c>
      <c r="D89" s="82"/>
      <c r="E89" s="16"/>
      <c r="F89" s="16">
        <v>2</v>
      </c>
      <c r="G89" s="16">
        <v>179.96</v>
      </c>
      <c r="H89" s="16">
        <f t="shared" si="8"/>
        <v>0.35992000000000002</v>
      </c>
      <c r="I89" s="16">
        <f>G89</f>
        <v>179.96</v>
      </c>
    </row>
    <row r="90" spans="1:9" ht="15" customHeight="1">
      <c r="A90" s="46">
        <v>19</v>
      </c>
      <c r="B90" s="189" t="s">
        <v>267</v>
      </c>
      <c r="C90" s="193" t="s">
        <v>118</v>
      </c>
      <c r="D90" s="82"/>
      <c r="E90" s="16"/>
      <c r="F90" s="16">
        <v>4</v>
      </c>
      <c r="G90" s="16">
        <v>185.81</v>
      </c>
      <c r="H90" s="264">
        <f t="shared" si="8"/>
        <v>0.74324000000000001</v>
      </c>
      <c r="I90" s="16">
        <f>G90</f>
        <v>185.81</v>
      </c>
    </row>
    <row r="91" spans="1:9" ht="15" customHeight="1">
      <c r="A91" s="46">
        <v>20</v>
      </c>
      <c r="B91" s="189" t="s">
        <v>112</v>
      </c>
      <c r="C91" s="193" t="s">
        <v>216</v>
      </c>
      <c r="D91" s="82"/>
      <c r="E91" s="16"/>
      <c r="F91" s="16">
        <v>3</v>
      </c>
      <c r="G91" s="16">
        <v>180.15</v>
      </c>
      <c r="H91" s="264">
        <f t="shared" si="8"/>
        <v>0.5404500000000001</v>
      </c>
      <c r="I91" s="16">
        <f>G91</f>
        <v>180.15</v>
      </c>
    </row>
    <row r="92" spans="1:9" ht="15" customHeight="1">
      <c r="A92" s="46">
        <v>21</v>
      </c>
      <c r="B92" s="189" t="s">
        <v>143</v>
      </c>
      <c r="C92" s="193" t="s">
        <v>144</v>
      </c>
      <c r="D92" s="82"/>
      <c r="E92" s="16"/>
      <c r="F92" s="16">
        <f>45/3</f>
        <v>15</v>
      </c>
      <c r="G92" s="16">
        <v>1063.47</v>
      </c>
      <c r="H92" s="264">
        <f>G92*F92/1000</f>
        <v>15.952050000000002</v>
      </c>
      <c r="I92" s="16">
        <f>G92*4</f>
        <v>4253.88</v>
      </c>
    </row>
    <row r="93" spans="1:9" ht="15" customHeight="1">
      <c r="A93" s="46">
        <v>22</v>
      </c>
      <c r="B93" s="189" t="s">
        <v>276</v>
      </c>
      <c r="C93" s="193" t="s">
        <v>155</v>
      </c>
      <c r="D93" s="82"/>
      <c r="E93" s="16"/>
      <c r="F93" s="16">
        <v>1</v>
      </c>
      <c r="G93" s="16">
        <v>4627.21</v>
      </c>
      <c r="H93" s="264">
        <f>G93*F93/1000</f>
        <v>4.6272099999999998</v>
      </c>
      <c r="I93" s="16">
        <f>G93</f>
        <v>4627.21</v>
      </c>
    </row>
    <row r="94" spans="1:9" ht="15" customHeight="1">
      <c r="A94" s="46">
        <v>23</v>
      </c>
      <c r="B94" s="191" t="s">
        <v>186</v>
      </c>
      <c r="C94" s="46" t="s">
        <v>216</v>
      </c>
      <c r="D94" s="82"/>
      <c r="E94" s="16"/>
      <c r="F94" s="16">
        <v>2</v>
      </c>
      <c r="G94" s="16">
        <v>470</v>
      </c>
      <c r="H94" s="264">
        <f t="shared" ref="H94" si="9">G94*F94/1000</f>
        <v>0.94</v>
      </c>
      <c r="I94" s="16">
        <f>G94</f>
        <v>470</v>
      </c>
    </row>
    <row r="95" spans="1:9" ht="15" customHeight="1">
      <c r="A95" s="46">
        <v>24</v>
      </c>
      <c r="B95" s="189" t="s">
        <v>179</v>
      </c>
      <c r="C95" s="193" t="s">
        <v>216</v>
      </c>
      <c r="D95" s="82"/>
      <c r="E95" s="16"/>
      <c r="F95" s="16">
        <v>1</v>
      </c>
      <c r="G95" s="16">
        <v>81.73</v>
      </c>
      <c r="H95" s="264">
        <f t="shared" si="8"/>
        <v>8.1729999999999997E-2</v>
      </c>
      <c r="I95" s="16">
        <f>G95</f>
        <v>81.73</v>
      </c>
    </row>
    <row r="96" spans="1:9" ht="15" customHeight="1">
      <c r="A96" s="46">
        <v>25</v>
      </c>
      <c r="B96" s="269" t="s">
        <v>278</v>
      </c>
      <c r="C96" s="246" t="s">
        <v>98</v>
      </c>
      <c r="D96" s="82"/>
      <c r="E96" s="16"/>
      <c r="F96" s="16">
        <f>1/10</f>
        <v>0.1</v>
      </c>
      <c r="G96" s="16">
        <v>9767.5</v>
      </c>
      <c r="H96" s="264">
        <f>G96*F96/1000</f>
        <v>0.97675000000000001</v>
      </c>
      <c r="I96" s="16">
        <f>G96*0.1</f>
        <v>976.75</v>
      </c>
    </row>
    <row r="97" spans="1:9" ht="15.75" customHeight="1">
      <c r="A97" s="46"/>
      <c r="B97" s="76" t="s">
        <v>66</v>
      </c>
      <c r="C97" s="72"/>
      <c r="D97" s="126"/>
      <c r="E97" s="72">
        <v>1</v>
      </c>
      <c r="F97" s="72"/>
      <c r="G97" s="72"/>
      <c r="H97" s="72"/>
      <c r="I97" s="54">
        <f>SUM(I88:I96)</f>
        <v>11034.58</v>
      </c>
    </row>
    <row r="98" spans="1:9" ht="15.75" customHeight="1">
      <c r="A98" s="46"/>
      <c r="B98" s="82" t="s">
        <v>102</v>
      </c>
      <c r="C98" s="19"/>
      <c r="D98" s="19"/>
      <c r="E98" s="73"/>
      <c r="F98" s="73"/>
      <c r="G98" s="74"/>
      <c r="H98" s="74"/>
      <c r="I98" s="22">
        <v>0</v>
      </c>
    </row>
    <row r="99" spans="1:9" ht="15.75" customHeight="1">
      <c r="A99" s="127"/>
      <c r="B99" s="77" t="s">
        <v>67</v>
      </c>
      <c r="C99" s="60"/>
      <c r="D99" s="60"/>
      <c r="E99" s="60"/>
      <c r="F99" s="60"/>
      <c r="G99" s="60"/>
      <c r="H99" s="60"/>
      <c r="I99" s="75">
        <f>I86+I97</f>
        <v>52785.561454955568</v>
      </c>
    </row>
    <row r="100" spans="1:9" ht="15.75">
      <c r="A100" s="227" t="s">
        <v>310</v>
      </c>
      <c r="B100" s="227"/>
      <c r="C100" s="227"/>
      <c r="D100" s="227"/>
      <c r="E100" s="227"/>
      <c r="F100" s="227"/>
      <c r="G100" s="227"/>
      <c r="H100" s="227"/>
      <c r="I100" s="227"/>
    </row>
    <row r="101" spans="1:9" ht="15.75">
      <c r="A101" s="204"/>
      <c r="B101" s="228" t="s">
        <v>311</v>
      </c>
      <c r="C101" s="228"/>
      <c r="D101" s="228"/>
      <c r="E101" s="228"/>
      <c r="F101" s="228"/>
      <c r="G101" s="228"/>
      <c r="H101" s="245"/>
      <c r="I101" s="3"/>
    </row>
    <row r="102" spans="1:9">
      <c r="A102" s="200"/>
      <c r="B102" s="216" t="s">
        <v>7</v>
      </c>
      <c r="C102" s="216"/>
      <c r="D102" s="216"/>
      <c r="E102" s="216"/>
      <c r="F102" s="216"/>
      <c r="G102" s="216"/>
      <c r="H102" s="36"/>
      <c r="I102" s="5"/>
    </row>
    <row r="103" spans="1:9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5.75">
      <c r="A104" s="229" t="s">
        <v>8</v>
      </c>
      <c r="B104" s="229"/>
      <c r="C104" s="229"/>
      <c r="D104" s="229"/>
      <c r="E104" s="229"/>
      <c r="F104" s="229"/>
      <c r="G104" s="229"/>
      <c r="H104" s="229"/>
      <c r="I104" s="229"/>
    </row>
    <row r="105" spans="1:9" ht="15.75">
      <c r="A105" s="229" t="s">
        <v>9</v>
      </c>
      <c r="B105" s="229"/>
      <c r="C105" s="229"/>
      <c r="D105" s="229"/>
      <c r="E105" s="229"/>
      <c r="F105" s="229"/>
      <c r="G105" s="229"/>
      <c r="H105" s="229"/>
      <c r="I105" s="229"/>
    </row>
    <row r="106" spans="1:9" ht="15.75">
      <c r="A106" s="225" t="s">
        <v>81</v>
      </c>
      <c r="B106" s="225"/>
      <c r="C106" s="225"/>
      <c r="D106" s="225"/>
      <c r="E106" s="225"/>
      <c r="F106" s="225"/>
      <c r="G106" s="225"/>
      <c r="H106" s="225"/>
      <c r="I106" s="225"/>
    </row>
    <row r="107" spans="1:9" ht="15.75">
      <c r="A107" s="12"/>
    </row>
    <row r="108" spans="1:9" ht="15.75">
      <c r="A108" s="226" t="s">
        <v>11</v>
      </c>
      <c r="B108" s="226"/>
      <c r="C108" s="226"/>
      <c r="D108" s="226"/>
      <c r="E108" s="226"/>
      <c r="F108" s="226"/>
      <c r="G108" s="226"/>
      <c r="H108" s="226"/>
      <c r="I108" s="226"/>
    </row>
    <row r="109" spans="1:9" ht="15.75">
      <c r="A109" s="4"/>
    </row>
    <row r="110" spans="1:9" ht="15.75">
      <c r="B110" s="203" t="s">
        <v>12</v>
      </c>
      <c r="C110" s="218" t="s">
        <v>140</v>
      </c>
      <c r="D110" s="218"/>
      <c r="E110" s="218"/>
      <c r="F110" s="243"/>
      <c r="I110" s="199"/>
    </row>
    <row r="111" spans="1:9">
      <c r="A111" s="200"/>
      <c r="C111" s="216" t="s">
        <v>13</v>
      </c>
      <c r="D111" s="216"/>
      <c r="E111" s="216"/>
      <c r="F111" s="36"/>
      <c r="I111" s="198" t="s">
        <v>14</v>
      </c>
    </row>
    <row r="112" spans="1:9" ht="15.75">
      <c r="A112" s="37"/>
      <c r="C112" s="13"/>
      <c r="D112" s="13"/>
      <c r="G112" s="13"/>
      <c r="H112" s="13"/>
    </row>
    <row r="113" spans="1:9" ht="15.75">
      <c r="B113" s="203" t="s">
        <v>15</v>
      </c>
      <c r="C113" s="217"/>
      <c r="D113" s="217"/>
      <c r="E113" s="217"/>
      <c r="F113" s="244"/>
      <c r="I113" s="199"/>
    </row>
    <row r="114" spans="1:9">
      <c r="A114" s="200"/>
      <c r="C114" s="211" t="s">
        <v>13</v>
      </c>
      <c r="D114" s="211"/>
      <c r="E114" s="211"/>
      <c r="F114" s="200"/>
      <c r="I114" s="198" t="s">
        <v>14</v>
      </c>
    </row>
    <row r="115" spans="1:9" ht="15.75">
      <c r="A115" s="4" t="s">
        <v>16</v>
      </c>
    </row>
    <row r="116" spans="1:9">
      <c r="A116" s="224" t="s">
        <v>17</v>
      </c>
      <c r="B116" s="224"/>
      <c r="C116" s="224"/>
      <c r="D116" s="224"/>
      <c r="E116" s="224"/>
      <c r="F116" s="224"/>
      <c r="G116" s="224"/>
      <c r="H116" s="224"/>
      <c r="I116" s="224"/>
    </row>
    <row r="117" spans="1:9" ht="45" customHeight="1">
      <c r="A117" s="223" t="s">
        <v>18</v>
      </c>
      <c r="B117" s="223"/>
      <c r="C117" s="223"/>
      <c r="D117" s="223"/>
      <c r="E117" s="223"/>
      <c r="F117" s="223"/>
      <c r="G117" s="223"/>
      <c r="H117" s="223"/>
      <c r="I117" s="223"/>
    </row>
    <row r="118" spans="1:9" ht="30" customHeight="1">
      <c r="A118" s="223" t="s">
        <v>19</v>
      </c>
      <c r="B118" s="223"/>
      <c r="C118" s="223"/>
      <c r="D118" s="223"/>
      <c r="E118" s="223"/>
      <c r="F118" s="223"/>
      <c r="G118" s="223"/>
      <c r="H118" s="223"/>
      <c r="I118" s="223"/>
    </row>
    <row r="119" spans="1:9" ht="30" customHeight="1">
      <c r="A119" s="223" t="s">
        <v>24</v>
      </c>
      <c r="B119" s="223"/>
      <c r="C119" s="223"/>
      <c r="D119" s="223"/>
      <c r="E119" s="223"/>
      <c r="F119" s="223"/>
      <c r="G119" s="223"/>
      <c r="H119" s="223"/>
      <c r="I119" s="223"/>
    </row>
    <row r="120" spans="1:9" ht="15.75">
      <c r="A120" s="223" t="s">
        <v>23</v>
      </c>
      <c r="B120" s="223"/>
      <c r="C120" s="223"/>
      <c r="D120" s="223"/>
      <c r="E120" s="223"/>
      <c r="F120" s="223"/>
      <c r="G120" s="223"/>
      <c r="H120" s="223"/>
      <c r="I120" s="223"/>
    </row>
  </sheetData>
  <autoFilter ref="I12:I62"/>
  <mergeCells count="28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0:I100"/>
    <mergeCell ref="B101:G101"/>
    <mergeCell ref="B102:G102"/>
    <mergeCell ref="A104:I104"/>
    <mergeCell ref="A105:I105"/>
    <mergeCell ref="A106:I106"/>
    <mergeCell ref="A15:I15"/>
    <mergeCell ref="A29:I29"/>
    <mergeCell ref="A47:I47"/>
    <mergeCell ref="A58:I5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17"/>
  <sheetViews>
    <sheetView view="pageLayout" zoomScale="77" zoomScaleNormal="77" zoomScalePageLayoutView="77" workbookViewId="0">
      <selection activeCell="A8" sqref="A8:G10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21.75" customHeight="1">
      <c r="B1" s="158" t="s">
        <v>126</v>
      </c>
      <c r="G1" s="53"/>
      <c r="H1" s="1"/>
      <c r="I1" s="1"/>
      <c r="J1" s="1"/>
      <c r="K1" s="1"/>
    </row>
    <row r="2" spans="1:11" ht="18.75">
      <c r="B2" s="159" t="s">
        <v>84</v>
      </c>
      <c r="H2" s="2"/>
      <c r="I2" s="2"/>
      <c r="J2" s="2"/>
      <c r="K2" s="2"/>
    </row>
    <row r="3" spans="1:11" ht="15.75" customHeight="1">
      <c r="A3" s="206" t="s">
        <v>253</v>
      </c>
      <c r="B3" s="206"/>
      <c r="C3" s="206"/>
      <c r="D3" s="206"/>
      <c r="E3" s="206"/>
      <c r="F3" s="206"/>
      <c r="G3" s="206"/>
      <c r="H3" s="3"/>
      <c r="I3" s="3"/>
      <c r="J3" s="3"/>
    </row>
    <row r="4" spans="1:11" ht="42.75" customHeight="1">
      <c r="A4" s="207" t="s">
        <v>183</v>
      </c>
      <c r="B4" s="207"/>
      <c r="C4" s="207"/>
      <c r="D4" s="207"/>
      <c r="E4" s="207"/>
      <c r="F4" s="207"/>
      <c r="G4" s="207"/>
    </row>
    <row r="5" spans="1:11" ht="18.75">
      <c r="A5" s="2"/>
      <c r="B5" s="208" t="s">
        <v>127</v>
      </c>
      <c r="C5" s="208"/>
      <c r="D5" s="208"/>
      <c r="E5" s="208"/>
      <c r="F5" s="208"/>
      <c r="H5" s="2"/>
      <c r="I5" s="2"/>
      <c r="J5" s="2"/>
      <c r="K5" s="2"/>
    </row>
    <row r="6" spans="1:11" ht="18.75">
      <c r="A6" s="2"/>
      <c r="B6" s="33"/>
      <c r="C6" s="33"/>
      <c r="D6" s="33"/>
      <c r="E6" s="33"/>
      <c r="F6" s="33"/>
      <c r="G6" s="157">
        <v>42704</v>
      </c>
      <c r="H6" s="2"/>
      <c r="I6" s="2"/>
      <c r="J6" s="2"/>
      <c r="K6" s="2"/>
    </row>
    <row r="7" spans="1:11" ht="16.5" customHeight="1">
      <c r="B7" s="38"/>
      <c r="C7" s="38"/>
      <c r="D7" s="38"/>
      <c r="E7" s="3"/>
      <c r="F7" s="3"/>
      <c r="H7" s="3"/>
      <c r="I7" s="3"/>
      <c r="J7" s="3"/>
      <c r="K7" s="3"/>
    </row>
    <row r="8" spans="1:11" ht="84.75" customHeight="1">
      <c r="A8" s="209" t="s">
        <v>248</v>
      </c>
      <c r="B8" s="209"/>
      <c r="C8" s="209"/>
      <c r="D8" s="209"/>
      <c r="E8" s="209"/>
      <c r="F8" s="209"/>
      <c r="G8" s="209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210" t="s">
        <v>249</v>
      </c>
      <c r="B10" s="210"/>
      <c r="C10" s="210"/>
      <c r="D10" s="210"/>
      <c r="E10" s="210"/>
      <c r="F10" s="210"/>
      <c r="G10" s="210"/>
      <c r="H10" s="2"/>
      <c r="I10" s="2"/>
      <c r="J10" s="2"/>
      <c r="K10" s="2"/>
    </row>
    <row r="11" spans="1:11" ht="17.25" customHeight="1">
      <c r="A11" s="4"/>
    </row>
    <row r="12" spans="1:11" ht="67.5" customHeight="1">
      <c r="A12" s="90" t="s">
        <v>0</v>
      </c>
      <c r="B12" s="90" t="s">
        <v>125</v>
      </c>
      <c r="C12" s="90" t="s">
        <v>2</v>
      </c>
      <c r="D12" s="90" t="s">
        <v>20</v>
      </c>
      <c r="E12" s="90" t="s">
        <v>21</v>
      </c>
      <c r="F12" s="90" t="s">
        <v>25</v>
      </c>
      <c r="G12" s="90" t="s">
        <v>3</v>
      </c>
    </row>
    <row r="13" spans="1:11" ht="15.75">
      <c r="A13" s="128">
        <v>1</v>
      </c>
      <c r="B13" s="128">
        <v>2</v>
      </c>
      <c r="C13" s="128">
        <v>3</v>
      </c>
      <c r="D13" s="149">
        <v>4</v>
      </c>
      <c r="E13" s="128">
        <v>5</v>
      </c>
      <c r="F13" s="128">
        <v>6</v>
      </c>
      <c r="G13" s="128">
        <v>7</v>
      </c>
      <c r="H13" s="8"/>
      <c r="I13" s="8"/>
      <c r="J13" s="8"/>
      <c r="K13" s="8"/>
    </row>
    <row r="14" spans="1:11" ht="18.75" customHeight="1">
      <c r="A14" s="219" t="s">
        <v>4</v>
      </c>
      <c r="B14" s="220"/>
      <c r="C14" s="220"/>
      <c r="D14" s="220"/>
      <c r="E14" s="220"/>
      <c r="F14" s="220"/>
      <c r="G14" s="221"/>
      <c r="H14" s="8"/>
      <c r="I14" s="8"/>
      <c r="J14" s="8"/>
      <c r="K14" s="8"/>
    </row>
    <row r="15" spans="1:11" ht="30.75" customHeight="1">
      <c r="A15" s="86">
        <v>1</v>
      </c>
      <c r="B15" s="95" t="s">
        <v>128</v>
      </c>
      <c r="C15" s="86" t="s">
        <v>68</v>
      </c>
      <c r="D15" s="86" t="s">
        <v>129</v>
      </c>
      <c r="E15" s="86"/>
      <c r="F15" s="86">
        <v>175.38</v>
      </c>
      <c r="G15" s="110">
        <v>1367.05</v>
      </c>
      <c r="H15" s="8"/>
      <c r="I15" s="8"/>
      <c r="J15" s="8"/>
      <c r="K15" s="8"/>
    </row>
    <row r="16" spans="1:11" ht="31.5" customHeight="1">
      <c r="A16" s="86">
        <v>2</v>
      </c>
      <c r="B16" s="95" t="s">
        <v>149</v>
      </c>
      <c r="C16" s="86" t="s">
        <v>68</v>
      </c>
      <c r="D16" s="86" t="s">
        <v>164</v>
      </c>
      <c r="E16" s="86"/>
      <c r="F16" s="86">
        <v>175.38</v>
      </c>
      <c r="G16" s="110">
        <v>3645.47</v>
      </c>
      <c r="H16" s="8"/>
      <c r="I16" s="8"/>
      <c r="J16" s="8"/>
      <c r="K16" s="8"/>
    </row>
    <row r="17" spans="1:11" ht="31.5" customHeight="1">
      <c r="A17" s="86">
        <v>3</v>
      </c>
      <c r="B17" s="152" t="s">
        <v>150</v>
      </c>
      <c r="C17" s="86" t="s">
        <v>68</v>
      </c>
      <c r="D17" s="86" t="s">
        <v>105</v>
      </c>
      <c r="E17" s="86"/>
      <c r="F17" s="110">
        <v>504.5</v>
      </c>
      <c r="G17" s="86">
        <v>3024.98</v>
      </c>
      <c r="H17" s="8"/>
      <c r="I17" s="8"/>
      <c r="J17" s="8"/>
      <c r="K17" s="8"/>
    </row>
    <row r="18" spans="1:11" ht="24" hidden="1" customHeight="1">
      <c r="A18" s="86">
        <v>4</v>
      </c>
      <c r="B18" s="106" t="s">
        <v>162</v>
      </c>
      <c r="C18" s="86" t="s">
        <v>68</v>
      </c>
      <c r="D18" s="86" t="s">
        <v>36</v>
      </c>
      <c r="E18" s="86"/>
      <c r="F18" s="110">
        <v>193.55</v>
      </c>
      <c r="G18" s="86">
        <v>83.61</v>
      </c>
      <c r="H18" s="8"/>
      <c r="I18" s="8"/>
      <c r="J18" s="8"/>
      <c r="K18" s="8"/>
    </row>
    <row r="19" spans="1:11" ht="21" hidden="1" customHeight="1">
      <c r="A19" s="86">
        <v>5</v>
      </c>
      <c r="B19" s="106" t="s">
        <v>163</v>
      </c>
      <c r="C19" s="86" t="s">
        <v>68</v>
      </c>
      <c r="D19" s="86" t="s">
        <v>36</v>
      </c>
      <c r="E19" s="86"/>
      <c r="F19" s="110">
        <v>191.98</v>
      </c>
      <c r="G19" s="86">
        <v>19.350000000000001</v>
      </c>
      <c r="H19" s="8"/>
      <c r="I19" s="8"/>
      <c r="J19" s="8"/>
      <c r="K19" s="8"/>
    </row>
    <row r="20" spans="1:11" ht="1.5" hidden="1" customHeight="1">
      <c r="A20" s="86">
        <v>6</v>
      </c>
      <c r="B20" s="106" t="s">
        <v>174</v>
      </c>
      <c r="C20" s="86" t="s">
        <v>68</v>
      </c>
      <c r="D20" s="86" t="s">
        <v>36</v>
      </c>
      <c r="E20" s="86"/>
      <c r="F20" s="110">
        <v>389.42</v>
      </c>
      <c r="G20" s="110">
        <v>12.33</v>
      </c>
      <c r="H20" s="8"/>
      <c r="I20" s="8"/>
      <c r="J20" s="8"/>
      <c r="K20" s="8"/>
    </row>
    <row r="21" spans="1:11" ht="18.75" hidden="1" customHeight="1">
      <c r="A21" s="86">
        <v>7</v>
      </c>
      <c r="B21" s="106" t="s">
        <v>175</v>
      </c>
      <c r="C21" s="86" t="s">
        <v>68</v>
      </c>
      <c r="D21" s="86" t="s">
        <v>36</v>
      </c>
      <c r="E21" s="86"/>
      <c r="F21" s="110">
        <v>520.79999999999995</v>
      </c>
      <c r="G21" s="86">
        <v>88.54</v>
      </c>
      <c r="H21" s="8"/>
      <c r="I21" s="8"/>
      <c r="J21" s="8"/>
      <c r="K21" s="8"/>
    </row>
    <row r="22" spans="1:11" ht="18" customHeight="1">
      <c r="A22" s="86">
        <v>4</v>
      </c>
      <c r="B22" s="84" t="s">
        <v>26</v>
      </c>
      <c r="C22" s="85" t="s">
        <v>27</v>
      </c>
      <c r="D22" s="86" t="s">
        <v>28</v>
      </c>
      <c r="E22" s="105" t="e">
        <f>#REF!+#REF!+#REF!+#REF!+#REF!+#REF!+'12.16'!E11+#REF!+#REF!+#REF!+#REF!+#REF!</f>
        <v>#REF!</v>
      </c>
      <c r="F22" s="93">
        <v>5.47</v>
      </c>
      <c r="G22" s="88">
        <v>16581.21</v>
      </c>
      <c r="H22" s="8"/>
      <c r="I22" s="8"/>
      <c r="J22" s="8"/>
      <c r="K22" s="8"/>
    </row>
    <row r="23" spans="1:11" ht="17.25" customHeight="1">
      <c r="A23" s="86">
        <v>5</v>
      </c>
      <c r="B23" s="95" t="s">
        <v>86</v>
      </c>
      <c r="C23" s="96" t="s">
        <v>40</v>
      </c>
      <c r="D23" s="97" t="s">
        <v>122</v>
      </c>
      <c r="E23" s="94">
        <v>0</v>
      </c>
      <c r="F23" s="87">
        <v>147.03</v>
      </c>
      <c r="G23" s="94">
        <v>447.22</v>
      </c>
      <c r="H23" s="8"/>
      <c r="I23" s="8"/>
      <c r="J23" s="8"/>
      <c r="K23" s="8"/>
    </row>
    <row r="24" spans="1:11" ht="18.75" customHeight="1">
      <c r="A24" s="219" t="s">
        <v>123</v>
      </c>
      <c r="B24" s="220"/>
      <c r="C24" s="220"/>
      <c r="D24" s="220"/>
      <c r="E24" s="220"/>
      <c r="F24" s="220"/>
      <c r="G24" s="221"/>
      <c r="H24" s="47"/>
      <c r="I24" s="8"/>
      <c r="J24" s="8"/>
      <c r="K24" s="8"/>
    </row>
    <row r="25" spans="1:11" ht="18.75" customHeight="1">
      <c r="A25" s="83"/>
      <c r="B25" s="98" t="s">
        <v>5</v>
      </c>
      <c r="C25" s="83"/>
      <c r="D25" s="83"/>
      <c r="E25" s="105"/>
      <c r="F25" s="93"/>
      <c r="G25" s="131"/>
      <c r="H25" s="31"/>
      <c r="I25" s="8"/>
      <c r="J25" s="8"/>
      <c r="K25" s="8"/>
    </row>
    <row r="26" spans="1:11" ht="34.5" customHeight="1">
      <c r="A26" s="99">
        <v>6</v>
      </c>
      <c r="B26" s="130" t="s">
        <v>31</v>
      </c>
      <c r="C26" s="92" t="s">
        <v>39</v>
      </c>
      <c r="D26" s="86" t="s">
        <v>30</v>
      </c>
      <c r="E26" s="105" t="e">
        <f>#REF!+#REF!+#REF!+#REF!+#REF!+#REF!+'12.16'!E26+#REF!+#REF!+#REF!+#REF!+#REF!</f>
        <v>#REF!</v>
      </c>
      <c r="F26" s="101">
        <v>1527.22</v>
      </c>
      <c r="G26" s="88">
        <v>1527.22</v>
      </c>
      <c r="H26" s="31"/>
      <c r="I26" s="8"/>
      <c r="J26" s="8"/>
      <c r="K26" s="8"/>
    </row>
    <row r="27" spans="1:11" ht="22.5" customHeight="1">
      <c r="A27" s="99">
        <v>7</v>
      </c>
      <c r="B27" s="162" t="s">
        <v>180</v>
      </c>
      <c r="C27" s="92" t="s">
        <v>35</v>
      </c>
      <c r="D27" s="86" t="s">
        <v>105</v>
      </c>
      <c r="E27" s="105" t="e">
        <f>#REF!+#REF!+#REF!+#REF!+#REF!+#REF!+'12.16'!E27+#REF!+#REF!+#REF!+#REF!+#REF!</f>
        <v>#REF!</v>
      </c>
      <c r="F27" s="101">
        <v>2102.71</v>
      </c>
      <c r="G27" s="88">
        <v>1807.49</v>
      </c>
      <c r="H27" s="31"/>
      <c r="I27" s="44"/>
      <c r="J27" s="8"/>
      <c r="K27" s="8"/>
    </row>
    <row r="28" spans="1:11" ht="35.25" customHeight="1">
      <c r="A28" s="99">
        <v>8</v>
      </c>
      <c r="B28" s="144" t="s">
        <v>152</v>
      </c>
      <c r="C28" s="92" t="s">
        <v>35</v>
      </c>
      <c r="D28" s="86" t="s">
        <v>153</v>
      </c>
      <c r="E28" s="105"/>
      <c r="F28" s="101">
        <v>2102.71</v>
      </c>
      <c r="G28" s="88">
        <v>714.92</v>
      </c>
      <c r="H28" s="31"/>
      <c r="I28" s="44"/>
      <c r="J28" s="8"/>
      <c r="K28" s="8"/>
    </row>
    <row r="29" spans="1:11" ht="21.75" hidden="1" customHeight="1">
      <c r="A29" s="99"/>
      <c r="B29" s="145" t="s">
        <v>154</v>
      </c>
      <c r="C29" s="92" t="s">
        <v>155</v>
      </c>
      <c r="D29" s="86" t="s">
        <v>30</v>
      </c>
      <c r="E29" s="105"/>
      <c r="F29" s="101">
        <v>199.44</v>
      </c>
      <c r="G29" s="88">
        <v>0</v>
      </c>
      <c r="H29" s="31"/>
      <c r="I29" s="44"/>
      <c r="J29" s="8"/>
      <c r="K29" s="8"/>
    </row>
    <row r="30" spans="1:11" ht="20.25" hidden="1" customHeight="1">
      <c r="A30" s="99">
        <v>10</v>
      </c>
      <c r="B30" s="145" t="s">
        <v>165</v>
      </c>
      <c r="C30" s="92" t="s">
        <v>35</v>
      </c>
      <c r="D30" s="86" t="s">
        <v>141</v>
      </c>
      <c r="E30" s="105"/>
      <c r="F30" s="101">
        <v>44.29</v>
      </c>
      <c r="G30" s="88">
        <v>25.097999999999999</v>
      </c>
      <c r="H30" s="31"/>
      <c r="I30" s="44"/>
      <c r="J30" s="8"/>
      <c r="K30" s="8"/>
    </row>
    <row r="31" spans="1:11" ht="36" customHeight="1">
      <c r="A31" s="99">
        <v>9</v>
      </c>
      <c r="B31" s="150" t="s">
        <v>136</v>
      </c>
      <c r="C31" s="92" t="s">
        <v>35</v>
      </c>
      <c r="D31" s="86" t="s">
        <v>124</v>
      </c>
      <c r="E31" s="105" t="e">
        <f>#REF!+#REF!+#REF!+#REF!+#REF!+#REF!+'12.16'!E27+#REF!+#REF!+#REF!+#REF!+#REF!</f>
        <v>#REF!</v>
      </c>
      <c r="F31" s="101">
        <v>350.75</v>
      </c>
      <c r="G31" s="88">
        <v>616.15</v>
      </c>
      <c r="H31" s="31"/>
      <c r="I31" s="44"/>
      <c r="J31" s="8"/>
      <c r="K31" s="8"/>
    </row>
    <row r="32" spans="1:11" ht="64.5" customHeight="1">
      <c r="A32" s="99">
        <v>10</v>
      </c>
      <c r="B32" s="95" t="s">
        <v>117</v>
      </c>
      <c r="C32" s="92" t="s">
        <v>35</v>
      </c>
      <c r="D32" s="86" t="s">
        <v>141</v>
      </c>
      <c r="E32" s="105" t="e">
        <f>#REF!+#REF!+#REF!+#REF!+#REF!+#REF!+'12.16'!E28+#REF!+#REF!+#REF!+#REF!+#REF!</f>
        <v>#REF!</v>
      </c>
      <c r="F32" s="101">
        <v>5803.28</v>
      </c>
      <c r="G32" s="88">
        <v>1578.49</v>
      </c>
      <c r="H32" s="31"/>
      <c r="I32" s="8"/>
      <c r="J32" s="8"/>
      <c r="K32" s="8"/>
    </row>
    <row r="33" spans="1:12" ht="18" customHeight="1">
      <c r="A33" s="99">
        <v>11</v>
      </c>
      <c r="B33" s="130" t="s">
        <v>137</v>
      </c>
      <c r="C33" s="92" t="s">
        <v>35</v>
      </c>
      <c r="D33" s="86" t="s">
        <v>121</v>
      </c>
      <c r="E33" s="88" t="e">
        <f>#REF!+#REF!+#REF!+#REF!+#REF!+#REF!+'12.16'!E30+#REF!+#REF!+#REF!+#REF!+#REF!</f>
        <v>#REF!</v>
      </c>
      <c r="F33" s="101">
        <v>428.7</v>
      </c>
      <c r="G33" s="88">
        <v>218.64</v>
      </c>
      <c r="H33" s="31"/>
      <c r="I33" s="8"/>
      <c r="J33" s="8"/>
      <c r="K33" s="8"/>
    </row>
    <row r="34" spans="1:12" ht="15.75" customHeight="1">
      <c r="A34" s="99">
        <v>12</v>
      </c>
      <c r="B34" s="91" t="s">
        <v>32</v>
      </c>
      <c r="C34" s="85" t="s">
        <v>40</v>
      </c>
      <c r="D34" s="91"/>
      <c r="E34" s="105" t="e">
        <f>#REF!+#REF!+#REF!+#REF!+#REF!+#REF!+'12.16'!E31+#REF!+#REF!+#REF!+#REF!+#REF!</f>
        <v>#REF!</v>
      </c>
      <c r="F34" s="101">
        <v>798</v>
      </c>
      <c r="G34" s="88">
        <v>119.7</v>
      </c>
      <c r="H34" s="31"/>
      <c r="I34" s="8"/>
      <c r="J34" s="8"/>
      <c r="K34" s="8"/>
    </row>
    <row r="35" spans="1:12" ht="15" hidden="1" customHeight="1">
      <c r="A35" s="129"/>
      <c r="B35" s="219" t="s">
        <v>130</v>
      </c>
      <c r="C35" s="220"/>
      <c r="D35" s="220"/>
      <c r="E35" s="220"/>
      <c r="F35" s="220"/>
      <c r="G35" s="221"/>
      <c r="H35" s="48"/>
      <c r="I35" s="8"/>
    </row>
    <row r="36" spans="1:12" ht="22.5" hidden="1" customHeight="1">
      <c r="A36" s="83">
        <v>16</v>
      </c>
      <c r="B36" s="130" t="s">
        <v>41</v>
      </c>
      <c r="C36" s="92" t="s">
        <v>35</v>
      </c>
      <c r="D36" s="86" t="s">
        <v>80</v>
      </c>
      <c r="E36" s="88" t="e">
        <f>#REF!+#REF!+#REF!+#REF!+#REF!+#REF!+'12.16'!E35+#REF!+#REF!+#REF!+#REF!+#REF!</f>
        <v>#REF!</v>
      </c>
      <c r="F36" s="101">
        <v>1098.72</v>
      </c>
      <c r="G36" s="131" t="e">
        <f>#REF!+#REF!+#REF!+#REF!+#REF!+#REF!+'12.16'!G35+#REF!+#REF!+#REF!+#REF!+#REF!</f>
        <v>#REF!</v>
      </c>
      <c r="H36" s="32"/>
    </row>
    <row r="37" spans="1:12" ht="24" hidden="1" customHeight="1">
      <c r="A37" s="83">
        <v>17</v>
      </c>
      <c r="B37" s="130" t="s">
        <v>42</v>
      </c>
      <c r="C37" s="92" t="s">
        <v>43</v>
      </c>
      <c r="D37" s="86" t="s">
        <v>80</v>
      </c>
      <c r="E37" s="88" t="e">
        <f>#REF!+#REF!+#REF!+#REF!+#REF!+#REF!+'12.16'!E36+#REF!+#REF!+#REF!+#REF!+#REF!</f>
        <v>#REF!</v>
      </c>
      <c r="F37" s="101">
        <v>94.18</v>
      </c>
      <c r="G37" s="131" t="e">
        <f>#REF!+#REF!+#REF!+#REF!+#REF!+#REF!+'12.16'!G35+#REF!+#REF!+#REF!+#REF!+#REF!</f>
        <v>#REF!</v>
      </c>
      <c r="H37" s="32"/>
    </row>
    <row r="38" spans="1:12" ht="24" hidden="1" customHeight="1">
      <c r="A38" s="83">
        <v>18</v>
      </c>
      <c r="B38" s="130" t="s">
        <v>44</v>
      </c>
      <c r="C38" s="92" t="s">
        <v>35</v>
      </c>
      <c r="D38" s="86" t="s">
        <v>80</v>
      </c>
      <c r="E38" s="88" t="e">
        <f>#REF!+#REF!+#REF!+#REF!+#REF!+#REF!+'12.16'!E37+#REF!+#REF!+#REF!+#REF!+#REF!</f>
        <v>#REF!</v>
      </c>
      <c r="F38" s="101">
        <v>749.49</v>
      </c>
      <c r="G38" s="131" t="e">
        <f>#REF!+#REF!+#REF!+#REF!+#REF!+#REF!+'12.16'!G36+#REF!+#REF!+#REF!+#REF!+#REF!</f>
        <v>#REF!</v>
      </c>
      <c r="H38" s="32"/>
    </row>
    <row r="39" spans="1:12" ht="24" hidden="1" customHeight="1">
      <c r="A39" s="83">
        <v>19</v>
      </c>
      <c r="B39" s="130" t="s">
        <v>45</v>
      </c>
      <c r="C39" s="92" t="s">
        <v>35</v>
      </c>
      <c r="D39" s="86" t="s">
        <v>80</v>
      </c>
      <c r="E39" s="88" t="e">
        <f>#REF!+#REF!+#REF!+#REF!+#REF!+#REF!+'12.16'!E38+#REF!+#REF!+#REF!+#REF!+#REF!</f>
        <v>#REF!</v>
      </c>
      <c r="F39" s="101">
        <v>749.49</v>
      </c>
      <c r="G39" s="131" t="e">
        <f>#REF!+#REF!+#REF!+#REF!+#REF!+#REF!+'12.16'!G38+#REF!+#REF!+#REF!+#REF!+#REF!</f>
        <v>#REF!</v>
      </c>
      <c r="H39" s="32"/>
    </row>
    <row r="40" spans="1:12" ht="23.25" hidden="1" customHeight="1">
      <c r="A40" s="83">
        <v>20</v>
      </c>
      <c r="B40" s="130" t="s">
        <v>46</v>
      </c>
      <c r="C40" s="92" t="s">
        <v>35</v>
      </c>
      <c r="D40" s="86" t="s">
        <v>80</v>
      </c>
      <c r="E40" s="88" t="e">
        <f>#REF!+#REF!+#REF!+#REF!+#REF!+#REF!+'12.16'!E39+#REF!+#REF!+#REF!+#REF!+#REF!</f>
        <v>#REF!</v>
      </c>
      <c r="F40" s="101">
        <v>784.8</v>
      </c>
      <c r="G40" s="131" t="e">
        <f>#REF!+#REF!+#REF!+#REF!+#REF!+#REF!+'12.16'!G39+#REF!+#REF!+#REF!+#REF!+#REF!</f>
        <v>#REF!</v>
      </c>
      <c r="H40" s="32"/>
    </row>
    <row r="41" spans="1:12" ht="23.25" hidden="1" customHeight="1">
      <c r="A41" s="83">
        <v>21</v>
      </c>
      <c r="B41" s="130" t="s">
        <v>75</v>
      </c>
      <c r="C41" s="92" t="s">
        <v>35</v>
      </c>
      <c r="D41" s="86" t="s">
        <v>80</v>
      </c>
      <c r="E41" s="88" t="e">
        <f>#REF!+#REF!+#REF!+#REF!+#REF!+#REF!+'12.16'!E40+#REF!+#REF!+#REF!+#REF!+#REF!</f>
        <v>#REF!</v>
      </c>
      <c r="F41" s="101">
        <v>1599.61</v>
      </c>
      <c r="G41" s="131" t="e">
        <f>#REF!+#REF!+#REF!+#REF!+#REF!+#REF!+'12.16'!G40+#REF!+#REF!+#REF!+#REF!+#REF!</f>
        <v>#REF!</v>
      </c>
      <c r="H41" s="32"/>
    </row>
    <row r="42" spans="1:12" ht="30.75" hidden="1" customHeight="1">
      <c r="A42" s="83">
        <v>22</v>
      </c>
      <c r="B42" s="130" t="s">
        <v>47</v>
      </c>
      <c r="C42" s="92" t="s">
        <v>35</v>
      </c>
      <c r="D42" s="86" t="s">
        <v>80</v>
      </c>
      <c r="E42" s="88" t="e">
        <f>#REF!+#REF!+#REF!+#REF!+#REF!+#REF!+'12.16'!E41+#REF!+#REF!+#REF!+#REF!+#REF!</f>
        <v>#REF!</v>
      </c>
      <c r="F42" s="101">
        <v>1599.61</v>
      </c>
      <c r="G42" s="131" t="e">
        <f>#REF!+#REF!+#REF!+#REF!+#REF!+#REF!+'12.16'!G41+#REF!+#REF!+#REF!+#REF!+#REF!</f>
        <v>#REF!</v>
      </c>
      <c r="H42" s="32"/>
    </row>
    <row r="43" spans="1:12" ht="30.75" hidden="1" customHeight="1">
      <c r="A43" s="83">
        <v>23</v>
      </c>
      <c r="B43" s="130" t="s">
        <v>48</v>
      </c>
      <c r="C43" s="92" t="s">
        <v>49</v>
      </c>
      <c r="D43" s="86" t="s">
        <v>80</v>
      </c>
      <c r="E43" s="88" t="e">
        <f>#REF!+#REF!+#REF!+#REF!+#REF!+#REF!+'12.16'!E42+#REF!+#REF!+#REF!+#REF!+#REF!</f>
        <v>#REF!</v>
      </c>
      <c r="F43" s="101">
        <v>3599.1</v>
      </c>
      <c r="G43" s="131" t="e">
        <f>#REF!+#REF!+#REF!+#REF!+#REF!+#REF!+'12.16'!G42+#REF!+#REF!+#REF!+#REF!+#REF!</f>
        <v>#REF!</v>
      </c>
      <c r="H43" s="32"/>
      <c r="J43" s="25"/>
      <c r="K43" s="26"/>
      <c r="L43" s="27"/>
    </row>
    <row r="44" spans="1:12" ht="25.5" hidden="1" customHeight="1">
      <c r="A44" s="83">
        <v>24</v>
      </c>
      <c r="B44" s="130" t="s">
        <v>50</v>
      </c>
      <c r="C44" s="92" t="s">
        <v>51</v>
      </c>
      <c r="D44" s="86" t="s">
        <v>80</v>
      </c>
      <c r="E44" s="88" t="e">
        <f>#REF!+#REF!+#REF!+#REF!+#REF!+#REF!+'12.16'!E43+#REF!+#REF!+#REF!+#REF!+#REF!</f>
        <v>#REF!</v>
      </c>
      <c r="F44" s="101">
        <v>7450.14</v>
      </c>
      <c r="G44" s="131" t="e">
        <f>#REF!+#REF!+#REF!+#REF!+#REF!+#REF!+'12.16'!G43+#REF!+#REF!+#REF!+#REF!+#REF!</f>
        <v>#REF!</v>
      </c>
      <c r="H44" s="32"/>
      <c r="J44" s="25"/>
      <c r="K44" s="26"/>
      <c r="L44" s="27"/>
    </row>
    <row r="45" spans="1:12" ht="25.5" hidden="1" customHeight="1">
      <c r="A45" s="83">
        <v>25</v>
      </c>
      <c r="B45" s="132" t="s">
        <v>52</v>
      </c>
      <c r="C45" s="121" t="s">
        <v>37</v>
      </c>
      <c r="D45" s="122" t="s">
        <v>53</v>
      </c>
      <c r="E45" s="88">
        <v>32</v>
      </c>
      <c r="F45" s="101">
        <v>158.66</v>
      </c>
      <c r="G45" s="131">
        <f>E45*F45</f>
        <v>5077.12</v>
      </c>
      <c r="H45" s="32"/>
      <c r="J45" s="25"/>
      <c r="K45" s="26"/>
      <c r="L45" s="27"/>
    </row>
    <row r="46" spans="1:12" ht="16.5" hidden="1" customHeight="1">
      <c r="A46" s="83">
        <v>26</v>
      </c>
      <c r="B46" s="130" t="s">
        <v>54</v>
      </c>
      <c r="C46" s="121" t="s">
        <v>37</v>
      </c>
      <c r="D46" s="86" t="s">
        <v>55</v>
      </c>
      <c r="E46" s="88">
        <v>32</v>
      </c>
      <c r="F46" s="101">
        <v>73.84</v>
      </c>
      <c r="G46" s="131">
        <f>E46*F46</f>
        <v>2362.88</v>
      </c>
      <c r="H46" s="32"/>
      <c r="J46" s="25"/>
      <c r="K46" s="26"/>
      <c r="L46" s="27"/>
    </row>
    <row r="47" spans="1:12" ht="19.5" customHeight="1">
      <c r="A47" s="89"/>
      <c r="B47" s="219" t="s">
        <v>131</v>
      </c>
      <c r="C47" s="220"/>
      <c r="D47" s="220"/>
      <c r="E47" s="220"/>
      <c r="F47" s="220"/>
      <c r="G47" s="221"/>
      <c r="H47" s="49"/>
      <c r="J47" s="25"/>
      <c r="K47" s="26"/>
      <c r="L47" s="27"/>
    </row>
    <row r="48" spans="1:12" ht="20.25" customHeight="1">
      <c r="A48" s="129"/>
      <c r="B48" s="102" t="s">
        <v>56</v>
      </c>
      <c r="C48" s="92"/>
      <c r="D48" s="133"/>
      <c r="E48" s="105"/>
      <c r="F48" s="103"/>
      <c r="G48" s="131"/>
      <c r="H48" s="32"/>
      <c r="J48" s="25"/>
      <c r="K48" s="26"/>
      <c r="L48" s="27"/>
    </row>
    <row r="49" spans="1:12" ht="35.25" customHeight="1">
      <c r="A49" s="83">
        <v>13</v>
      </c>
      <c r="B49" s="163" t="s">
        <v>184</v>
      </c>
      <c r="C49" s="92" t="s">
        <v>68</v>
      </c>
      <c r="D49" s="90" t="s">
        <v>36</v>
      </c>
      <c r="E49" s="88" t="e">
        <f>#REF!+#REF!+#REF!+#REF!+#REF!+#REF!+'12.16'!E50+#REF!+#REF!+#REF!+#REF!+#REF!</f>
        <v>#REF!</v>
      </c>
      <c r="F49" s="101">
        <v>1547.28</v>
      </c>
      <c r="G49" s="88">
        <v>1642.13</v>
      </c>
      <c r="H49" s="32"/>
      <c r="J49" s="25"/>
      <c r="K49" s="26"/>
      <c r="L49" s="27"/>
    </row>
    <row r="50" spans="1:12" ht="1.5" hidden="1" customHeight="1">
      <c r="A50" s="83">
        <v>14</v>
      </c>
      <c r="B50" s="144" t="s">
        <v>156</v>
      </c>
      <c r="C50" s="92" t="s">
        <v>68</v>
      </c>
      <c r="D50" s="90" t="s">
        <v>36</v>
      </c>
      <c r="E50" s="88"/>
      <c r="F50" s="101">
        <v>1547.28</v>
      </c>
      <c r="G50" s="88">
        <v>866.48</v>
      </c>
      <c r="H50" s="32"/>
      <c r="J50" s="25"/>
      <c r="K50" s="26"/>
      <c r="L50" s="27"/>
    </row>
    <row r="51" spans="1:12" ht="48" hidden="1" customHeight="1">
      <c r="A51" s="83">
        <v>15</v>
      </c>
      <c r="B51" s="150" t="s">
        <v>104</v>
      </c>
      <c r="C51" s="92" t="s">
        <v>68</v>
      </c>
      <c r="D51" s="90" t="s">
        <v>36</v>
      </c>
      <c r="E51" s="88"/>
      <c r="F51" s="101">
        <v>1547.28</v>
      </c>
      <c r="G51" s="88">
        <v>123.78</v>
      </c>
      <c r="H51" s="32"/>
      <c r="J51" s="25"/>
      <c r="K51" s="26"/>
      <c r="L51" s="27"/>
    </row>
    <row r="52" spans="1:12" ht="16.5" hidden="1" customHeight="1">
      <c r="A52" s="83">
        <v>14</v>
      </c>
      <c r="B52" s="150" t="s">
        <v>166</v>
      </c>
      <c r="C52" s="92" t="s">
        <v>167</v>
      </c>
      <c r="D52" s="90" t="s">
        <v>55</v>
      </c>
      <c r="E52" s="88"/>
      <c r="F52" s="101">
        <v>180.78</v>
      </c>
      <c r="G52" s="88">
        <v>482.08</v>
      </c>
      <c r="H52" s="32"/>
      <c r="J52" s="25"/>
      <c r="K52" s="26"/>
      <c r="L52" s="27"/>
    </row>
    <row r="53" spans="1:12" ht="17.25" hidden="1" customHeight="1">
      <c r="A53" s="83">
        <v>13</v>
      </c>
      <c r="B53" s="130" t="s">
        <v>132</v>
      </c>
      <c r="C53" s="92" t="s">
        <v>39</v>
      </c>
      <c r="D53" s="90" t="s">
        <v>30</v>
      </c>
      <c r="E53" s="88"/>
      <c r="F53" s="101">
        <v>1501</v>
      </c>
      <c r="G53" s="88">
        <v>750.5</v>
      </c>
      <c r="H53" s="32"/>
      <c r="J53" s="25"/>
      <c r="K53" s="26"/>
      <c r="L53" s="27"/>
    </row>
    <row r="54" spans="1:12" ht="18" customHeight="1">
      <c r="A54" s="83"/>
      <c r="B54" s="102" t="s">
        <v>57</v>
      </c>
      <c r="C54" s="120"/>
      <c r="D54" s="120"/>
      <c r="E54" s="105"/>
      <c r="F54" s="134"/>
      <c r="G54" s="131"/>
      <c r="H54" s="32"/>
      <c r="J54" s="25"/>
      <c r="K54" s="26"/>
      <c r="L54" s="27"/>
    </row>
    <row r="55" spans="1:12" ht="15.75" hidden="1" customHeight="1">
      <c r="A55" s="83">
        <v>29</v>
      </c>
      <c r="B55" s="130" t="s">
        <v>58</v>
      </c>
      <c r="C55" s="92" t="s">
        <v>68</v>
      </c>
      <c r="D55" s="86" t="s">
        <v>69</v>
      </c>
      <c r="E55" s="105" t="e">
        <f>#REF!+#REF!+#REF!+#REF!+#REF!+#REF!+'12.16'!E53+#REF!+#REF!+#REF!+#REF!+#REF!</f>
        <v>#REF!</v>
      </c>
      <c r="F55" s="86">
        <v>793.61</v>
      </c>
      <c r="G55" s="131"/>
      <c r="H55" s="32"/>
      <c r="J55" s="25"/>
      <c r="K55" s="26"/>
      <c r="L55" s="27"/>
    </row>
    <row r="56" spans="1:12" ht="18" customHeight="1">
      <c r="A56" s="83">
        <v>14</v>
      </c>
      <c r="B56" s="144" t="s">
        <v>157</v>
      </c>
      <c r="C56" s="92" t="s">
        <v>29</v>
      </c>
      <c r="D56" s="86" t="s">
        <v>36</v>
      </c>
      <c r="E56" s="105"/>
      <c r="F56" s="110">
        <v>2.6</v>
      </c>
      <c r="G56" s="88">
        <v>459.68</v>
      </c>
      <c r="H56" s="32"/>
      <c r="J56" s="25"/>
      <c r="K56" s="26"/>
      <c r="L56" s="27"/>
    </row>
    <row r="57" spans="1:12" ht="20.25" hidden="1" customHeight="1">
      <c r="A57" s="83"/>
      <c r="B57" s="102" t="s">
        <v>59</v>
      </c>
      <c r="C57" s="92"/>
      <c r="D57" s="90"/>
      <c r="E57" s="105"/>
      <c r="F57" s="86"/>
      <c r="G57" s="131"/>
      <c r="H57" s="32"/>
      <c r="J57" s="25"/>
      <c r="K57" s="26"/>
      <c r="L57" s="27"/>
    </row>
    <row r="58" spans="1:12" ht="19.5" hidden="1" customHeight="1">
      <c r="A58" s="83">
        <v>16</v>
      </c>
      <c r="B58" s="130" t="s">
        <v>60</v>
      </c>
      <c r="C58" s="121" t="s">
        <v>37</v>
      </c>
      <c r="D58" s="90" t="s">
        <v>30</v>
      </c>
      <c r="E58" s="105" t="e">
        <f>#REF!+#REF!+#REF!+#REF!+#REF!+#REF!+'12.16'!E55+#REF!+#REF!+#REF!+#REF!+#REF!</f>
        <v>#REF!</v>
      </c>
      <c r="F58" s="110">
        <v>222.4</v>
      </c>
      <c r="G58" s="88">
        <v>444.8</v>
      </c>
      <c r="H58" s="32"/>
      <c r="J58" s="25"/>
      <c r="K58" s="26"/>
      <c r="L58" s="27"/>
    </row>
    <row r="59" spans="1:12" ht="20.25" hidden="1" customHeight="1">
      <c r="A59" s="135">
        <v>15</v>
      </c>
      <c r="B59" s="106" t="s">
        <v>133</v>
      </c>
      <c r="C59" s="121" t="s">
        <v>148</v>
      </c>
      <c r="D59" s="90" t="s">
        <v>73</v>
      </c>
      <c r="E59" s="105" t="e">
        <f>#REF!+#REF!+#REF!+#REF!+#REF!+#REF!+'12.16'!E56+#REF!+#REF!+#REF!+#REF!+#REF!</f>
        <v>#REF!</v>
      </c>
      <c r="F59" s="86">
        <v>2.16</v>
      </c>
      <c r="G59" s="88">
        <v>5506.92</v>
      </c>
      <c r="H59" s="32"/>
      <c r="J59" s="25"/>
      <c r="K59" s="26"/>
      <c r="L59" s="27"/>
    </row>
    <row r="60" spans="1:12" ht="19.5" hidden="1" customHeight="1">
      <c r="A60" s="135"/>
      <c r="B60" s="102" t="s">
        <v>95</v>
      </c>
      <c r="C60" s="92"/>
      <c r="D60" s="86"/>
      <c r="E60" s="105" t="e">
        <f>#REF!+#REF!+#REF!+#REF!+#REF!+#REF!+'12.16'!E57+#REF!+#REF!+#REF!+#REF!+#REF!</f>
        <v>#REF!</v>
      </c>
      <c r="F60" s="86"/>
      <c r="G60" s="131"/>
      <c r="H60" s="32"/>
      <c r="J60" s="25"/>
      <c r="K60" s="26"/>
      <c r="L60" s="27"/>
    </row>
    <row r="61" spans="1:12" ht="18.75" hidden="1" customHeight="1">
      <c r="A61" s="135">
        <v>16</v>
      </c>
      <c r="B61" s="106" t="s">
        <v>134</v>
      </c>
      <c r="C61" s="92" t="s">
        <v>70</v>
      </c>
      <c r="D61" s="90" t="s">
        <v>30</v>
      </c>
      <c r="E61" s="105" t="e">
        <f>#REF!+#REF!+#REF!+#REF!+#REF!+#REF!+'12.16'!E58+#REF!+#REF!+#REF!+#REF!+#REF!</f>
        <v>#REF!</v>
      </c>
      <c r="F61" s="86">
        <v>446.12</v>
      </c>
      <c r="G61" s="88">
        <v>446.12</v>
      </c>
      <c r="H61" s="32"/>
      <c r="J61" s="25"/>
      <c r="K61" s="26"/>
      <c r="L61" s="27"/>
    </row>
    <row r="62" spans="1:12" ht="17.25" customHeight="1">
      <c r="A62" s="129"/>
      <c r="B62" s="136" t="s">
        <v>71</v>
      </c>
      <c r="C62" s="137"/>
      <c r="D62" s="138"/>
      <c r="E62" s="105"/>
      <c r="F62" s="86"/>
      <c r="G62" s="131"/>
      <c r="H62" s="32"/>
      <c r="J62" s="25"/>
      <c r="K62" s="26"/>
      <c r="L62" s="27"/>
    </row>
    <row r="63" spans="1:12" ht="36" customHeight="1">
      <c r="A63" s="135">
        <v>15</v>
      </c>
      <c r="B63" s="163" t="s">
        <v>65</v>
      </c>
      <c r="C63" s="92" t="s">
        <v>185</v>
      </c>
      <c r="D63" s="86" t="s">
        <v>69</v>
      </c>
      <c r="E63" s="88" t="e">
        <f>#REF!+#REF!+#REF!+#REF!+#REF!+#REF!+'12.16'!#REF!+#REF!+#REF!+#REF!+#REF!+#REF!</f>
        <v>#REF!</v>
      </c>
      <c r="F63" s="110">
        <v>13437.4</v>
      </c>
      <c r="G63" s="88">
        <v>13437.4</v>
      </c>
      <c r="H63" s="32"/>
      <c r="J63" s="25"/>
      <c r="K63" s="26"/>
      <c r="L63" s="27"/>
    </row>
    <row r="64" spans="1:12" ht="17.25" customHeight="1">
      <c r="A64" s="135"/>
      <c r="B64" s="219" t="s">
        <v>135</v>
      </c>
      <c r="C64" s="220"/>
      <c r="D64" s="220"/>
      <c r="E64" s="220"/>
      <c r="F64" s="220"/>
      <c r="G64" s="221"/>
      <c r="H64" s="32"/>
      <c r="J64" s="25"/>
      <c r="K64" s="26"/>
      <c r="L64" s="27"/>
    </row>
    <row r="65" spans="1:12" ht="19.5" customHeight="1">
      <c r="A65" s="135">
        <v>16</v>
      </c>
      <c r="B65" s="151" t="s">
        <v>142</v>
      </c>
      <c r="C65" s="92" t="s">
        <v>72</v>
      </c>
      <c r="D65" s="90" t="s">
        <v>73</v>
      </c>
      <c r="E65" s="105" t="e">
        <f>#REF!+#REF!+#REF!+#REF!+#REF!+#REF!+'12.16'!E64+#REF!+#REF!+#REF!+#REF!+#REF!</f>
        <v>#REF!</v>
      </c>
      <c r="F65" s="146">
        <v>2.1</v>
      </c>
      <c r="G65" s="88">
        <v>6365.73</v>
      </c>
      <c r="H65" s="29" t="e">
        <f>G63+#REF!+#REF!+#REF!+G65</f>
        <v>#REF!</v>
      </c>
      <c r="J65" s="25">
        <f>6846.6/3934.8/12</f>
        <v>0.14500101657009251</v>
      </c>
      <c r="K65" s="26"/>
      <c r="L65" s="27"/>
    </row>
    <row r="66" spans="1:12" ht="47.25">
      <c r="A66" s="86">
        <v>17</v>
      </c>
      <c r="B66" s="106" t="s">
        <v>101</v>
      </c>
      <c r="C66" s="92" t="s">
        <v>72</v>
      </c>
      <c r="D66" s="86" t="s">
        <v>73</v>
      </c>
      <c r="E66" s="90"/>
      <c r="F66" s="100">
        <v>1.63</v>
      </c>
      <c r="G66" s="94">
        <v>4941.0200000000004</v>
      </c>
      <c r="H66" s="30" t="e">
        <f>H24+H35+H47+#REF!+H65</f>
        <v>#REF!</v>
      </c>
      <c r="J66" s="43"/>
    </row>
    <row r="67" spans="1:12" ht="15.75">
      <c r="A67" s="89"/>
      <c r="B67" s="107" t="s">
        <v>107</v>
      </c>
      <c r="C67" s="83"/>
      <c r="D67" s="90"/>
      <c r="E67" s="90"/>
      <c r="F67" s="88"/>
      <c r="G67" s="108">
        <f>SUM(G15+G16+G17+G22+G23+G26+G27+G28+G31+G32+G33+G34+G49+G56+G63+G65+G66)</f>
        <v>58494.500000000015</v>
      </c>
    </row>
    <row r="68" spans="1:12" ht="30.75" customHeight="1">
      <c r="A68" s="45"/>
      <c r="B68" s="139" t="s">
        <v>79</v>
      </c>
      <c r="C68" s="139"/>
      <c r="D68" s="139"/>
      <c r="E68" s="90"/>
      <c r="F68" s="88"/>
      <c r="G68" s="88"/>
    </row>
    <row r="69" spans="1:12" ht="34.5" customHeight="1">
      <c r="A69" s="135">
        <v>18</v>
      </c>
      <c r="B69" s="109" t="s">
        <v>112</v>
      </c>
      <c r="C69" s="86" t="s">
        <v>37</v>
      </c>
      <c r="D69" s="139"/>
      <c r="E69" s="86"/>
      <c r="F69" s="88">
        <v>180.15</v>
      </c>
      <c r="G69" s="88">
        <v>180.15</v>
      </c>
    </row>
    <row r="70" spans="1:12" ht="27" hidden="1" customHeight="1">
      <c r="A70" s="135">
        <v>20</v>
      </c>
      <c r="B70" s="109" t="s">
        <v>138</v>
      </c>
      <c r="C70" s="86" t="s">
        <v>37</v>
      </c>
      <c r="D70" s="139"/>
      <c r="E70" s="86"/>
      <c r="F70" s="88">
        <v>559.62</v>
      </c>
      <c r="G70" s="88">
        <v>0</v>
      </c>
    </row>
    <row r="71" spans="1:12" ht="0.75" hidden="1" customHeight="1">
      <c r="A71" s="135">
        <v>21</v>
      </c>
      <c r="B71" s="109" t="s">
        <v>139</v>
      </c>
      <c r="C71" s="86" t="s">
        <v>109</v>
      </c>
      <c r="D71" s="139"/>
      <c r="E71" s="86"/>
      <c r="F71" s="88">
        <v>1146</v>
      </c>
      <c r="G71" s="88">
        <v>0</v>
      </c>
    </row>
    <row r="72" spans="1:12" ht="30.75" hidden="1" customHeight="1">
      <c r="A72" s="135">
        <v>19</v>
      </c>
      <c r="B72" s="109" t="s">
        <v>106</v>
      </c>
      <c r="C72" s="86" t="s">
        <v>37</v>
      </c>
      <c r="D72" s="139"/>
      <c r="E72" s="86"/>
      <c r="F72" s="88">
        <v>79.09</v>
      </c>
      <c r="G72" s="88">
        <v>0</v>
      </c>
    </row>
    <row r="73" spans="1:12" ht="22.5" customHeight="1">
      <c r="A73" s="135">
        <v>19</v>
      </c>
      <c r="B73" s="147" t="s">
        <v>143</v>
      </c>
      <c r="C73" s="148" t="s">
        <v>144</v>
      </c>
      <c r="D73" s="139"/>
      <c r="E73" s="86"/>
      <c r="F73" s="88">
        <v>1063.47</v>
      </c>
      <c r="G73" s="88">
        <v>5317.35</v>
      </c>
    </row>
    <row r="74" spans="1:12" ht="0.75" hidden="1" customHeight="1">
      <c r="A74" s="135">
        <v>24</v>
      </c>
      <c r="B74" s="109" t="s">
        <v>145</v>
      </c>
      <c r="C74" s="143" t="s">
        <v>109</v>
      </c>
      <c r="D74" s="139"/>
      <c r="E74" s="86"/>
      <c r="F74" s="88">
        <v>1206</v>
      </c>
      <c r="G74" s="88">
        <v>0</v>
      </c>
    </row>
    <row r="75" spans="1:12" ht="24" hidden="1" customHeight="1">
      <c r="A75" s="135">
        <v>20</v>
      </c>
      <c r="B75" s="109" t="s">
        <v>146</v>
      </c>
      <c r="C75" s="143" t="s">
        <v>147</v>
      </c>
      <c r="D75" s="139"/>
      <c r="E75" s="86"/>
      <c r="F75" s="88">
        <v>195.95</v>
      </c>
      <c r="G75" s="88">
        <v>0</v>
      </c>
    </row>
    <row r="76" spans="1:12" ht="51.75" hidden="1" customHeight="1">
      <c r="A76" s="135">
        <v>20</v>
      </c>
      <c r="B76" s="109" t="s">
        <v>116</v>
      </c>
      <c r="C76" s="143" t="s">
        <v>49</v>
      </c>
      <c r="D76" s="139"/>
      <c r="E76" s="86"/>
      <c r="F76" s="88">
        <v>3397.65</v>
      </c>
      <c r="G76" s="88">
        <v>0</v>
      </c>
    </row>
    <row r="77" spans="1:12" ht="20.25" hidden="1" customHeight="1">
      <c r="A77" s="135">
        <v>22</v>
      </c>
      <c r="B77" s="109" t="s">
        <v>158</v>
      </c>
      <c r="C77" s="143" t="s">
        <v>159</v>
      </c>
      <c r="D77" s="139"/>
      <c r="E77" s="86"/>
      <c r="F77" s="88">
        <v>23221.7</v>
      </c>
      <c r="G77" s="88">
        <v>0</v>
      </c>
    </row>
    <row r="78" spans="1:12" ht="16.5" hidden="1" customHeight="1">
      <c r="A78" s="135">
        <v>23</v>
      </c>
      <c r="B78" s="109" t="s">
        <v>160</v>
      </c>
      <c r="C78" s="143" t="s">
        <v>161</v>
      </c>
      <c r="D78" s="139"/>
      <c r="E78" s="86"/>
      <c r="F78" s="88">
        <v>3113.97</v>
      </c>
      <c r="G78" s="88">
        <v>0</v>
      </c>
    </row>
    <row r="79" spans="1:12" ht="17.25" hidden="1" customHeight="1">
      <c r="A79" s="135">
        <v>24</v>
      </c>
      <c r="B79" s="109" t="s">
        <v>168</v>
      </c>
      <c r="C79" s="143" t="s">
        <v>37</v>
      </c>
      <c r="D79" s="139"/>
      <c r="E79" s="86"/>
      <c r="F79" s="88">
        <v>50.68</v>
      </c>
      <c r="G79" s="88">
        <v>0</v>
      </c>
    </row>
    <row r="80" spans="1:12" ht="17.25" hidden="1" customHeight="1">
      <c r="A80" s="135">
        <v>21</v>
      </c>
      <c r="B80" s="109" t="s">
        <v>169</v>
      </c>
      <c r="C80" s="143" t="s">
        <v>170</v>
      </c>
      <c r="D80" s="139"/>
      <c r="E80" s="86"/>
      <c r="F80" s="88">
        <v>1835.8</v>
      </c>
      <c r="G80" s="88">
        <v>0</v>
      </c>
    </row>
    <row r="81" spans="1:20" ht="17.25" hidden="1" customHeight="1">
      <c r="A81" s="135">
        <v>23</v>
      </c>
      <c r="B81" s="109" t="s">
        <v>132</v>
      </c>
      <c r="C81" s="143" t="s">
        <v>171</v>
      </c>
      <c r="D81" s="139"/>
      <c r="E81" s="86"/>
      <c r="F81" s="88">
        <v>1501</v>
      </c>
      <c r="G81" s="88">
        <v>0</v>
      </c>
    </row>
    <row r="82" spans="1:20" ht="19.5" hidden="1" customHeight="1">
      <c r="A82" s="135">
        <v>23</v>
      </c>
      <c r="B82" s="109" t="s">
        <v>172</v>
      </c>
      <c r="C82" s="143" t="s">
        <v>173</v>
      </c>
      <c r="D82" s="139"/>
      <c r="E82" s="86"/>
      <c r="F82" s="88">
        <v>115.76</v>
      </c>
      <c r="G82" s="88">
        <v>0</v>
      </c>
    </row>
    <row r="83" spans="1:20" ht="13.5" hidden="1" customHeight="1">
      <c r="A83" s="135">
        <v>25</v>
      </c>
      <c r="B83" s="109" t="s">
        <v>176</v>
      </c>
      <c r="C83" s="143" t="s">
        <v>177</v>
      </c>
      <c r="D83" s="139"/>
      <c r="E83" s="86"/>
      <c r="F83" s="88">
        <v>51.39</v>
      </c>
      <c r="G83" s="88">
        <v>0</v>
      </c>
    </row>
    <row r="84" spans="1:20" ht="18.75" hidden="1" customHeight="1">
      <c r="A84" s="135">
        <v>26</v>
      </c>
      <c r="B84" s="109" t="s">
        <v>178</v>
      </c>
      <c r="C84" s="143" t="s">
        <v>37</v>
      </c>
      <c r="D84" s="139"/>
      <c r="E84" s="86"/>
      <c r="F84" s="88">
        <v>634.4</v>
      </c>
      <c r="G84" s="88">
        <v>0</v>
      </c>
    </row>
    <row r="85" spans="1:20" ht="15.75" hidden="1" customHeight="1">
      <c r="A85" s="135">
        <v>27</v>
      </c>
      <c r="B85" s="109" t="s">
        <v>179</v>
      </c>
      <c r="C85" s="143" t="s">
        <v>37</v>
      </c>
      <c r="D85" s="139"/>
      <c r="E85" s="86"/>
      <c r="F85" s="88">
        <v>81.73</v>
      </c>
      <c r="G85" s="88">
        <v>0</v>
      </c>
    </row>
    <row r="86" spans="1:20" ht="16.5" hidden="1" customHeight="1">
      <c r="A86" s="135">
        <v>21</v>
      </c>
      <c r="B86" s="109" t="s">
        <v>181</v>
      </c>
      <c r="C86" s="143" t="s">
        <v>37</v>
      </c>
      <c r="D86" s="139"/>
      <c r="E86" s="86"/>
      <c r="F86" s="88">
        <v>1072.21</v>
      </c>
      <c r="G86" s="88">
        <v>0</v>
      </c>
    </row>
    <row r="87" spans="1:20" ht="31.5" hidden="1">
      <c r="A87" s="86">
        <v>22</v>
      </c>
      <c r="B87" s="172" t="s">
        <v>182</v>
      </c>
      <c r="C87" s="86" t="s">
        <v>72</v>
      </c>
      <c r="D87" s="113"/>
      <c r="E87" s="112">
        <v>1</v>
      </c>
      <c r="F87" s="86">
        <v>612.87</v>
      </c>
      <c r="G87" s="88">
        <v>0</v>
      </c>
    </row>
    <row r="88" spans="1:20" ht="20.25" customHeight="1">
      <c r="A88" s="86">
        <v>20</v>
      </c>
      <c r="B88" s="173" t="s">
        <v>186</v>
      </c>
      <c r="C88" s="86" t="s">
        <v>37</v>
      </c>
      <c r="D88" s="113"/>
      <c r="E88" s="112"/>
      <c r="F88" s="110">
        <v>470</v>
      </c>
      <c r="G88" s="88">
        <v>470</v>
      </c>
    </row>
    <row r="89" spans="1:20" ht="31.5">
      <c r="A89" s="86">
        <v>21</v>
      </c>
      <c r="B89" s="173" t="s">
        <v>187</v>
      </c>
      <c r="C89" s="86" t="s">
        <v>188</v>
      </c>
      <c r="D89" s="113"/>
      <c r="E89" s="112"/>
      <c r="F89" s="110">
        <v>629.39</v>
      </c>
      <c r="G89" s="88">
        <v>629.39</v>
      </c>
    </row>
    <row r="90" spans="1:20" ht="15.75">
      <c r="A90" s="86">
        <v>22</v>
      </c>
      <c r="B90" s="111" t="s">
        <v>238</v>
      </c>
      <c r="C90" s="194" t="s">
        <v>216</v>
      </c>
      <c r="D90" s="113"/>
      <c r="E90" s="112"/>
      <c r="F90" s="100">
        <v>27.36</v>
      </c>
      <c r="G90" s="88">
        <v>27.36</v>
      </c>
    </row>
    <row r="91" spans="1:20" ht="15.75">
      <c r="A91" s="86"/>
      <c r="B91" s="164" t="s">
        <v>66</v>
      </c>
      <c r="C91" s="86"/>
      <c r="D91" s="113"/>
      <c r="E91" s="112"/>
      <c r="F91" s="86"/>
      <c r="G91" s="108">
        <f>SUM(G69+G73+G88+G89+G90)</f>
        <v>6624.25</v>
      </c>
    </row>
    <row r="92" spans="1:20" ht="15.75">
      <c r="A92" s="50"/>
      <c r="B92" s="91" t="s">
        <v>151</v>
      </c>
      <c r="C92" s="112" t="s">
        <v>189</v>
      </c>
      <c r="D92" s="113"/>
      <c r="E92" s="112"/>
      <c r="F92" s="112"/>
      <c r="G92" s="108"/>
    </row>
    <row r="93" spans="1:20" ht="15.75">
      <c r="A93" s="9"/>
      <c r="B93" s="119" t="s">
        <v>102</v>
      </c>
      <c r="C93" s="90"/>
      <c r="D93" s="90"/>
      <c r="E93" s="114"/>
      <c r="F93" s="115"/>
      <c r="G93" s="116">
        <v>0</v>
      </c>
    </row>
    <row r="94" spans="1:20" ht="15.75">
      <c r="A94" s="28"/>
      <c r="B94" s="117" t="s">
        <v>67</v>
      </c>
      <c r="C94" s="104"/>
      <c r="D94" s="104"/>
      <c r="E94" s="104"/>
      <c r="F94" s="104"/>
      <c r="G94" s="118">
        <f>G67+G91</f>
        <v>65118.750000000015</v>
      </c>
    </row>
    <row r="95" spans="1:20" ht="18" customHeight="1">
      <c r="A95" s="213" t="s">
        <v>239</v>
      </c>
      <c r="B95" s="213"/>
      <c r="C95" s="213"/>
      <c r="D95" s="213"/>
      <c r="E95" s="213"/>
      <c r="F95" s="213"/>
      <c r="G95" s="21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10"/>
    </row>
    <row r="96" spans="1:20" ht="19.5" customHeight="1">
      <c r="A96" s="140" t="s">
        <v>6</v>
      </c>
      <c r="B96" s="215" t="s">
        <v>240</v>
      </c>
      <c r="C96" s="215"/>
      <c r="D96" s="215"/>
      <c r="E96" s="215"/>
      <c r="F96" s="215"/>
      <c r="G96" s="141"/>
      <c r="H96" s="37"/>
      <c r="I96" s="37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9"/>
      <c r="B97" s="216" t="s">
        <v>7</v>
      </c>
      <c r="C97" s="216"/>
      <c r="D97" s="216"/>
      <c r="E97" s="216"/>
      <c r="F97" s="216"/>
      <c r="G97" s="5"/>
      <c r="H97" s="5"/>
      <c r="I97" s="5"/>
      <c r="J97" s="5"/>
      <c r="K97" s="5"/>
      <c r="L97" s="5"/>
      <c r="M97" s="5"/>
      <c r="N97" s="5"/>
      <c r="O97" s="5"/>
      <c r="P97" s="211"/>
      <c r="Q97" s="211"/>
      <c r="R97" s="211"/>
      <c r="S97" s="211"/>
    </row>
    <row r="98" spans="1:19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1:19" ht="18.75">
      <c r="A99" s="212" t="s">
        <v>8</v>
      </c>
      <c r="B99" s="212"/>
      <c r="C99" s="212"/>
      <c r="D99" s="212"/>
      <c r="E99" s="212"/>
      <c r="F99" s="212"/>
      <c r="G99" s="212"/>
    </row>
    <row r="100" spans="1:19" ht="18.75">
      <c r="A100" s="212" t="s">
        <v>9</v>
      </c>
      <c r="B100" s="212"/>
      <c r="C100" s="212"/>
      <c r="D100" s="212"/>
      <c r="E100" s="212"/>
      <c r="F100" s="212"/>
      <c r="G100" s="212"/>
    </row>
    <row r="101" spans="1:19" ht="18.75">
      <c r="A101" s="213" t="s">
        <v>10</v>
      </c>
      <c r="B101" s="213"/>
      <c r="C101" s="213"/>
      <c r="D101" s="213"/>
      <c r="E101" s="213"/>
      <c r="F101" s="213"/>
      <c r="G101" s="213"/>
    </row>
    <row r="102" spans="1:19" ht="18.75">
      <c r="A102" s="153"/>
      <c r="B102" s="154"/>
      <c r="C102" s="154"/>
      <c r="D102" s="154"/>
      <c r="E102" s="154"/>
      <c r="F102" s="154"/>
      <c r="G102" s="154"/>
    </row>
    <row r="103" spans="1:19" ht="18.75">
      <c r="A103" s="214" t="s">
        <v>11</v>
      </c>
      <c r="B103" s="214"/>
      <c r="C103" s="214"/>
      <c r="D103" s="214"/>
      <c r="E103" s="214"/>
      <c r="F103" s="214"/>
      <c r="G103" s="214"/>
    </row>
    <row r="104" spans="1:19" ht="15.75">
      <c r="A104" s="4"/>
    </row>
    <row r="105" spans="1:19" ht="18.75">
      <c r="A105" s="213" t="s">
        <v>12</v>
      </c>
      <c r="B105" s="213"/>
      <c r="C105" s="218" t="s">
        <v>140</v>
      </c>
      <c r="D105" s="218"/>
      <c r="E105" s="218"/>
      <c r="G105" s="34"/>
    </row>
    <row r="106" spans="1:19" ht="18.75">
      <c r="A106" s="155"/>
      <c r="B106" s="154"/>
      <c r="C106" s="216" t="s">
        <v>13</v>
      </c>
      <c r="D106" s="216"/>
      <c r="E106" s="216"/>
      <c r="G106" s="35" t="s">
        <v>14</v>
      </c>
    </row>
    <row r="107" spans="1:19" ht="18.75">
      <c r="A107" s="156"/>
      <c r="B107" s="154"/>
      <c r="C107" s="13"/>
      <c r="D107" s="13"/>
      <c r="F107" s="13"/>
    </row>
    <row r="108" spans="1:19" ht="18.75">
      <c r="A108" s="213" t="s">
        <v>15</v>
      </c>
      <c r="B108" s="213"/>
      <c r="C108" s="217"/>
      <c r="D108" s="217"/>
      <c r="E108" s="217"/>
      <c r="G108" s="34"/>
    </row>
    <row r="109" spans="1:19">
      <c r="A109" s="39"/>
      <c r="C109" s="211" t="s">
        <v>13</v>
      </c>
      <c r="D109" s="211"/>
      <c r="E109" s="211"/>
      <c r="G109" s="35" t="s">
        <v>14</v>
      </c>
    </row>
    <row r="110" spans="1:19">
      <c r="A110" s="160"/>
      <c r="B110" s="161"/>
      <c r="C110" s="142"/>
      <c r="D110" s="142"/>
      <c r="E110" s="142"/>
      <c r="G110" s="36"/>
    </row>
    <row r="111" spans="1:19">
      <c r="A111" s="222" t="s">
        <v>17</v>
      </c>
      <c r="B111" s="222"/>
      <c r="C111" s="222"/>
      <c r="D111" s="222"/>
      <c r="E111" s="222"/>
      <c r="F111" s="222"/>
      <c r="G111" s="222"/>
    </row>
    <row r="112" spans="1:19" ht="45" customHeight="1">
      <c r="A112" s="223" t="s">
        <v>18</v>
      </c>
      <c r="B112" s="223"/>
      <c r="C112" s="223"/>
      <c r="D112" s="223"/>
      <c r="E112" s="223"/>
      <c r="F112" s="223"/>
      <c r="G112" s="223"/>
    </row>
    <row r="113" spans="1:7" ht="28.5" customHeight="1">
      <c r="A113" s="223" t="s">
        <v>19</v>
      </c>
      <c r="B113" s="223"/>
      <c r="C113" s="223"/>
      <c r="D113" s="223"/>
      <c r="E113" s="223"/>
      <c r="F113" s="223"/>
      <c r="G113" s="223"/>
    </row>
    <row r="114" spans="1:7" ht="27" customHeight="1">
      <c r="A114" s="223" t="s">
        <v>24</v>
      </c>
      <c r="B114" s="223"/>
      <c r="C114" s="223"/>
      <c r="D114" s="223"/>
      <c r="E114" s="223"/>
      <c r="F114" s="223"/>
      <c r="G114" s="223"/>
    </row>
    <row r="115" spans="1:7" ht="15" customHeight="1">
      <c r="A115" s="223" t="s">
        <v>23</v>
      </c>
      <c r="B115" s="223"/>
      <c r="C115" s="223"/>
      <c r="D115" s="223"/>
      <c r="E115" s="223"/>
      <c r="F115" s="223"/>
      <c r="G115" s="223"/>
    </row>
    <row r="117" spans="1:7" ht="27.75" customHeight="1">
      <c r="A117" s="14" t="s">
        <v>22</v>
      </c>
      <c r="B117" s="14"/>
      <c r="C117" s="14"/>
      <c r="D117" s="14"/>
      <c r="E117" s="14"/>
      <c r="F117" s="14"/>
    </row>
  </sheetData>
  <autoFilter ref="G12:G93"/>
  <mergeCells count="29">
    <mergeCell ref="A111:G111"/>
    <mergeCell ref="A112:G112"/>
    <mergeCell ref="A113:G113"/>
    <mergeCell ref="A114:G114"/>
    <mergeCell ref="A115:G115"/>
    <mergeCell ref="A95:G95"/>
    <mergeCell ref="A14:G14"/>
    <mergeCell ref="A24:G24"/>
    <mergeCell ref="B35:G35"/>
    <mergeCell ref="B47:G47"/>
    <mergeCell ref="B64:G64"/>
    <mergeCell ref="B96:F96"/>
    <mergeCell ref="C106:E106"/>
    <mergeCell ref="A108:B108"/>
    <mergeCell ref="C108:E108"/>
    <mergeCell ref="C109:E109"/>
    <mergeCell ref="B97:F97"/>
    <mergeCell ref="A105:B105"/>
    <mergeCell ref="C105:E105"/>
    <mergeCell ref="P97:S97"/>
    <mergeCell ref="A99:G99"/>
    <mergeCell ref="A100:G100"/>
    <mergeCell ref="A101:G101"/>
    <mergeCell ref="A103:G103"/>
    <mergeCell ref="A3:G3"/>
    <mergeCell ref="A4:G4"/>
    <mergeCell ref="B5:F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8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41" t="s">
        <v>126</v>
      </c>
      <c r="G1" s="40"/>
      <c r="H1" s="1"/>
      <c r="I1" s="1"/>
      <c r="J1" s="1"/>
      <c r="K1" s="1"/>
    </row>
    <row r="2" spans="1:11" ht="15.75" customHeight="1">
      <c r="A2" s="42" t="s">
        <v>84</v>
      </c>
      <c r="H2" s="2"/>
      <c r="I2" s="2"/>
      <c r="J2" s="2"/>
      <c r="K2" s="2"/>
    </row>
    <row r="3" spans="1:11" ht="15.75" customHeight="1">
      <c r="A3" s="230" t="s">
        <v>190</v>
      </c>
      <c r="B3" s="230"/>
      <c r="C3" s="230"/>
      <c r="D3" s="230"/>
      <c r="E3" s="230"/>
      <c r="F3" s="230"/>
      <c r="G3" s="230"/>
      <c r="H3" s="3"/>
      <c r="I3" s="3"/>
      <c r="J3" s="3"/>
    </row>
    <row r="4" spans="1:11" ht="31.5" customHeight="1">
      <c r="A4" s="231" t="s">
        <v>227</v>
      </c>
      <c r="B4" s="231"/>
      <c r="C4" s="231"/>
      <c r="D4" s="231"/>
      <c r="E4" s="231"/>
      <c r="F4" s="231"/>
      <c r="G4" s="231"/>
    </row>
    <row r="5" spans="1:11" ht="15.75" customHeight="1">
      <c r="A5" s="230" t="s">
        <v>191</v>
      </c>
      <c r="B5" s="232"/>
      <c r="C5" s="232"/>
      <c r="D5" s="232"/>
      <c r="E5" s="232"/>
      <c r="F5" s="232"/>
      <c r="G5" s="232"/>
      <c r="H5" s="2"/>
      <c r="I5" s="2"/>
      <c r="J5" s="2"/>
      <c r="K5" s="2"/>
    </row>
    <row r="6" spans="1:11" ht="15.75" customHeight="1">
      <c r="A6" s="2"/>
      <c r="B6" s="169"/>
      <c r="C6" s="169"/>
      <c r="D6" s="169"/>
      <c r="E6" s="169"/>
      <c r="F6" s="169"/>
      <c r="G6" s="51">
        <v>42735</v>
      </c>
      <c r="H6" s="2"/>
      <c r="I6" s="2"/>
      <c r="J6" s="2"/>
      <c r="K6" s="2"/>
    </row>
    <row r="7" spans="1:11" ht="15.75" customHeight="1">
      <c r="B7" s="166"/>
      <c r="C7" s="166"/>
      <c r="D7" s="166"/>
      <c r="E7" s="3"/>
      <c r="F7" s="3"/>
      <c r="H7" s="3"/>
      <c r="I7" s="3"/>
      <c r="J7" s="3"/>
      <c r="K7" s="3"/>
    </row>
    <row r="8" spans="1:11" ht="78.75" customHeight="1">
      <c r="A8" s="209" t="s">
        <v>248</v>
      </c>
      <c r="B8" s="209"/>
      <c r="C8" s="209"/>
      <c r="D8" s="209"/>
      <c r="E8" s="209"/>
      <c r="F8" s="209"/>
      <c r="G8" s="209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210" t="s">
        <v>249</v>
      </c>
      <c r="B10" s="210"/>
      <c r="C10" s="210"/>
      <c r="D10" s="210"/>
      <c r="E10" s="210"/>
      <c r="F10" s="210"/>
      <c r="G10" s="210"/>
      <c r="H10" s="2"/>
      <c r="I10" s="2"/>
      <c r="J10" s="2"/>
      <c r="K10" s="2"/>
    </row>
    <row r="11" spans="1:11" ht="15.75">
      <c r="A11" s="4"/>
    </row>
    <row r="12" spans="1:11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 t="s">
        <v>25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.75" customHeight="1">
      <c r="A14" s="233" t="s">
        <v>78</v>
      </c>
      <c r="B14" s="233"/>
      <c r="C14" s="233"/>
      <c r="D14" s="233"/>
      <c r="E14" s="233"/>
      <c r="F14" s="233"/>
      <c r="G14" s="233"/>
      <c r="H14" s="8"/>
      <c r="I14" s="8"/>
      <c r="J14" s="8"/>
      <c r="K14" s="8"/>
    </row>
    <row r="15" spans="1:11" ht="15.75" customHeight="1">
      <c r="A15" s="234" t="s">
        <v>4</v>
      </c>
      <c r="B15" s="234"/>
      <c r="C15" s="234"/>
      <c r="D15" s="234"/>
      <c r="E15" s="234"/>
      <c r="F15" s="234"/>
      <c r="G15" s="234"/>
      <c r="H15" s="8"/>
      <c r="I15" s="8"/>
      <c r="J15" s="8"/>
      <c r="K15" s="8"/>
    </row>
    <row r="16" spans="1:11" ht="15.75" customHeight="1">
      <c r="A16" s="46">
        <v>1</v>
      </c>
      <c r="B16" s="56" t="s">
        <v>128</v>
      </c>
      <c r="C16" s="70" t="s">
        <v>192</v>
      </c>
      <c r="D16" s="56" t="s">
        <v>193</v>
      </c>
      <c r="E16" s="171"/>
      <c r="F16" s="55">
        <v>175.38</v>
      </c>
      <c r="G16" s="174">
        <v>1367.05</v>
      </c>
      <c r="H16" s="8"/>
      <c r="I16" s="8"/>
      <c r="J16" s="8"/>
      <c r="K16" s="8"/>
    </row>
    <row r="17" spans="1:11" ht="15.75" customHeight="1">
      <c r="A17" s="46">
        <v>2</v>
      </c>
      <c r="B17" s="56" t="s">
        <v>149</v>
      </c>
      <c r="C17" s="70" t="s">
        <v>192</v>
      </c>
      <c r="D17" s="56" t="s">
        <v>194</v>
      </c>
      <c r="E17" s="171"/>
      <c r="F17" s="55">
        <v>504.5</v>
      </c>
      <c r="G17" s="174">
        <v>3645.47</v>
      </c>
      <c r="H17" s="31"/>
      <c r="I17" s="8"/>
      <c r="J17" s="8"/>
      <c r="K17" s="8"/>
    </row>
    <row r="18" spans="1:11" ht="15.75" customHeight="1">
      <c r="A18" s="46">
        <v>3</v>
      </c>
      <c r="B18" s="56" t="s">
        <v>228</v>
      </c>
      <c r="C18" s="70" t="s">
        <v>192</v>
      </c>
      <c r="D18" s="56" t="s">
        <v>195</v>
      </c>
      <c r="E18" s="171"/>
      <c r="F18" s="55">
        <v>170.16</v>
      </c>
      <c r="G18" s="174">
        <v>3024.98</v>
      </c>
      <c r="H18" s="31"/>
      <c r="I18" s="8"/>
      <c r="J18" s="8"/>
      <c r="K18" s="8"/>
    </row>
    <row r="19" spans="1:11" ht="15.75" hidden="1" customHeight="1">
      <c r="A19" s="46"/>
      <c r="B19" s="56" t="s">
        <v>196</v>
      </c>
      <c r="C19" s="70" t="s">
        <v>197</v>
      </c>
      <c r="D19" s="56" t="s">
        <v>198</v>
      </c>
      <c r="E19" s="171"/>
      <c r="F19" s="55">
        <v>217.88</v>
      </c>
      <c r="G19" s="174">
        <v>0</v>
      </c>
      <c r="H19" s="31"/>
      <c r="I19" s="8"/>
      <c r="J19" s="8"/>
      <c r="K19" s="8"/>
    </row>
    <row r="20" spans="1:11" ht="15.75" hidden="1" customHeight="1">
      <c r="A20" s="46">
        <v>4</v>
      </c>
      <c r="B20" s="56" t="s">
        <v>162</v>
      </c>
      <c r="C20" s="70" t="s">
        <v>192</v>
      </c>
      <c r="D20" s="56" t="s">
        <v>69</v>
      </c>
      <c r="E20" s="171"/>
      <c r="F20" s="55">
        <v>216.12</v>
      </c>
      <c r="G20" s="174">
        <v>0</v>
      </c>
      <c r="H20" s="31"/>
      <c r="I20" s="8"/>
      <c r="J20" s="8"/>
      <c r="K20" s="8"/>
    </row>
    <row r="21" spans="1:11" ht="15.75" hidden="1" customHeight="1">
      <c r="A21" s="46">
        <v>5</v>
      </c>
      <c r="B21" s="56" t="s">
        <v>163</v>
      </c>
      <c r="C21" s="70" t="s">
        <v>192</v>
      </c>
      <c r="D21" s="56" t="s">
        <v>69</v>
      </c>
      <c r="E21" s="171"/>
      <c r="F21" s="55">
        <v>269.26</v>
      </c>
      <c r="G21" s="174">
        <v>0</v>
      </c>
      <c r="H21" s="31"/>
      <c r="I21" s="8"/>
      <c r="J21" s="8"/>
      <c r="K21" s="8"/>
    </row>
    <row r="22" spans="1:11" ht="15.75" hidden="1" customHeight="1">
      <c r="A22" s="46"/>
      <c r="B22" s="56" t="s">
        <v>199</v>
      </c>
      <c r="C22" s="70" t="s">
        <v>68</v>
      </c>
      <c r="D22" s="56" t="s">
        <v>198</v>
      </c>
      <c r="E22" s="171"/>
      <c r="F22" s="55">
        <v>44.29</v>
      </c>
      <c r="G22" s="174">
        <v>0</v>
      </c>
      <c r="H22" s="31"/>
      <c r="I22" s="8"/>
      <c r="J22" s="8"/>
      <c r="K22" s="8"/>
    </row>
    <row r="23" spans="1:11" ht="15.75" hidden="1" customHeight="1">
      <c r="A23" s="46"/>
      <c r="B23" s="56" t="s">
        <v>200</v>
      </c>
      <c r="C23" s="70" t="s">
        <v>68</v>
      </c>
      <c r="D23" s="56" t="s">
        <v>198</v>
      </c>
      <c r="E23" s="171"/>
      <c r="F23" s="55">
        <v>398.72</v>
      </c>
      <c r="G23" s="174">
        <v>0</v>
      </c>
      <c r="H23" s="31"/>
      <c r="I23" s="8"/>
      <c r="J23" s="8"/>
      <c r="K23" s="8"/>
    </row>
    <row r="24" spans="1:11" ht="15.75" hidden="1" customHeight="1">
      <c r="A24" s="46"/>
      <c r="B24" s="56" t="s">
        <v>174</v>
      </c>
      <c r="C24" s="70" t="s">
        <v>68</v>
      </c>
      <c r="D24" s="56" t="s">
        <v>198</v>
      </c>
      <c r="E24" s="171"/>
      <c r="F24" s="55">
        <v>216.12</v>
      </c>
      <c r="G24" s="174">
        <v>0</v>
      </c>
      <c r="H24" s="31"/>
      <c r="I24" s="8"/>
      <c r="J24" s="8"/>
      <c r="K24" s="8"/>
    </row>
    <row r="25" spans="1:11" ht="15.75" hidden="1" customHeight="1">
      <c r="A25" s="71">
        <v>6</v>
      </c>
      <c r="B25" s="56" t="s">
        <v>201</v>
      </c>
      <c r="C25" s="70" t="s">
        <v>68</v>
      </c>
      <c r="D25" s="56" t="s">
        <v>198</v>
      </c>
      <c r="E25" s="22"/>
      <c r="F25" s="55">
        <v>520.79999999999995</v>
      </c>
      <c r="G25" s="174">
        <v>0</v>
      </c>
      <c r="H25" s="31"/>
      <c r="I25" s="8"/>
      <c r="J25" s="8"/>
      <c r="K25" s="8"/>
    </row>
    <row r="26" spans="1:11" ht="15.75" hidden="1" customHeight="1">
      <c r="A26" s="71">
        <v>7</v>
      </c>
      <c r="B26" s="56" t="s">
        <v>175</v>
      </c>
      <c r="C26" s="70" t="s">
        <v>68</v>
      </c>
      <c r="D26" s="56" t="s">
        <v>198</v>
      </c>
      <c r="E26" s="22">
        <v>506.1</v>
      </c>
      <c r="F26" s="55">
        <v>556.74</v>
      </c>
      <c r="G26" s="174">
        <v>0</v>
      </c>
      <c r="H26" s="31"/>
      <c r="I26" s="8"/>
      <c r="J26" s="8"/>
      <c r="K26" s="8"/>
    </row>
    <row r="27" spans="1:11" ht="15.75" customHeight="1">
      <c r="A27" s="71">
        <v>4</v>
      </c>
      <c r="B27" s="56" t="s">
        <v>86</v>
      </c>
      <c r="C27" s="70" t="s">
        <v>40</v>
      </c>
      <c r="D27" s="175" t="s">
        <v>28</v>
      </c>
      <c r="E27" s="22"/>
      <c r="F27" s="55">
        <v>147.03</v>
      </c>
      <c r="G27" s="174">
        <v>447.22</v>
      </c>
      <c r="H27" s="31"/>
      <c r="I27" s="8"/>
      <c r="J27" s="8"/>
      <c r="K27" s="8"/>
    </row>
    <row r="28" spans="1:11" ht="15.75" customHeight="1">
      <c r="A28" s="71">
        <v>5</v>
      </c>
      <c r="B28" s="175" t="s">
        <v>26</v>
      </c>
      <c r="C28" s="70" t="s">
        <v>27</v>
      </c>
      <c r="D28" s="175" t="s">
        <v>28</v>
      </c>
      <c r="E28" s="22"/>
      <c r="F28" s="55">
        <v>5.47</v>
      </c>
      <c r="G28" s="174">
        <v>16581.21</v>
      </c>
      <c r="H28" s="31"/>
      <c r="I28" s="8"/>
      <c r="J28" s="8"/>
      <c r="K28" s="8"/>
    </row>
    <row r="29" spans="1:11" ht="15.75" customHeight="1">
      <c r="A29" s="234" t="s">
        <v>120</v>
      </c>
      <c r="B29" s="234"/>
      <c r="C29" s="234"/>
      <c r="D29" s="234"/>
      <c r="E29" s="234"/>
      <c r="F29" s="234"/>
      <c r="G29" s="234"/>
      <c r="H29" s="31"/>
      <c r="I29" s="8"/>
      <c r="J29" s="8"/>
      <c r="K29" s="8"/>
    </row>
    <row r="30" spans="1:11" ht="15.75" hidden="1" customHeight="1">
      <c r="A30" s="71"/>
      <c r="B30" s="81" t="s">
        <v>34</v>
      </c>
      <c r="C30" s="81"/>
      <c r="D30" s="81"/>
      <c r="E30" s="81"/>
      <c r="F30" s="81"/>
      <c r="G30" s="23"/>
      <c r="H30" s="31"/>
      <c r="I30" s="8"/>
      <c r="J30" s="8"/>
      <c r="K30" s="8"/>
    </row>
    <row r="31" spans="1:11" ht="15.75" hidden="1" customHeight="1">
      <c r="A31" s="71">
        <v>2</v>
      </c>
      <c r="B31" s="56" t="s">
        <v>202</v>
      </c>
      <c r="C31" s="70" t="s">
        <v>203</v>
      </c>
      <c r="D31" s="56" t="s">
        <v>204</v>
      </c>
      <c r="E31" s="17">
        <v>2.31</v>
      </c>
      <c r="F31" s="55">
        <v>155.88999999999999</v>
      </c>
      <c r="G31" s="16">
        <v>0</v>
      </c>
      <c r="H31" s="31"/>
      <c r="I31" s="8"/>
      <c r="J31" s="8"/>
      <c r="K31" s="8"/>
    </row>
    <row r="32" spans="1:11" ht="31.5" hidden="1" customHeight="1">
      <c r="A32" s="71">
        <v>3</v>
      </c>
      <c r="B32" s="56" t="s">
        <v>205</v>
      </c>
      <c r="C32" s="70" t="s">
        <v>203</v>
      </c>
      <c r="D32" s="56" t="s">
        <v>206</v>
      </c>
      <c r="E32" s="16">
        <f>0.0024*3*4.5</f>
        <v>3.2399999999999998E-2</v>
      </c>
      <c r="F32" s="55">
        <v>258.63</v>
      </c>
      <c r="G32" s="23">
        <v>0</v>
      </c>
      <c r="H32" s="31"/>
      <c r="I32" s="8"/>
      <c r="J32" s="8"/>
      <c r="K32" s="8"/>
    </row>
    <row r="33" spans="1:12" ht="15.75" hidden="1" customHeight="1">
      <c r="A33" s="71">
        <v>4</v>
      </c>
      <c r="B33" s="56" t="s">
        <v>33</v>
      </c>
      <c r="C33" s="70" t="s">
        <v>203</v>
      </c>
      <c r="D33" s="56" t="s">
        <v>69</v>
      </c>
      <c r="E33" s="21">
        <v>0</v>
      </c>
      <c r="F33" s="55">
        <v>3020.33</v>
      </c>
      <c r="G33" s="23">
        <v>0</v>
      </c>
      <c r="H33" s="31"/>
      <c r="I33" s="8"/>
      <c r="J33" s="8"/>
      <c r="K33" s="8"/>
    </row>
    <row r="34" spans="1:12" ht="15.75" hidden="1" customHeight="1">
      <c r="A34" s="71"/>
      <c r="B34" s="56" t="s">
        <v>207</v>
      </c>
      <c r="C34" s="70" t="s">
        <v>51</v>
      </c>
      <c r="D34" s="56" t="s">
        <v>85</v>
      </c>
      <c r="E34" s="21"/>
      <c r="F34" s="55">
        <v>1302.02</v>
      </c>
      <c r="G34" s="23">
        <v>0</v>
      </c>
      <c r="H34" s="31"/>
      <c r="I34" s="8"/>
    </row>
    <row r="35" spans="1:12" ht="15.75" hidden="1" customHeight="1">
      <c r="A35" s="71">
        <v>5</v>
      </c>
      <c r="B35" s="56" t="s">
        <v>208</v>
      </c>
      <c r="C35" s="70" t="s">
        <v>37</v>
      </c>
      <c r="D35" s="56" t="s">
        <v>85</v>
      </c>
      <c r="E35" s="21">
        <v>0</v>
      </c>
      <c r="F35" s="55">
        <v>56.69</v>
      </c>
      <c r="G35" s="23">
        <v>0</v>
      </c>
      <c r="H35" s="32"/>
    </row>
    <row r="36" spans="1:12" ht="15.75" hidden="1" customHeight="1">
      <c r="A36" s="71">
        <v>4</v>
      </c>
      <c r="B36" s="56" t="s">
        <v>87</v>
      </c>
      <c r="C36" s="70" t="s">
        <v>40</v>
      </c>
      <c r="D36" s="56" t="s">
        <v>89</v>
      </c>
      <c r="E36" s="16">
        <v>3.75</v>
      </c>
      <c r="F36" s="55">
        <v>191.32</v>
      </c>
      <c r="G36" s="16">
        <v>0</v>
      </c>
      <c r="H36" s="32"/>
    </row>
    <row r="37" spans="1:12" ht="15.75" hidden="1" customHeight="1">
      <c r="A37" s="46">
        <v>8</v>
      </c>
      <c r="B37" s="56" t="s">
        <v>88</v>
      </c>
      <c r="C37" s="70" t="s">
        <v>39</v>
      </c>
      <c r="D37" s="56" t="s">
        <v>89</v>
      </c>
      <c r="E37" s="16"/>
      <c r="F37" s="55">
        <v>1136.32</v>
      </c>
      <c r="G37" s="16">
        <v>0</v>
      </c>
      <c r="H37" s="32"/>
    </row>
    <row r="38" spans="1:12" ht="15.75" customHeight="1">
      <c r="A38" s="71"/>
      <c r="B38" s="79" t="s">
        <v>5</v>
      </c>
      <c r="C38" s="79"/>
      <c r="D38" s="79"/>
      <c r="E38" s="16"/>
      <c r="F38" s="17"/>
      <c r="G38" s="23"/>
      <c r="H38" s="32"/>
    </row>
    <row r="39" spans="1:12" ht="15.75" customHeight="1">
      <c r="A39" s="57">
        <v>6</v>
      </c>
      <c r="B39" s="58" t="s">
        <v>31</v>
      </c>
      <c r="C39" s="70" t="s">
        <v>39</v>
      </c>
      <c r="D39" s="56"/>
      <c r="E39" s="16">
        <v>0</v>
      </c>
      <c r="F39" s="55">
        <v>1527.22</v>
      </c>
      <c r="G39" s="16">
        <v>1527.22</v>
      </c>
      <c r="H39" s="32"/>
    </row>
    <row r="40" spans="1:12" ht="15.75" customHeight="1">
      <c r="A40" s="57">
        <v>7</v>
      </c>
      <c r="B40" s="58" t="s">
        <v>180</v>
      </c>
      <c r="C40" s="176" t="s">
        <v>35</v>
      </c>
      <c r="D40" s="58" t="s">
        <v>229</v>
      </c>
      <c r="E40" s="16"/>
      <c r="F40" s="59">
        <v>2102.71</v>
      </c>
      <c r="G40" s="16">
        <v>1807.49</v>
      </c>
      <c r="H40" s="32"/>
    </row>
    <row r="41" spans="1:12" ht="15.75" customHeight="1">
      <c r="A41" s="57">
        <v>8</v>
      </c>
      <c r="B41" s="58" t="s">
        <v>230</v>
      </c>
      <c r="C41" s="176" t="s">
        <v>35</v>
      </c>
      <c r="D41" s="58" t="s">
        <v>209</v>
      </c>
      <c r="E41" s="16"/>
      <c r="F41" s="59">
        <v>2102.71</v>
      </c>
      <c r="G41" s="16">
        <v>714.92</v>
      </c>
      <c r="H41" s="32"/>
    </row>
    <row r="42" spans="1:12" ht="15.75" hidden="1" customHeight="1">
      <c r="A42" s="57">
        <v>9</v>
      </c>
      <c r="B42" s="56" t="s">
        <v>154</v>
      </c>
      <c r="C42" s="70" t="s">
        <v>210</v>
      </c>
      <c r="D42" s="56" t="s">
        <v>89</v>
      </c>
      <c r="E42" s="16">
        <v>0</v>
      </c>
      <c r="F42" s="55">
        <v>199.44</v>
      </c>
      <c r="G42" s="16">
        <v>0</v>
      </c>
      <c r="H42" s="32"/>
      <c r="J42" s="25"/>
      <c r="K42" s="26"/>
      <c r="L42" s="27"/>
    </row>
    <row r="43" spans="1:12" ht="15.75" customHeight="1">
      <c r="A43" s="57">
        <v>9</v>
      </c>
      <c r="B43" s="56" t="s">
        <v>90</v>
      </c>
      <c r="C43" s="70" t="s">
        <v>35</v>
      </c>
      <c r="D43" s="56" t="s">
        <v>211</v>
      </c>
      <c r="E43" s="16">
        <v>0</v>
      </c>
      <c r="F43" s="55">
        <v>350.75</v>
      </c>
      <c r="G43" s="16">
        <v>616.15</v>
      </c>
      <c r="H43" s="32"/>
      <c r="J43" s="25"/>
      <c r="K43" s="26"/>
      <c r="L43" s="27"/>
    </row>
    <row r="44" spans="1:12" ht="47.25" customHeight="1">
      <c r="A44" s="57">
        <v>10</v>
      </c>
      <c r="B44" s="56" t="s">
        <v>117</v>
      </c>
      <c r="C44" s="70" t="s">
        <v>203</v>
      </c>
      <c r="D44" s="56" t="s">
        <v>231</v>
      </c>
      <c r="E44" s="16"/>
      <c r="F44" s="55">
        <v>5803.28</v>
      </c>
      <c r="G44" s="16">
        <v>1578.49</v>
      </c>
      <c r="H44" s="32"/>
      <c r="J44" s="25"/>
      <c r="K44" s="26"/>
      <c r="L44" s="27"/>
    </row>
    <row r="45" spans="1:12" ht="15.75" customHeight="1">
      <c r="A45" s="57">
        <v>11</v>
      </c>
      <c r="B45" s="56" t="s">
        <v>212</v>
      </c>
      <c r="C45" s="70" t="s">
        <v>203</v>
      </c>
      <c r="D45" s="56" t="s">
        <v>91</v>
      </c>
      <c r="E45" s="16"/>
      <c r="F45" s="55">
        <v>428.7</v>
      </c>
      <c r="G45" s="16">
        <v>218.64</v>
      </c>
      <c r="H45" s="32"/>
      <c r="J45" s="25"/>
      <c r="K45" s="26"/>
      <c r="L45" s="27"/>
    </row>
    <row r="46" spans="1:12" ht="15.75" customHeight="1">
      <c r="A46" s="57">
        <v>12</v>
      </c>
      <c r="B46" s="58" t="s">
        <v>92</v>
      </c>
      <c r="C46" s="176" t="s">
        <v>40</v>
      </c>
      <c r="D46" s="58"/>
      <c r="E46" s="16"/>
      <c r="F46" s="59">
        <v>798</v>
      </c>
      <c r="G46" s="16">
        <v>119.7</v>
      </c>
      <c r="H46" s="32"/>
      <c r="J46" s="25"/>
      <c r="K46" s="26"/>
      <c r="L46" s="27"/>
    </row>
    <row r="47" spans="1:12" ht="15.75" customHeight="1">
      <c r="A47" s="235" t="s">
        <v>250</v>
      </c>
      <c r="B47" s="236"/>
      <c r="C47" s="236"/>
      <c r="D47" s="236"/>
      <c r="E47" s="236"/>
      <c r="F47" s="236"/>
      <c r="G47" s="237"/>
      <c r="H47" s="32"/>
      <c r="J47" s="25"/>
      <c r="K47" s="26"/>
      <c r="L47" s="27"/>
    </row>
    <row r="48" spans="1:12" ht="15.75" hidden="1" customHeight="1">
      <c r="A48" s="71">
        <v>15</v>
      </c>
      <c r="B48" s="56" t="s">
        <v>232</v>
      </c>
      <c r="C48" s="70" t="s">
        <v>203</v>
      </c>
      <c r="D48" s="56" t="s">
        <v>55</v>
      </c>
      <c r="E48" s="23">
        <v>0.42</v>
      </c>
      <c r="F48" s="62">
        <v>809.74</v>
      </c>
      <c r="G48" s="24">
        <v>0</v>
      </c>
      <c r="H48" s="32"/>
      <c r="J48" s="25"/>
      <c r="K48" s="26"/>
      <c r="L48" s="27"/>
    </row>
    <row r="49" spans="1:12" ht="15.75" hidden="1" customHeight="1">
      <c r="A49" s="71"/>
      <c r="B49" s="56" t="s">
        <v>44</v>
      </c>
      <c r="C49" s="70" t="s">
        <v>203</v>
      </c>
      <c r="D49" s="56" t="s">
        <v>55</v>
      </c>
      <c r="E49" s="23"/>
      <c r="F49" s="62">
        <v>579.48</v>
      </c>
      <c r="G49" s="24">
        <v>0</v>
      </c>
      <c r="H49" s="32"/>
      <c r="J49" s="25"/>
      <c r="K49" s="26"/>
      <c r="L49" s="27"/>
    </row>
    <row r="50" spans="1:12" ht="15.75" hidden="1" customHeight="1">
      <c r="A50" s="71">
        <v>16</v>
      </c>
      <c r="B50" s="56" t="s">
        <v>45</v>
      </c>
      <c r="C50" s="70" t="s">
        <v>203</v>
      </c>
      <c r="D50" s="56" t="s">
        <v>55</v>
      </c>
      <c r="E50" s="23">
        <v>1.35</v>
      </c>
      <c r="F50" s="62">
        <v>579.48</v>
      </c>
      <c r="G50" s="24">
        <v>0</v>
      </c>
      <c r="H50" s="32"/>
      <c r="J50" s="25"/>
      <c r="K50" s="26"/>
      <c r="L50" s="27"/>
    </row>
    <row r="51" spans="1:12" ht="15.75" hidden="1" customHeight="1">
      <c r="A51" s="71"/>
      <c r="B51" s="56" t="s">
        <v>46</v>
      </c>
      <c r="C51" s="70" t="s">
        <v>203</v>
      </c>
      <c r="D51" s="56" t="s">
        <v>55</v>
      </c>
      <c r="E51" s="23"/>
      <c r="F51" s="62">
        <v>606.77</v>
      </c>
      <c r="G51" s="24">
        <v>0</v>
      </c>
      <c r="H51" s="32"/>
      <c r="J51" s="25"/>
      <c r="K51" s="26"/>
      <c r="L51" s="27"/>
    </row>
    <row r="52" spans="1:12" ht="15.75" hidden="1" customHeight="1">
      <c r="A52" s="71">
        <v>17</v>
      </c>
      <c r="B52" s="56" t="s">
        <v>42</v>
      </c>
      <c r="C52" s="70" t="s">
        <v>43</v>
      </c>
      <c r="D52" s="56" t="s">
        <v>55</v>
      </c>
      <c r="E52" s="23">
        <v>0.03</v>
      </c>
      <c r="F52" s="62">
        <v>72.81</v>
      </c>
      <c r="G52" s="24">
        <v>0</v>
      </c>
      <c r="H52" s="32"/>
      <c r="J52" s="25"/>
      <c r="K52" s="26"/>
      <c r="L52" s="27"/>
    </row>
    <row r="53" spans="1:12" ht="15.75" customHeight="1">
      <c r="A53" s="71">
        <v>13</v>
      </c>
      <c r="B53" s="56" t="s">
        <v>75</v>
      </c>
      <c r="C53" s="70" t="s">
        <v>203</v>
      </c>
      <c r="D53" s="56" t="s">
        <v>213</v>
      </c>
      <c r="E53" s="23">
        <v>0.22</v>
      </c>
      <c r="F53" s="62">
        <v>1213.55</v>
      </c>
      <c r="G53" s="16">
        <v>1072.78</v>
      </c>
      <c r="H53" s="32"/>
      <c r="J53" s="25"/>
      <c r="K53" s="26"/>
      <c r="L53" s="27"/>
    </row>
    <row r="54" spans="1:12" ht="31.5" hidden="1" customHeight="1">
      <c r="A54" s="71">
        <v>13</v>
      </c>
      <c r="B54" s="56" t="s">
        <v>214</v>
      </c>
      <c r="C54" s="70" t="s">
        <v>203</v>
      </c>
      <c r="D54" s="56" t="s">
        <v>55</v>
      </c>
      <c r="E54" s="23">
        <v>0.22</v>
      </c>
      <c r="F54" s="62">
        <v>1213.55</v>
      </c>
      <c r="G54" s="24">
        <v>0</v>
      </c>
      <c r="H54" s="32"/>
      <c r="J54" s="25"/>
      <c r="K54" s="26"/>
      <c r="L54" s="27"/>
    </row>
    <row r="55" spans="1:12" ht="31.5" hidden="1" customHeight="1">
      <c r="A55" s="71">
        <v>14</v>
      </c>
      <c r="B55" s="56" t="s">
        <v>215</v>
      </c>
      <c r="C55" s="70" t="s">
        <v>49</v>
      </c>
      <c r="D55" s="56" t="s">
        <v>55</v>
      </c>
      <c r="E55" s="23">
        <v>0.02</v>
      </c>
      <c r="F55" s="62">
        <v>2730.49</v>
      </c>
      <c r="G55" s="24">
        <v>0</v>
      </c>
      <c r="H55" s="32"/>
      <c r="J55" s="25"/>
      <c r="K55" s="26"/>
      <c r="L55" s="27"/>
    </row>
    <row r="56" spans="1:12" ht="15.75" hidden="1" customHeight="1">
      <c r="A56" s="71">
        <v>15</v>
      </c>
      <c r="B56" s="56" t="s">
        <v>50</v>
      </c>
      <c r="C56" s="70" t="s">
        <v>51</v>
      </c>
      <c r="D56" s="56" t="s">
        <v>55</v>
      </c>
      <c r="E56" s="23">
        <v>0.01</v>
      </c>
      <c r="F56" s="62">
        <v>5652.13</v>
      </c>
      <c r="G56" s="24">
        <v>0</v>
      </c>
      <c r="H56" s="32"/>
      <c r="J56" s="25"/>
      <c r="K56" s="26"/>
      <c r="L56" s="27"/>
    </row>
    <row r="57" spans="1:12" ht="15.75" hidden="1" customHeight="1">
      <c r="A57" s="71">
        <v>23</v>
      </c>
      <c r="B57" s="56" t="s">
        <v>54</v>
      </c>
      <c r="C57" s="70" t="s">
        <v>216</v>
      </c>
      <c r="D57" s="56" t="s">
        <v>93</v>
      </c>
      <c r="E57" s="23">
        <v>8</v>
      </c>
      <c r="F57" s="63">
        <v>65.67</v>
      </c>
      <c r="G57" s="16">
        <v>0</v>
      </c>
      <c r="H57" s="32"/>
      <c r="J57" s="25"/>
      <c r="K57" s="26"/>
      <c r="L57" s="27"/>
    </row>
    <row r="58" spans="1:12" ht="15.75" customHeight="1">
      <c r="A58" s="235" t="s">
        <v>251</v>
      </c>
      <c r="B58" s="236"/>
      <c r="C58" s="236"/>
      <c r="D58" s="236"/>
      <c r="E58" s="236"/>
      <c r="F58" s="236"/>
      <c r="G58" s="237"/>
      <c r="H58" s="32"/>
      <c r="J58" s="25"/>
      <c r="K58" s="26"/>
      <c r="L58" s="27"/>
    </row>
    <row r="59" spans="1:12" ht="15.75" customHeight="1">
      <c r="A59" s="124"/>
      <c r="B59" s="78" t="s">
        <v>56</v>
      </c>
      <c r="C59" s="20"/>
      <c r="D59" s="19"/>
      <c r="E59" s="19"/>
      <c r="F59" s="46"/>
      <c r="G59" s="23"/>
      <c r="H59" s="32"/>
      <c r="J59" s="25"/>
      <c r="K59" s="26"/>
      <c r="L59" s="27"/>
    </row>
    <row r="60" spans="1:12" ht="32.25" customHeight="1">
      <c r="A60" s="71">
        <v>14</v>
      </c>
      <c r="B60" s="56" t="s">
        <v>217</v>
      </c>
      <c r="C60" s="70" t="s">
        <v>192</v>
      </c>
      <c r="D60" s="56" t="s">
        <v>94</v>
      </c>
      <c r="E60" s="23"/>
      <c r="F60" s="177">
        <v>1547.28</v>
      </c>
      <c r="G60" s="24">
        <v>1642.13</v>
      </c>
      <c r="H60" s="32"/>
      <c r="J60" s="25"/>
      <c r="K60" s="26"/>
      <c r="L60" s="27"/>
    </row>
    <row r="61" spans="1:12" ht="15.75" customHeight="1">
      <c r="A61" s="71"/>
      <c r="B61" s="171" t="s">
        <v>57</v>
      </c>
      <c r="C61" s="171"/>
      <c r="D61" s="171"/>
      <c r="E61" s="171"/>
      <c r="F61" s="171"/>
      <c r="G61" s="61"/>
      <c r="H61" s="32"/>
      <c r="J61" s="25"/>
      <c r="K61" s="26"/>
      <c r="L61" s="27"/>
    </row>
    <row r="62" spans="1:12" ht="15.75" hidden="1" customHeight="1">
      <c r="A62" s="71">
        <v>16</v>
      </c>
      <c r="B62" s="178" t="s">
        <v>58</v>
      </c>
      <c r="C62" s="123" t="s">
        <v>68</v>
      </c>
      <c r="D62" s="178" t="s">
        <v>69</v>
      </c>
      <c r="E62" s="179"/>
      <c r="F62" s="180">
        <v>793.61</v>
      </c>
      <c r="G62" s="24">
        <v>0</v>
      </c>
      <c r="H62" s="32"/>
      <c r="J62" s="25"/>
      <c r="K62" s="26"/>
      <c r="L62" s="27"/>
    </row>
    <row r="63" spans="1:12" ht="15.75" customHeight="1">
      <c r="A63" s="71">
        <v>15</v>
      </c>
      <c r="B63" s="178" t="s">
        <v>157</v>
      </c>
      <c r="C63" s="123" t="s">
        <v>29</v>
      </c>
      <c r="D63" s="178" t="s">
        <v>36</v>
      </c>
      <c r="E63" s="179"/>
      <c r="F63" s="181">
        <v>2.6</v>
      </c>
      <c r="G63" s="24">
        <v>459.68</v>
      </c>
      <c r="H63" s="32"/>
      <c r="J63" s="25"/>
      <c r="K63" s="26"/>
      <c r="L63" s="27"/>
    </row>
    <row r="64" spans="1:12" ht="15.75" customHeight="1">
      <c r="A64" s="71"/>
      <c r="B64" s="171" t="s">
        <v>59</v>
      </c>
      <c r="C64" s="20"/>
      <c r="D64" s="65"/>
      <c r="E64" s="19"/>
      <c r="F64" s="46"/>
      <c r="G64" s="23"/>
      <c r="H64" s="32"/>
      <c r="J64" s="25"/>
      <c r="K64" s="26"/>
      <c r="L64" s="27"/>
    </row>
    <row r="65" spans="1:20" ht="15.75" customHeight="1">
      <c r="A65" s="71">
        <v>16</v>
      </c>
      <c r="B65" s="182" t="s">
        <v>60</v>
      </c>
      <c r="C65" s="66" t="s">
        <v>216</v>
      </c>
      <c r="D65" s="65" t="s">
        <v>89</v>
      </c>
      <c r="E65" s="23">
        <v>0</v>
      </c>
      <c r="F65" s="62">
        <v>222.4</v>
      </c>
      <c r="G65" s="24">
        <v>1112</v>
      </c>
      <c r="H65" s="32"/>
      <c r="J65" s="25"/>
    </row>
    <row r="66" spans="1:20" ht="15.75" hidden="1" customHeight="1">
      <c r="A66" s="46">
        <v>29</v>
      </c>
      <c r="B66" s="182" t="s">
        <v>61</v>
      </c>
      <c r="C66" s="66" t="s">
        <v>216</v>
      </c>
      <c r="D66" s="65" t="s">
        <v>89</v>
      </c>
      <c r="E66" s="23">
        <v>0</v>
      </c>
      <c r="F66" s="62">
        <v>76.25</v>
      </c>
      <c r="G66" s="24">
        <v>0</v>
      </c>
    </row>
    <row r="67" spans="1:20" ht="15.75" hidden="1" customHeight="1">
      <c r="A67" s="46">
        <v>8</v>
      </c>
      <c r="B67" s="182" t="s">
        <v>62</v>
      </c>
      <c r="C67" s="68" t="s">
        <v>218</v>
      </c>
      <c r="D67" s="65" t="s">
        <v>69</v>
      </c>
      <c r="E67" s="23">
        <v>13.47</v>
      </c>
      <c r="F67" s="62">
        <v>212.15</v>
      </c>
      <c r="G67" s="23">
        <v>0</v>
      </c>
    </row>
    <row r="68" spans="1:20" ht="15.75" hidden="1" customHeight="1">
      <c r="A68" s="46">
        <v>9</v>
      </c>
      <c r="B68" s="182" t="s">
        <v>63</v>
      </c>
      <c r="C68" s="66" t="s">
        <v>219</v>
      </c>
      <c r="D68" s="65"/>
      <c r="E68" s="23">
        <v>1.35</v>
      </c>
      <c r="F68" s="62">
        <v>165.21</v>
      </c>
      <c r="G68" s="23">
        <v>0</v>
      </c>
    </row>
    <row r="69" spans="1:20" ht="15.75" hidden="1" customHeight="1">
      <c r="A69" s="46">
        <v>10</v>
      </c>
      <c r="B69" s="182" t="s">
        <v>64</v>
      </c>
      <c r="C69" s="66" t="s">
        <v>100</v>
      </c>
      <c r="D69" s="65" t="s">
        <v>69</v>
      </c>
      <c r="E69" s="23">
        <v>0</v>
      </c>
      <c r="F69" s="62">
        <v>2074.63</v>
      </c>
      <c r="G69" s="23"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0"/>
    </row>
    <row r="70" spans="1:20" ht="15.75" hidden="1" customHeight="1">
      <c r="A70" s="46">
        <v>11</v>
      </c>
      <c r="B70" s="125" t="s">
        <v>220</v>
      </c>
      <c r="C70" s="66" t="s">
        <v>40</v>
      </c>
      <c r="D70" s="65"/>
      <c r="E70" s="15">
        <v>0</v>
      </c>
      <c r="F70" s="62">
        <v>42.67</v>
      </c>
      <c r="G70" s="23">
        <v>0</v>
      </c>
      <c r="H70" s="37"/>
      <c r="I70" s="37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20" ht="15.75" hidden="1" customHeight="1">
      <c r="A71" s="46">
        <v>12</v>
      </c>
      <c r="B71" s="125" t="s">
        <v>221</v>
      </c>
      <c r="C71" s="66" t="s">
        <v>40</v>
      </c>
      <c r="D71" s="65"/>
      <c r="E71" s="15"/>
      <c r="F71" s="62">
        <v>39.81</v>
      </c>
      <c r="G71" s="23">
        <v>0</v>
      </c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</row>
    <row r="72" spans="1:20" ht="15.75" hidden="1" customHeight="1">
      <c r="A72" s="46">
        <v>13</v>
      </c>
      <c r="B72" s="65" t="s">
        <v>76</v>
      </c>
      <c r="C72" s="66" t="s">
        <v>77</v>
      </c>
      <c r="D72" s="65" t="s">
        <v>69</v>
      </c>
      <c r="E72" s="15"/>
      <c r="F72" s="62">
        <v>49.88</v>
      </c>
      <c r="G72" s="23">
        <v>0</v>
      </c>
      <c r="H72" s="5"/>
      <c r="I72" s="5"/>
      <c r="J72" s="5"/>
      <c r="K72" s="5"/>
      <c r="L72" s="5"/>
      <c r="M72" s="5"/>
      <c r="N72" s="5"/>
      <c r="O72" s="5"/>
      <c r="P72" s="211"/>
      <c r="Q72" s="211"/>
      <c r="R72" s="211"/>
      <c r="S72" s="211"/>
    </row>
    <row r="73" spans="1:20" ht="15.75" hidden="1" customHeight="1">
      <c r="A73" s="124"/>
      <c r="B73" s="171" t="s">
        <v>222</v>
      </c>
      <c r="C73" s="171"/>
      <c r="D73" s="171"/>
      <c r="E73" s="171"/>
      <c r="F73" s="171"/>
      <c r="G73" s="23"/>
    </row>
    <row r="74" spans="1:20" ht="15.75" hidden="1" customHeight="1">
      <c r="A74" s="46">
        <v>17</v>
      </c>
      <c r="B74" s="183" t="s">
        <v>223</v>
      </c>
      <c r="C74" s="184"/>
      <c r="D74" s="185" t="s">
        <v>69</v>
      </c>
      <c r="E74" s="179">
        <v>0</v>
      </c>
      <c r="F74" s="64">
        <v>13437.4</v>
      </c>
      <c r="G74" s="23">
        <v>0</v>
      </c>
    </row>
    <row r="75" spans="1:20" ht="15.75" hidden="1" customHeight="1">
      <c r="A75" s="46"/>
      <c r="B75" s="79" t="s">
        <v>95</v>
      </c>
      <c r="C75" s="79"/>
      <c r="D75" s="79"/>
      <c r="E75" s="23"/>
      <c r="F75" s="46"/>
      <c r="G75" s="23"/>
    </row>
    <row r="76" spans="1:20" ht="15.75" hidden="1" customHeight="1">
      <c r="A76" s="46"/>
      <c r="B76" s="65" t="s">
        <v>96</v>
      </c>
      <c r="C76" s="66" t="s">
        <v>38</v>
      </c>
      <c r="D76" s="65" t="s">
        <v>89</v>
      </c>
      <c r="E76" s="23"/>
      <c r="F76" s="62">
        <v>501.62</v>
      </c>
      <c r="G76" s="23">
        <v>0</v>
      </c>
    </row>
    <row r="77" spans="1:20" ht="15.75" hidden="1" customHeight="1">
      <c r="A77" s="46"/>
      <c r="B77" s="65" t="s">
        <v>233</v>
      </c>
      <c r="C77" s="66" t="s">
        <v>37</v>
      </c>
      <c r="D77" s="65" t="s">
        <v>89</v>
      </c>
      <c r="E77" s="23"/>
      <c r="F77" s="62">
        <v>99.85</v>
      </c>
      <c r="G77" s="23">
        <v>0</v>
      </c>
    </row>
    <row r="78" spans="1:20" ht="15.75" hidden="1" customHeight="1">
      <c r="A78" s="46"/>
      <c r="B78" s="65" t="s">
        <v>234</v>
      </c>
      <c r="C78" s="66" t="s">
        <v>37</v>
      </c>
      <c r="D78" s="65" t="s">
        <v>89</v>
      </c>
      <c r="E78" s="23"/>
      <c r="F78" s="62">
        <v>120.26</v>
      </c>
      <c r="G78" s="23">
        <v>0</v>
      </c>
    </row>
    <row r="79" spans="1:20" ht="15.75" hidden="1" customHeight="1">
      <c r="A79" s="46"/>
      <c r="B79" s="65" t="s">
        <v>134</v>
      </c>
      <c r="C79" s="66" t="s">
        <v>37</v>
      </c>
      <c r="D79" s="65" t="s">
        <v>89</v>
      </c>
      <c r="E79" s="23"/>
      <c r="F79" s="62">
        <v>358.51</v>
      </c>
      <c r="G79" s="23">
        <v>0</v>
      </c>
    </row>
    <row r="80" spans="1:20" ht="15.75" hidden="1" customHeight="1">
      <c r="A80" s="46"/>
      <c r="B80" s="65" t="s">
        <v>97</v>
      </c>
      <c r="C80" s="66" t="s">
        <v>37</v>
      </c>
      <c r="D80" s="65" t="s">
        <v>89</v>
      </c>
      <c r="E80" s="23"/>
      <c r="F80" s="62">
        <v>852.99</v>
      </c>
      <c r="G80" s="23">
        <v>0</v>
      </c>
    </row>
    <row r="81" spans="1:7" ht="15.75" hidden="1" customHeight="1">
      <c r="A81" s="46"/>
      <c r="B81" s="80" t="s">
        <v>99</v>
      </c>
      <c r="C81" s="66"/>
      <c r="D81" s="46"/>
      <c r="E81" s="23"/>
      <c r="F81" s="62" t="s">
        <v>224</v>
      </c>
      <c r="G81" s="23"/>
    </row>
    <row r="82" spans="1:7" ht="15.75" hidden="1" customHeight="1">
      <c r="A82" s="46">
        <v>39</v>
      </c>
      <c r="B82" s="67" t="s">
        <v>225</v>
      </c>
      <c r="C82" s="68" t="s">
        <v>100</v>
      </c>
      <c r="D82" s="182"/>
      <c r="E82" s="23"/>
      <c r="F82" s="63">
        <v>2759.44</v>
      </c>
      <c r="G82" s="23">
        <v>0</v>
      </c>
    </row>
    <row r="83" spans="1:7" ht="15.75" customHeight="1">
      <c r="A83" s="238" t="s">
        <v>252</v>
      </c>
      <c r="B83" s="239"/>
      <c r="C83" s="239"/>
      <c r="D83" s="239"/>
      <c r="E83" s="239"/>
      <c r="F83" s="239"/>
      <c r="G83" s="240"/>
    </row>
    <row r="84" spans="1:7" ht="15.75" customHeight="1">
      <c r="A84" s="46">
        <v>17</v>
      </c>
      <c r="B84" s="56" t="s">
        <v>226</v>
      </c>
      <c r="C84" s="66" t="s">
        <v>72</v>
      </c>
      <c r="D84" s="186"/>
      <c r="E84" s="19">
        <v>327.9</v>
      </c>
      <c r="F84" s="62">
        <v>2.1</v>
      </c>
      <c r="G84" s="16">
        <v>6365.73</v>
      </c>
    </row>
    <row r="85" spans="1:7" ht="31.5" customHeight="1">
      <c r="A85" s="46">
        <v>18</v>
      </c>
      <c r="B85" s="65" t="s">
        <v>101</v>
      </c>
      <c r="C85" s="66"/>
      <c r="D85" s="187"/>
      <c r="E85" s="19"/>
      <c r="F85" s="62">
        <v>1.63</v>
      </c>
      <c r="G85" s="16">
        <v>4941.0200000000004</v>
      </c>
    </row>
    <row r="86" spans="1:7" ht="15.75" customHeight="1">
      <c r="A86" s="124"/>
      <c r="B86" s="69" t="s">
        <v>107</v>
      </c>
      <c r="C86" s="71"/>
      <c r="D86" s="19"/>
      <c r="E86" s="19"/>
      <c r="F86" s="23"/>
      <c r="G86" s="54">
        <f>SUM(G16+G17+G18+G27+G28+G39+G40+G41+G43+G44+G45+G46+G53++G60+G63+G65+G84+G85)</f>
        <v>47241.880000000005</v>
      </c>
    </row>
    <row r="87" spans="1:7" ht="15.75" customHeight="1">
      <c r="A87" s="124"/>
      <c r="B87" s="188" t="s">
        <v>79</v>
      </c>
      <c r="C87" s="188"/>
      <c r="D87" s="188"/>
      <c r="E87" s="188"/>
      <c r="F87" s="188"/>
      <c r="G87" s="188"/>
    </row>
    <row r="88" spans="1:7" ht="31.5" customHeight="1">
      <c r="A88" s="46">
        <v>19</v>
      </c>
      <c r="B88" s="195" t="s">
        <v>242</v>
      </c>
      <c r="C88" s="196" t="s">
        <v>109</v>
      </c>
      <c r="D88" s="188"/>
      <c r="E88" s="188"/>
      <c r="F88" s="62">
        <v>1187</v>
      </c>
      <c r="G88" s="62">
        <v>1187</v>
      </c>
    </row>
    <row r="89" spans="1:7" ht="31.5" customHeight="1">
      <c r="A89" s="46">
        <v>20</v>
      </c>
      <c r="B89" s="195" t="s">
        <v>243</v>
      </c>
      <c r="C89" s="196" t="s">
        <v>109</v>
      </c>
      <c r="D89" s="188"/>
      <c r="E89" s="188"/>
      <c r="F89" s="62">
        <v>1272</v>
      </c>
      <c r="G89" s="62">
        <v>2544</v>
      </c>
    </row>
    <row r="90" spans="1:7" ht="15.75" customHeight="1">
      <c r="A90" s="46">
        <v>21</v>
      </c>
      <c r="B90" s="195" t="s">
        <v>244</v>
      </c>
      <c r="C90" s="205" t="s">
        <v>245</v>
      </c>
      <c r="D90" s="188"/>
      <c r="E90" s="188"/>
      <c r="F90" s="62">
        <v>133.16999999999999</v>
      </c>
      <c r="G90" s="62">
        <v>133.16999999999999</v>
      </c>
    </row>
    <row r="91" spans="1:7" ht="15.75" customHeight="1">
      <c r="A91" s="197">
        <v>22</v>
      </c>
      <c r="B91" s="195" t="s">
        <v>241</v>
      </c>
      <c r="C91" s="196" t="s">
        <v>144</v>
      </c>
      <c r="D91" s="188"/>
      <c r="E91" s="188"/>
      <c r="F91" s="62">
        <v>1063.47</v>
      </c>
      <c r="G91" s="46">
        <v>1063.47</v>
      </c>
    </row>
    <row r="92" spans="1:7" ht="31.5" customHeight="1">
      <c r="A92" s="46">
        <v>23</v>
      </c>
      <c r="B92" s="191" t="s">
        <v>235</v>
      </c>
      <c r="C92" s="46" t="s">
        <v>236</v>
      </c>
      <c r="D92" s="188"/>
      <c r="E92" s="19"/>
      <c r="F92" s="62">
        <v>1835.8</v>
      </c>
      <c r="G92" s="16">
        <v>1835.8</v>
      </c>
    </row>
    <row r="93" spans="1:7" ht="31.5" customHeight="1">
      <c r="A93" s="46">
        <v>24</v>
      </c>
      <c r="B93" s="192" t="s">
        <v>106</v>
      </c>
      <c r="C93" s="190" t="s">
        <v>216</v>
      </c>
      <c r="D93" s="188"/>
      <c r="E93" s="19"/>
      <c r="F93" s="62">
        <v>79.09</v>
      </c>
      <c r="G93" s="16">
        <v>158.18</v>
      </c>
    </row>
    <row r="94" spans="1:7" ht="31.5" customHeight="1">
      <c r="A94" s="46">
        <v>25</v>
      </c>
      <c r="B94" s="189" t="s">
        <v>237</v>
      </c>
      <c r="C94" s="193" t="s">
        <v>49</v>
      </c>
      <c r="D94" s="188"/>
      <c r="E94" s="19"/>
      <c r="F94" s="62">
        <v>3397.65</v>
      </c>
      <c r="G94" s="16">
        <v>33.979999999999997</v>
      </c>
    </row>
    <row r="95" spans="1:7" ht="15.75" customHeight="1">
      <c r="A95" s="46"/>
      <c r="B95" s="76" t="s">
        <v>66</v>
      </c>
      <c r="C95" s="72"/>
      <c r="D95" s="126"/>
      <c r="E95" s="72">
        <v>1</v>
      </c>
      <c r="F95" s="72"/>
      <c r="G95" s="54">
        <f>SUM(G88:G94)</f>
        <v>6955.6</v>
      </c>
    </row>
    <row r="96" spans="1:7" ht="15.75" customHeight="1">
      <c r="A96" s="46"/>
      <c r="B96" s="82" t="s">
        <v>102</v>
      </c>
      <c r="C96" s="19"/>
      <c r="D96" s="19"/>
      <c r="E96" s="73"/>
      <c r="F96" s="74"/>
      <c r="G96" s="22">
        <v>0</v>
      </c>
    </row>
    <row r="97" spans="1:7" ht="15.75" customHeight="1">
      <c r="A97" s="127"/>
      <c r="B97" s="77" t="s">
        <v>67</v>
      </c>
      <c r="C97" s="60"/>
      <c r="D97" s="60"/>
      <c r="E97" s="60"/>
      <c r="F97" s="60"/>
      <c r="G97" s="75">
        <f>G86+G95</f>
        <v>54197.48</v>
      </c>
    </row>
    <row r="98" spans="1:7" ht="15.75">
      <c r="A98" s="227" t="s">
        <v>246</v>
      </c>
      <c r="B98" s="227"/>
      <c r="C98" s="227"/>
      <c r="D98" s="227"/>
      <c r="E98" s="227"/>
      <c r="F98" s="227"/>
      <c r="G98" s="227"/>
    </row>
    <row r="99" spans="1:7" ht="15.75">
      <c r="A99" s="170"/>
      <c r="B99" s="228" t="s">
        <v>247</v>
      </c>
      <c r="C99" s="228"/>
      <c r="D99" s="228"/>
      <c r="E99" s="228"/>
      <c r="F99" s="228"/>
      <c r="G99" s="3"/>
    </row>
    <row r="100" spans="1:7">
      <c r="A100" s="165"/>
      <c r="B100" s="216" t="s">
        <v>7</v>
      </c>
      <c r="C100" s="216"/>
      <c r="D100" s="216"/>
      <c r="E100" s="216"/>
      <c r="F100" s="216"/>
      <c r="G100" s="5"/>
    </row>
    <row r="101" spans="1:7">
      <c r="A101" s="11"/>
      <c r="B101" s="11"/>
      <c r="C101" s="11"/>
      <c r="D101" s="11"/>
      <c r="E101" s="11"/>
      <c r="F101" s="11"/>
      <c r="G101" s="11"/>
    </row>
    <row r="102" spans="1:7" ht="15.75">
      <c r="A102" s="229" t="s">
        <v>8</v>
      </c>
      <c r="B102" s="229"/>
      <c r="C102" s="229"/>
      <c r="D102" s="229"/>
      <c r="E102" s="229"/>
      <c r="F102" s="229"/>
      <c r="G102" s="229"/>
    </row>
    <row r="103" spans="1:7" ht="15.75">
      <c r="A103" s="229" t="s">
        <v>9</v>
      </c>
      <c r="B103" s="229"/>
      <c r="C103" s="229"/>
      <c r="D103" s="229"/>
      <c r="E103" s="229"/>
      <c r="F103" s="229"/>
      <c r="G103" s="229"/>
    </row>
    <row r="104" spans="1:7" ht="15.75">
      <c r="A104" s="225" t="s">
        <v>81</v>
      </c>
      <c r="B104" s="225"/>
      <c r="C104" s="225"/>
      <c r="D104" s="225"/>
      <c r="E104" s="225"/>
      <c r="F104" s="225"/>
      <c r="G104" s="225"/>
    </row>
    <row r="105" spans="1:7" ht="15.75">
      <c r="A105" s="12"/>
    </row>
    <row r="106" spans="1:7" ht="15.75">
      <c r="A106" s="226" t="s">
        <v>11</v>
      </c>
      <c r="B106" s="226"/>
      <c r="C106" s="226"/>
      <c r="D106" s="226"/>
      <c r="E106" s="226"/>
      <c r="F106" s="226"/>
      <c r="G106" s="226"/>
    </row>
    <row r="107" spans="1:7" ht="15.75">
      <c r="A107" s="4"/>
    </row>
    <row r="108" spans="1:7" ht="15.75">
      <c r="B108" s="166" t="s">
        <v>12</v>
      </c>
      <c r="C108" s="218" t="s">
        <v>140</v>
      </c>
      <c r="D108" s="218"/>
      <c r="E108" s="218"/>
      <c r="G108" s="168"/>
    </row>
    <row r="109" spans="1:7">
      <c r="A109" s="165"/>
      <c r="C109" s="216" t="s">
        <v>13</v>
      </c>
      <c r="D109" s="216"/>
      <c r="E109" s="216"/>
      <c r="G109" s="167" t="s">
        <v>14</v>
      </c>
    </row>
    <row r="110" spans="1:7" ht="15.75">
      <c r="A110" s="37"/>
      <c r="C110" s="13"/>
      <c r="D110" s="13"/>
      <c r="F110" s="13"/>
    </row>
    <row r="111" spans="1:7" ht="15.75">
      <c r="B111" s="166" t="s">
        <v>15</v>
      </c>
      <c r="C111" s="217"/>
      <c r="D111" s="217"/>
      <c r="E111" s="217"/>
      <c r="G111" s="168"/>
    </row>
    <row r="112" spans="1:7">
      <c r="A112" s="165"/>
      <c r="C112" s="211" t="s">
        <v>13</v>
      </c>
      <c r="D112" s="211"/>
      <c r="E112" s="211"/>
      <c r="G112" s="167" t="s">
        <v>14</v>
      </c>
    </row>
    <row r="113" spans="1:7" ht="15.75">
      <c r="A113" s="4" t="s">
        <v>16</v>
      </c>
    </row>
    <row r="114" spans="1:7">
      <c r="A114" s="224" t="s">
        <v>17</v>
      </c>
      <c r="B114" s="224"/>
      <c r="C114" s="224"/>
      <c r="D114" s="224"/>
      <c r="E114" s="224"/>
      <c r="F114" s="224"/>
      <c r="G114" s="224"/>
    </row>
    <row r="115" spans="1:7" ht="45" customHeight="1">
      <c r="A115" s="223" t="s">
        <v>18</v>
      </c>
      <c r="B115" s="223"/>
      <c r="C115" s="223"/>
      <c r="D115" s="223"/>
      <c r="E115" s="223"/>
      <c r="F115" s="223"/>
      <c r="G115" s="223"/>
    </row>
    <row r="116" spans="1:7" ht="30" customHeight="1">
      <c r="A116" s="223" t="s">
        <v>19</v>
      </c>
      <c r="B116" s="223"/>
      <c r="C116" s="223"/>
      <c r="D116" s="223"/>
      <c r="E116" s="223"/>
      <c r="F116" s="223"/>
      <c r="G116" s="223"/>
    </row>
    <row r="117" spans="1:7" ht="30" customHeight="1">
      <c r="A117" s="223" t="s">
        <v>24</v>
      </c>
      <c r="B117" s="223"/>
      <c r="C117" s="223"/>
      <c r="D117" s="223"/>
      <c r="E117" s="223"/>
      <c r="F117" s="223"/>
      <c r="G117" s="223"/>
    </row>
    <row r="118" spans="1:7" ht="15.75">
      <c r="A118" s="223" t="s">
        <v>23</v>
      </c>
      <c r="B118" s="223"/>
      <c r="C118" s="223"/>
      <c r="D118" s="223"/>
      <c r="E118" s="223"/>
      <c r="F118" s="223"/>
      <c r="G118" s="223"/>
    </row>
  </sheetData>
  <autoFilter ref="G12:G67"/>
  <mergeCells count="28">
    <mergeCell ref="A83:G83"/>
    <mergeCell ref="A14:G14"/>
    <mergeCell ref="A15:G15"/>
    <mergeCell ref="A29:G29"/>
    <mergeCell ref="A47:G47"/>
    <mergeCell ref="P72:S72"/>
    <mergeCell ref="A58:G58"/>
    <mergeCell ref="A3:G3"/>
    <mergeCell ref="A4:G4"/>
    <mergeCell ref="A8:G8"/>
    <mergeCell ref="A10:G10"/>
    <mergeCell ref="A5:G5"/>
    <mergeCell ref="A98:G98"/>
    <mergeCell ref="B99:F99"/>
    <mergeCell ref="B100:F100"/>
    <mergeCell ref="A102:G102"/>
    <mergeCell ref="A103:G103"/>
    <mergeCell ref="A104:G104"/>
    <mergeCell ref="A106:G106"/>
    <mergeCell ref="C108:E108"/>
    <mergeCell ref="C109:E109"/>
    <mergeCell ref="A117:G117"/>
    <mergeCell ref="A118:G118"/>
    <mergeCell ref="C111:E111"/>
    <mergeCell ref="C112:E112"/>
    <mergeCell ref="A114:G114"/>
    <mergeCell ref="A115:G115"/>
    <mergeCell ref="A116:G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3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283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108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42429</v>
      </c>
      <c r="J6" s="2"/>
      <c r="K6" s="2"/>
      <c r="L6" s="2"/>
      <c r="M6" s="2"/>
    </row>
    <row r="7" spans="1:13" ht="15.7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hidden="1" customHeight="1">
      <c r="A19" s="46"/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v>0</v>
      </c>
      <c r="J19" s="31"/>
      <c r="K19" s="8"/>
      <c r="L19" s="8"/>
      <c r="M19" s="8"/>
    </row>
    <row r="20" spans="1:13" ht="15" hidden="1" customHeight="1">
      <c r="A20" s="46"/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v>0</v>
      </c>
      <c r="J20" s="31"/>
      <c r="K20" s="8"/>
      <c r="L20" s="8"/>
      <c r="M20" s="8"/>
    </row>
    <row r="21" spans="1:13" ht="15" hidden="1" customHeight="1">
      <c r="A21" s="46"/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v>0</v>
      </c>
      <c r="J21" s="31"/>
      <c r="K21" s="8"/>
      <c r="L21" s="8"/>
      <c r="M21" s="8"/>
    </row>
    <row r="22" spans="1:13" ht="15" hidden="1" customHeight="1">
      <c r="A22" s="46"/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v>0</v>
      </c>
      <c r="J22" s="31"/>
      <c r="K22" s="8"/>
      <c r="L22" s="8"/>
      <c r="M22" s="8"/>
    </row>
    <row r="23" spans="1:13" ht="15" hidden="1" customHeight="1">
      <c r="A23" s="46"/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v>0</v>
      </c>
      <c r="J23" s="31"/>
      <c r="K23" s="8"/>
      <c r="L23" s="8"/>
      <c r="M23" s="8"/>
    </row>
    <row r="24" spans="1:13" ht="15" hidden="1" customHeight="1">
      <c r="A24" s="46"/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v>0</v>
      </c>
      <c r="J24" s="31"/>
      <c r="K24" s="8"/>
      <c r="L24" s="8"/>
      <c r="M24" s="8"/>
    </row>
    <row r="25" spans="1:13" ht="15" hidden="1" customHeight="1">
      <c r="A25" s="46"/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v>0</v>
      </c>
      <c r="J25" s="31"/>
      <c r="K25" s="8"/>
      <c r="L25" s="8"/>
      <c r="M25" s="8"/>
    </row>
    <row r="26" spans="1:13" ht="15" hidden="1" customHeight="1">
      <c r="A26" s="46"/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v>0</v>
      </c>
      <c r="J26" s="31"/>
      <c r="K26" s="8"/>
      <c r="L26" s="8"/>
      <c r="M26" s="8"/>
    </row>
    <row r="27" spans="1:13" ht="15" customHeight="1">
      <c r="A27" s="46">
        <v>4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5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hidden="1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hidden="1" customHeight="1">
      <c r="A31" s="46">
        <v>6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1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hidden="1" customHeight="1">
      <c r="A32" s="46">
        <v>7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1"/>
        <v>1.3717735199999999</v>
      </c>
      <c r="I32" s="16">
        <f t="shared" ref="I32:I35" si="2">F32/6*G32</f>
        <v>228.62891999999999</v>
      </c>
      <c r="J32" s="31"/>
      <c r="K32" s="8"/>
      <c r="L32" s="8"/>
      <c r="M32" s="8"/>
    </row>
    <row r="33" spans="1:14" ht="15" hidden="1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1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hidden="1" customHeight="1">
      <c r="A34" s="46">
        <v>8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2"/>
        <v>1345.4206666666669</v>
      </c>
      <c r="J34" s="31"/>
      <c r="K34" s="8"/>
      <c r="L34" s="8"/>
      <c r="M34" s="8"/>
    </row>
    <row r="35" spans="1:14" ht="15" hidden="1" customHeight="1">
      <c r="A35" s="46">
        <v>9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2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1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1"/>
        <v>2.27264</v>
      </c>
      <c r="I37" s="16">
        <v>0</v>
      </c>
      <c r="J37" s="32"/>
    </row>
    <row r="38" spans="1:14" ht="15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3">SUM(F39*G39/1000)</f>
        <v>9.1633200000000006</v>
      </c>
      <c r="I39" s="16">
        <f>F39/6*G39</f>
        <v>1527.22</v>
      </c>
      <c r="J39" s="32"/>
    </row>
    <row r="40" spans="1:14" ht="15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3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3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3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3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3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hidden="1" customHeight="1">
      <c r="A48" s="46"/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4">SUM(F48*G48/1000)</f>
        <v>1.7187541239999997</v>
      </c>
      <c r="I48" s="16">
        <v>0</v>
      </c>
      <c r="J48" s="32"/>
      <c r="L48" s="25"/>
      <c r="M48" s="26"/>
      <c r="N48" s="27"/>
    </row>
    <row r="49" spans="1:22" ht="15" hidden="1" customHeight="1">
      <c r="A49" s="46"/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4"/>
        <v>6.0265920000000001E-2</v>
      </c>
      <c r="I49" s="16">
        <v>0</v>
      </c>
      <c r="J49" s="32"/>
      <c r="L49" s="25"/>
      <c r="M49" s="26"/>
      <c r="N49" s="27"/>
    </row>
    <row r="50" spans="1:22" ht="15" hidden="1" customHeight="1">
      <c r="A50" s="46"/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4"/>
        <v>1.4357196480000001</v>
      </c>
      <c r="I50" s="16">
        <v>0</v>
      </c>
      <c r="J50" s="32"/>
      <c r="L50" s="25"/>
      <c r="M50" s="26"/>
      <c r="N50" s="27"/>
    </row>
    <row r="51" spans="1:22" ht="15" hidden="1" customHeight="1">
      <c r="A51" s="46"/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4"/>
        <v>2.1771028954</v>
      </c>
      <c r="I51" s="16">
        <v>0</v>
      </c>
      <c r="J51" s="32"/>
      <c r="L51" s="25"/>
      <c r="M51" s="26"/>
      <c r="N51" s="27"/>
    </row>
    <row r="52" spans="1:22" ht="15" hidden="1" customHeight="1">
      <c r="A52" s="46"/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4"/>
        <v>0.124912836</v>
      </c>
      <c r="I52" s="16">
        <v>0</v>
      </c>
      <c r="J52" s="32"/>
      <c r="L52" s="25"/>
      <c r="M52" s="26"/>
      <c r="N52" s="27"/>
    </row>
    <row r="53" spans="1:22" ht="15" customHeight="1">
      <c r="A53" s="46">
        <v>13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4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hidden="1" customHeight="1">
      <c r="A54" s="46"/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4"/>
        <v>2.1455563999999998</v>
      </c>
      <c r="I54" s="16">
        <v>0</v>
      </c>
      <c r="J54" s="32"/>
      <c r="L54" s="25"/>
      <c r="M54" s="26"/>
      <c r="N54" s="27"/>
    </row>
    <row r="55" spans="1:22" ht="31.5" hidden="1" customHeight="1">
      <c r="A55" s="46"/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4"/>
        <v>1.0921959999999999</v>
      </c>
      <c r="I55" s="16">
        <v>0</v>
      </c>
      <c r="J55" s="32"/>
      <c r="L55" s="25"/>
      <c r="M55" s="26"/>
      <c r="N55" s="27"/>
    </row>
    <row r="56" spans="1:22" ht="15" hidden="1" customHeight="1">
      <c r="A56" s="46"/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4"/>
        <v>0.11304260000000001</v>
      </c>
      <c r="I56" s="16">
        <v>0</v>
      </c>
      <c r="J56" s="32"/>
      <c r="L56" s="25"/>
      <c r="M56" s="26"/>
      <c r="N56" s="27"/>
    </row>
    <row r="57" spans="1:22" ht="15" hidden="1" customHeight="1">
      <c r="A57" s="46">
        <v>14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4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251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customHeight="1">
      <c r="A60" s="46">
        <v>14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15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hidden="1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hidden="1" customHeight="1">
      <c r="A65" s="46"/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80" si="5">SUM(F65*G65/1000)</f>
        <v>4.4480000000000004</v>
      </c>
      <c r="I65" s="16">
        <v>0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46">
        <v>17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5"/>
        <v>#VALUE!</v>
      </c>
      <c r="I66" s="16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46"/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5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hidden="1" customHeight="1">
      <c r="A68" s="46"/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5"/>
        <v>2.08941087</v>
      </c>
      <c r="I68" s="16">
        <f t="shared" ref="I68:I72" si="6">F68*G68</f>
        <v>2089.4108700000002</v>
      </c>
    </row>
    <row r="69" spans="1:21" ht="15" hidden="1" customHeight="1">
      <c r="A69" s="46"/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5"/>
        <v>39.417970000000004</v>
      </c>
      <c r="I69" s="16">
        <f t="shared" si="6"/>
        <v>39417.97</v>
      </c>
    </row>
    <row r="70" spans="1:21" ht="15" hidden="1" customHeight="1">
      <c r="A70" s="46"/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5"/>
        <v>0.48217100000000007</v>
      </c>
      <c r="I70" s="16">
        <f t="shared" si="6"/>
        <v>482.17100000000005</v>
      </c>
    </row>
    <row r="71" spans="1:21" ht="15" hidden="1" customHeight="1">
      <c r="A71" s="46"/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5"/>
        <v>0.44985300000000006</v>
      </c>
      <c r="I71" s="16">
        <f t="shared" si="6"/>
        <v>449.85300000000007</v>
      </c>
    </row>
    <row r="72" spans="1:21" ht="15" hidden="1" customHeight="1">
      <c r="A72" s="46"/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5"/>
        <v>0.29928000000000005</v>
      </c>
      <c r="I72" s="16">
        <f t="shared" si="6"/>
        <v>299.28000000000003</v>
      </c>
    </row>
    <row r="73" spans="1:21" ht="15" hidden="1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hidden="1" customHeight="1">
      <c r="A74" s="46"/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v>0</v>
      </c>
    </row>
    <row r="75" spans="1:21" ht="15" hidden="1" customHeight="1">
      <c r="A75" s="46"/>
      <c r="B75" s="18" t="s">
        <v>233</v>
      </c>
      <c r="C75" s="20" t="s">
        <v>37</v>
      </c>
      <c r="D75" s="18"/>
      <c r="E75" s="23">
        <v>2</v>
      </c>
      <c r="F75" s="16">
        <v>2</v>
      </c>
      <c r="G75" s="16">
        <v>99.85</v>
      </c>
      <c r="H75" s="264">
        <v>0.1</v>
      </c>
      <c r="I75" s="16">
        <v>0</v>
      </c>
    </row>
    <row r="76" spans="1:21" ht="15" hidden="1" customHeight="1">
      <c r="A76" s="46"/>
      <c r="B76" s="18" t="s">
        <v>234</v>
      </c>
      <c r="C76" s="20" t="s">
        <v>37</v>
      </c>
      <c r="D76" s="18"/>
      <c r="E76" s="23">
        <v>1</v>
      </c>
      <c r="F76" s="241">
        <v>1</v>
      </c>
      <c r="G76" s="16">
        <v>120.26</v>
      </c>
      <c r="H76" s="264">
        <v>0.12</v>
      </c>
      <c r="I76" s="16">
        <v>0</v>
      </c>
    </row>
    <row r="77" spans="1:21" ht="15" hidden="1" customHeight="1">
      <c r="A77" s="46"/>
      <c r="B77" s="18" t="s">
        <v>134</v>
      </c>
      <c r="C77" s="20" t="s">
        <v>37</v>
      </c>
      <c r="D77" s="18"/>
      <c r="E77" s="23">
        <v>1</v>
      </c>
      <c r="F77" s="250">
        <f>SUM(E77)</f>
        <v>1</v>
      </c>
      <c r="G77" s="16">
        <v>358.51</v>
      </c>
      <c r="H77" s="264">
        <f t="shared" si="5"/>
        <v>0.35851</v>
      </c>
      <c r="I77" s="16">
        <v>0</v>
      </c>
    </row>
    <row r="78" spans="1:21" ht="15" hidden="1" customHeight="1">
      <c r="A78" s="46"/>
      <c r="B78" s="18" t="s">
        <v>97</v>
      </c>
      <c r="C78" s="20" t="s">
        <v>37</v>
      </c>
      <c r="D78" s="18"/>
      <c r="E78" s="23">
        <v>1</v>
      </c>
      <c r="F78" s="16">
        <v>1</v>
      </c>
      <c r="G78" s="16">
        <v>852.99</v>
      </c>
      <c r="H78" s="264">
        <f>F78*G78/1000</f>
        <v>0.85299000000000003</v>
      </c>
      <c r="I78" s="16">
        <v>0</v>
      </c>
    </row>
    <row r="79" spans="1:21" ht="15" hidden="1" customHeight="1">
      <c r="A79" s="46"/>
      <c r="B79" s="266" t="s">
        <v>99</v>
      </c>
      <c r="C79" s="20"/>
      <c r="D79" s="18"/>
      <c r="E79" s="23"/>
      <c r="F79" s="16"/>
      <c r="G79" s="16" t="s">
        <v>224</v>
      </c>
      <c r="H79" s="264" t="s">
        <v>224</v>
      </c>
      <c r="I79" s="16"/>
    </row>
    <row r="80" spans="1:21" ht="15" hidden="1" customHeight="1">
      <c r="A80" s="46"/>
      <c r="B80" s="82" t="s">
        <v>225</v>
      </c>
      <c r="C80" s="20" t="s">
        <v>100</v>
      </c>
      <c r="D80" s="18"/>
      <c r="E80" s="23"/>
      <c r="F80" s="16">
        <v>0.2</v>
      </c>
      <c r="G80" s="16">
        <v>2759.44</v>
      </c>
      <c r="H80" s="264">
        <f t="shared" si="5"/>
        <v>0.55188800000000005</v>
      </c>
      <c r="I80" s="16">
        <v>0</v>
      </c>
    </row>
    <row r="81" spans="1:9" ht="15" hidden="1" customHeight="1">
      <c r="A81" s="46"/>
      <c r="B81" s="254" t="s">
        <v>222</v>
      </c>
      <c r="C81" s="266"/>
      <c r="D81" s="52"/>
      <c r="E81" s="54"/>
      <c r="F81" s="255"/>
      <c r="G81" s="255"/>
      <c r="H81" s="267" t="e">
        <f>SUM(H60:H80)</f>
        <v>#VALUE!</v>
      </c>
      <c r="I81" s="255"/>
    </row>
    <row r="82" spans="1:9" ht="15" hidden="1" customHeight="1">
      <c r="A82" s="46"/>
      <c r="B82" s="247" t="s">
        <v>223</v>
      </c>
      <c r="C82" s="20"/>
      <c r="D82" s="18"/>
      <c r="E82" s="242"/>
      <c r="F82" s="16">
        <v>1</v>
      </c>
      <c r="G82" s="16">
        <v>13437.4</v>
      </c>
      <c r="H82" s="264">
        <f>G82*F82/1000</f>
        <v>13.4374</v>
      </c>
      <c r="I82" s="16">
        <v>0</v>
      </c>
    </row>
    <row r="83" spans="1:9" ht="15.75" customHeight="1">
      <c r="A83" s="238" t="s">
        <v>252</v>
      </c>
      <c r="B83" s="239"/>
      <c r="C83" s="239"/>
      <c r="D83" s="239"/>
      <c r="E83" s="239"/>
      <c r="F83" s="239"/>
      <c r="G83" s="239"/>
      <c r="H83" s="239"/>
      <c r="I83" s="240"/>
    </row>
    <row r="84" spans="1:9" ht="15" customHeight="1">
      <c r="A84" s="46">
        <v>16</v>
      </c>
      <c r="B84" s="247" t="s">
        <v>226</v>
      </c>
      <c r="C84" s="20" t="s">
        <v>72</v>
      </c>
      <c r="D84" s="268" t="s">
        <v>73</v>
      </c>
      <c r="E84" s="16">
        <v>3031.3</v>
      </c>
      <c r="F84" s="16">
        <f>SUM(E84*12)</f>
        <v>36375.600000000006</v>
      </c>
      <c r="G84" s="16">
        <v>2.1</v>
      </c>
      <c r="H84" s="264">
        <f>SUM(F84*G84/1000)</f>
        <v>76.388760000000005</v>
      </c>
      <c r="I84" s="16">
        <f>F84/12*G84</f>
        <v>6365.7300000000014</v>
      </c>
    </row>
    <row r="85" spans="1:9" ht="31.5" customHeight="1">
      <c r="A85" s="46">
        <v>17</v>
      </c>
      <c r="B85" s="18" t="s">
        <v>101</v>
      </c>
      <c r="C85" s="20"/>
      <c r="D85" s="268" t="s">
        <v>73</v>
      </c>
      <c r="E85" s="249">
        <f>E84</f>
        <v>3031.3</v>
      </c>
      <c r="F85" s="16">
        <f>E85*12</f>
        <v>36375.600000000006</v>
      </c>
      <c r="G85" s="16">
        <v>1.63</v>
      </c>
      <c r="H85" s="264">
        <f>F85*G85/1000</f>
        <v>59.292228000000001</v>
      </c>
      <c r="I85" s="16">
        <f>F85/12*G85</f>
        <v>4941.0190000000011</v>
      </c>
    </row>
    <row r="86" spans="1:9" ht="15.75" customHeight="1">
      <c r="A86" s="124"/>
      <c r="B86" s="69" t="s">
        <v>107</v>
      </c>
      <c r="C86" s="71"/>
      <c r="D86" s="19"/>
      <c r="E86" s="19"/>
      <c r="F86" s="19"/>
      <c r="G86" s="23"/>
      <c r="H86" s="23"/>
      <c r="I86" s="54">
        <f>I16+I17+I18+I27+I28+I39+I40+I41+I43+I44+I45+I46+I53+I60+I63+I84+I85</f>
        <v>46129.879711333342</v>
      </c>
    </row>
    <row r="87" spans="1:9" ht="15.75" customHeight="1">
      <c r="A87" s="124"/>
      <c r="B87" s="188" t="s">
        <v>79</v>
      </c>
      <c r="C87" s="188"/>
      <c r="D87" s="188"/>
      <c r="E87" s="188"/>
      <c r="F87" s="188"/>
      <c r="G87" s="188"/>
      <c r="H87" s="188"/>
      <c r="I87" s="188"/>
    </row>
    <row r="88" spans="1:9" ht="31.5" customHeight="1">
      <c r="A88" s="46">
        <v>18</v>
      </c>
      <c r="B88" s="191" t="s">
        <v>235</v>
      </c>
      <c r="C88" s="46" t="s">
        <v>236</v>
      </c>
      <c r="D88" s="82"/>
      <c r="E88" s="16"/>
      <c r="F88" s="16">
        <v>2</v>
      </c>
      <c r="G88" s="16">
        <v>1835.8</v>
      </c>
      <c r="H88" s="264">
        <f>G88*F88/1000</f>
        <v>3.6715999999999998</v>
      </c>
      <c r="I88" s="16">
        <f>G88</f>
        <v>1835.8</v>
      </c>
    </row>
    <row r="89" spans="1:9" ht="31.5" customHeight="1">
      <c r="A89" s="46">
        <v>19</v>
      </c>
      <c r="B89" s="189" t="s">
        <v>106</v>
      </c>
      <c r="C89" s="193" t="s">
        <v>216</v>
      </c>
      <c r="D89" s="82"/>
      <c r="E89" s="16"/>
      <c r="F89" s="16">
        <v>8</v>
      </c>
      <c r="G89" s="16">
        <v>79.09</v>
      </c>
      <c r="H89" s="264">
        <f t="shared" ref="H89:H109" si="7">G89*F89/1000</f>
        <v>0.63272000000000006</v>
      </c>
      <c r="I89" s="16">
        <f>G89</f>
        <v>79.09</v>
      </c>
    </row>
    <row r="90" spans="1:9" ht="15" customHeight="1">
      <c r="A90" s="46">
        <v>20</v>
      </c>
      <c r="B90" s="189" t="s">
        <v>260</v>
      </c>
      <c r="C90" s="193" t="s">
        <v>216</v>
      </c>
      <c r="D90" s="82"/>
      <c r="E90" s="16"/>
      <c r="F90" s="16">
        <v>2</v>
      </c>
      <c r="G90" s="16">
        <f>620.95</f>
        <v>620.95000000000005</v>
      </c>
      <c r="H90" s="264">
        <f t="shared" si="7"/>
        <v>1.2419</v>
      </c>
      <c r="I90" s="16">
        <f>G90*2</f>
        <v>1241.9000000000001</v>
      </c>
    </row>
    <row r="91" spans="1:9" ht="15" customHeight="1">
      <c r="A91" s="46">
        <v>21</v>
      </c>
      <c r="B91" s="82" t="s">
        <v>132</v>
      </c>
      <c r="C91" s="20" t="s">
        <v>171</v>
      </c>
      <c r="D91" s="82"/>
      <c r="E91" s="16"/>
      <c r="F91" s="16">
        <v>7.5</v>
      </c>
      <c r="G91" s="16">
        <v>1501</v>
      </c>
      <c r="H91" s="264">
        <f t="shared" si="7"/>
        <v>11.2575</v>
      </c>
      <c r="I91" s="16">
        <f>G91*4.5</f>
        <v>6754.5</v>
      </c>
    </row>
    <row r="92" spans="1:9" ht="15" customHeight="1">
      <c r="A92" s="46">
        <v>22</v>
      </c>
      <c r="B92" s="269" t="s">
        <v>119</v>
      </c>
      <c r="C92" s="193" t="s">
        <v>216</v>
      </c>
      <c r="D92" s="82"/>
      <c r="E92" s="16"/>
      <c r="F92" s="16">
        <v>2</v>
      </c>
      <c r="G92" s="16">
        <v>179.96</v>
      </c>
      <c r="H92" s="16">
        <f t="shared" si="7"/>
        <v>0.35992000000000002</v>
      </c>
      <c r="I92" s="16">
        <f>G92</f>
        <v>179.96</v>
      </c>
    </row>
    <row r="93" spans="1:9" ht="15" hidden="1" customHeight="1">
      <c r="A93" s="46"/>
      <c r="B93" s="269" t="s">
        <v>261</v>
      </c>
      <c r="C93" s="193" t="s">
        <v>262</v>
      </c>
      <c r="D93" s="82"/>
      <c r="E93" s="16"/>
      <c r="F93" s="16">
        <v>1</v>
      </c>
      <c r="G93" s="16">
        <v>3651</v>
      </c>
      <c r="H93" s="264">
        <f t="shared" si="7"/>
        <v>3.6509999999999998</v>
      </c>
      <c r="I93" s="16">
        <v>0</v>
      </c>
    </row>
    <row r="94" spans="1:9" ht="31.5" hidden="1" customHeight="1">
      <c r="A94" s="46"/>
      <c r="B94" s="189" t="s">
        <v>263</v>
      </c>
      <c r="C94" s="193" t="s">
        <v>177</v>
      </c>
      <c r="D94" s="82"/>
      <c r="E94" s="16"/>
      <c r="F94" s="16">
        <v>1</v>
      </c>
      <c r="G94" s="16">
        <v>51.39</v>
      </c>
      <c r="H94" s="264">
        <f t="shared" si="7"/>
        <v>5.1389999999999998E-2</v>
      </c>
      <c r="I94" s="16">
        <v>0</v>
      </c>
    </row>
    <row r="95" spans="1:9" ht="15" hidden="1" customHeight="1">
      <c r="A95" s="46"/>
      <c r="B95" s="189" t="s">
        <v>264</v>
      </c>
      <c r="C95" s="246" t="s">
        <v>109</v>
      </c>
      <c r="D95" s="82"/>
      <c r="E95" s="16"/>
      <c r="F95" s="16">
        <v>1</v>
      </c>
      <c r="G95" s="16">
        <v>18</v>
      </c>
      <c r="H95" s="264">
        <f t="shared" si="7"/>
        <v>1.7999999999999999E-2</v>
      </c>
      <c r="I95" s="16">
        <v>0</v>
      </c>
    </row>
    <row r="96" spans="1:9" ht="31.5" hidden="1" customHeight="1">
      <c r="A96" s="46"/>
      <c r="B96" s="191" t="s">
        <v>265</v>
      </c>
      <c r="C96" s="46" t="s">
        <v>236</v>
      </c>
      <c r="D96" s="82"/>
      <c r="E96" s="16"/>
      <c r="F96" s="16">
        <v>1</v>
      </c>
      <c r="G96" s="16">
        <v>383.01</v>
      </c>
      <c r="H96" s="264">
        <f t="shared" si="7"/>
        <v>0.38301000000000002</v>
      </c>
      <c r="I96" s="16">
        <v>0</v>
      </c>
    </row>
    <row r="97" spans="1:9" ht="15" hidden="1" customHeight="1">
      <c r="A97" s="46"/>
      <c r="B97" s="189" t="s">
        <v>266</v>
      </c>
      <c r="C97" s="193" t="s">
        <v>262</v>
      </c>
      <c r="D97" s="82"/>
      <c r="E97" s="16"/>
      <c r="F97" s="16">
        <v>2</v>
      </c>
      <c r="G97" s="16">
        <v>4879</v>
      </c>
      <c r="H97" s="264">
        <f t="shared" si="7"/>
        <v>9.7579999999999991</v>
      </c>
      <c r="I97" s="16">
        <v>0</v>
      </c>
    </row>
    <row r="98" spans="1:9" ht="15" hidden="1" customHeight="1">
      <c r="A98" s="46"/>
      <c r="B98" s="189" t="s">
        <v>267</v>
      </c>
      <c r="C98" s="193" t="s">
        <v>118</v>
      </c>
      <c r="D98" s="82"/>
      <c r="E98" s="16"/>
      <c r="F98" s="16">
        <v>4</v>
      </c>
      <c r="G98" s="16">
        <v>185.81</v>
      </c>
      <c r="H98" s="264">
        <f t="shared" si="7"/>
        <v>0.74324000000000001</v>
      </c>
      <c r="I98" s="16">
        <v>0</v>
      </c>
    </row>
    <row r="99" spans="1:9" ht="15" hidden="1" customHeight="1">
      <c r="A99" s="46"/>
      <c r="B99" s="189" t="s">
        <v>112</v>
      </c>
      <c r="C99" s="193" t="s">
        <v>216</v>
      </c>
      <c r="D99" s="82"/>
      <c r="E99" s="16"/>
      <c r="F99" s="16">
        <v>3</v>
      </c>
      <c r="G99" s="16">
        <v>180.15</v>
      </c>
      <c r="H99" s="264">
        <f t="shared" si="7"/>
        <v>0.5404500000000001</v>
      </c>
      <c r="I99" s="16">
        <v>0</v>
      </c>
    </row>
    <row r="100" spans="1:9" ht="31.5" hidden="1" customHeight="1">
      <c r="A100" s="46"/>
      <c r="B100" s="189" t="s">
        <v>268</v>
      </c>
      <c r="C100" s="193" t="s">
        <v>161</v>
      </c>
      <c r="D100" s="82"/>
      <c r="E100" s="16"/>
      <c r="F100" s="16">
        <f>3.11/10</f>
        <v>0.311</v>
      </c>
      <c r="G100" s="16">
        <v>5641.28</v>
      </c>
      <c r="H100" s="264">
        <f t="shared" si="7"/>
        <v>1.7544380799999999</v>
      </c>
      <c r="I100" s="16">
        <v>0</v>
      </c>
    </row>
    <row r="101" spans="1:9" ht="15" hidden="1" customHeight="1">
      <c r="A101" s="46"/>
      <c r="B101" s="189" t="s">
        <v>269</v>
      </c>
      <c r="C101" s="193" t="s">
        <v>270</v>
      </c>
      <c r="D101" s="82"/>
      <c r="E101" s="16"/>
      <c r="F101" s="16">
        <v>1</v>
      </c>
      <c r="G101" s="16">
        <v>755</v>
      </c>
      <c r="H101" s="264">
        <f t="shared" si="7"/>
        <v>0.755</v>
      </c>
      <c r="I101" s="16">
        <v>0</v>
      </c>
    </row>
    <row r="102" spans="1:9" ht="47.25" hidden="1" customHeight="1">
      <c r="A102" s="46"/>
      <c r="B102" s="191" t="s">
        <v>271</v>
      </c>
      <c r="C102" s="46" t="s">
        <v>161</v>
      </c>
      <c r="D102" s="82"/>
      <c r="E102" s="16"/>
      <c r="F102" s="16">
        <f>2/10</f>
        <v>0.2</v>
      </c>
      <c r="G102" s="16">
        <v>18308.990000000002</v>
      </c>
      <c r="H102" s="264">
        <f t="shared" si="7"/>
        <v>3.6617980000000006</v>
      </c>
      <c r="I102" s="16">
        <v>0</v>
      </c>
    </row>
    <row r="103" spans="1:9" ht="47.25" hidden="1" customHeight="1">
      <c r="A103" s="46"/>
      <c r="B103" s="189" t="s">
        <v>272</v>
      </c>
      <c r="C103" s="193" t="s">
        <v>161</v>
      </c>
      <c r="D103" s="82"/>
      <c r="E103" s="16"/>
      <c r="F103" s="16">
        <f>6/10</f>
        <v>0.6</v>
      </c>
      <c r="G103" s="16">
        <v>9068.24</v>
      </c>
      <c r="H103" s="264">
        <f t="shared" si="7"/>
        <v>5.4409439999999991</v>
      </c>
      <c r="I103" s="16">
        <v>0</v>
      </c>
    </row>
    <row r="104" spans="1:9" ht="15" hidden="1" customHeight="1">
      <c r="A104" s="46"/>
      <c r="B104" s="189" t="s">
        <v>273</v>
      </c>
      <c r="C104" s="193" t="s">
        <v>274</v>
      </c>
      <c r="D104" s="82"/>
      <c r="E104" s="16"/>
      <c r="F104" s="16">
        <v>1</v>
      </c>
      <c r="G104" s="16">
        <v>195.95</v>
      </c>
      <c r="H104" s="264">
        <f t="shared" si="7"/>
        <v>0.19594999999999999</v>
      </c>
      <c r="I104" s="16">
        <v>0</v>
      </c>
    </row>
    <row r="105" spans="1:9" ht="31.5" hidden="1" customHeight="1">
      <c r="A105" s="46"/>
      <c r="B105" s="189" t="s">
        <v>275</v>
      </c>
      <c r="C105" s="193" t="s">
        <v>177</v>
      </c>
      <c r="D105" s="82"/>
      <c r="E105" s="16"/>
      <c r="F105" s="16">
        <v>1</v>
      </c>
      <c r="G105" s="16">
        <v>122.55</v>
      </c>
      <c r="H105" s="264">
        <f t="shared" si="7"/>
        <v>0.12254999999999999</v>
      </c>
      <c r="I105" s="16">
        <v>0</v>
      </c>
    </row>
    <row r="106" spans="1:9" ht="15" hidden="1" customHeight="1">
      <c r="A106" s="46"/>
      <c r="B106" s="189" t="s">
        <v>143</v>
      </c>
      <c r="C106" s="193" t="s">
        <v>144</v>
      </c>
      <c r="D106" s="82"/>
      <c r="E106" s="16"/>
      <c r="F106" s="16">
        <f>45/3</f>
        <v>15</v>
      </c>
      <c r="G106" s="16">
        <v>1063.47</v>
      </c>
      <c r="H106" s="264">
        <f>G106*F106/1000</f>
        <v>15.952050000000002</v>
      </c>
      <c r="I106" s="16">
        <v>0</v>
      </c>
    </row>
    <row r="107" spans="1:9" ht="15" hidden="1" customHeight="1">
      <c r="A107" s="46"/>
      <c r="B107" s="189" t="s">
        <v>276</v>
      </c>
      <c r="C107" s="193" t="s">
        <v>277</v>
      </c>
      <c r="D107" s="82"/>
      <c r="E107" s="16"/>
      <c r="F107" s="16">
        <v>1</v>
      </c>
      <c r="G107" s="16">
        <v>4627.21</v>
      </c>
      <c r="H107" s="264">
        <f>G107*F107/1000</f>
        <v>4.6272099999999998</v>
      </c>
      <c r="I107" s="16">
        <v>0</v>
      </c>
    </row>
    <row r="108" spans="1:9" ht="15" hidden="1" customHeight="1">
      <c r="A108" s="46"/>
      <c r="B108" s="191" t="s">
        <v>186</v>
      </c>
      <c r="C108" s="46" t="s">
        <v>216</v>
      </c>
      <c r="D108" s="82"/>
      <c r="E108" s="16"/>
      <c r="F108" s="16">
        <v>2</v>
      </c>
      <c r="G108" s="16">
        <v>470</v>
      </c>
      <c r="H108" s="264">
        <f t="shared" ref="H108" si="8">G108*F108/1000</f>
        <v>0.94</v>
      </c>
      <c r="I108" s="16">
        <v>0</v>
      </c>
    </row>
    <row r="109" spans="1:9" ht="15" hidden="1" customHeight="1">
      <c r="A109" s="46"/>
      <c r="B109" s="189" t="s">
        <v>179</v>
      </c>
      <c r="C109" s="193" t="s">
        <v>216</v>
      </c>
      <c r="D109" s="82"/>
      <c r="E109" s="16"/>
      <c r="F109" s="16">
        <v>1</v>
      </c>
      <c r="G109" s="16">
        <v>81.73</v>
      </c>
      <c r="H109" s="264">
        <f t="shared" si="7"/>
        <v>8.1729999999999997E-2</v>
      </c>
      <c r="I109" s="16">
        <v>0</v>
      </c>
    </row>
    <row r="110" spans="1:9" ht="15" hidden="1" customHeight="1">
      <c r="A110" s="46"/>
      <c r="B110" s="269" t="s">
        <v>278</v>
      </c>
      <c r="C110" s="246" t="s">
        <v>98</v>
      </c>
      <c r="D110" s="82"/>
      <c r="E110" s="16"/>
      <c r="F110" s="16">
        <f>1/10</f>
        <v>0.1</v>
      </c>
      <c r="G110" s="16">
        <v>9767.5</v>
      </c>
      <c r="H110" s="264">
        <f>G110*F110/1000</f>
        <v>0.97675000000000001</v>
      </c>
      <c r="I110" s="16">
        <v>0</v>
      </c>
    </row>
    <row r="111" spans="1:9" ht="15.75" customHeight="1">
      <c r="A111" s="46"/>
      <c r="B111" s="76" t="s">
        <v>66</v>
      </c>
      <c r="C111" s="72"/>
      <c r="D111" s="126"/>
      <c r="E111" s="72">
        <v>1</v>
      </c>
      <c r="F111" s="72"/>
      <c r="G111" s="72"/>
      <c r="H111" s="72"/>
      <c r="I111" s="54">
        <f>SUM(I88:I110)</f>
        <v>10091.25</v>
      </c>
    </row>
    <row r="112" spans="1:9" ht="15.75" customHeight="1">
      <c r="A112" s="46"/>
      <c r="B112" s="82" t="s">
        <v>102</v>
      </c>
      <c r="C112" s="19"/>
      <c r="D112" s="19"/>
      <c r="E112" s="73"/>
      <c r="F112" s="73"/>
      <c r="G112" s="74"/>
      <c r="H112" s="74"/>
      <c r="I112" s="22">
        <v>0</v>
      </c>
    </row>
    <row r="113" spans="1:9" ht="15.75" customHeight="1">
      <c r="A113" s="127"/>
      <c r="B113" s="77" t="s">
        <v>67</v>
      </c>
      <c r="C113" s="60"/>
      <c r="D113" s="60"/>
      <c r="E113" s="60"/>
      <c r="F113" s="60"/>
      <c r="G113" s="60"/>
      <c r="H113" s="60"/>
      <c r="I113" s="75">
        <f>I86+I111</f>
        <v>56221.129711333342</v>
      </c>
    </row>
    <row r="114" spans="1:9" ht="15.75">
      <c r="A114" s="227" t="s">
        <v>284</v>
      </c>
      <c r="B114" s="227"/>
      <c r="C114" s="227"/>
      <c r="D114" s="227"/>
      <c r="E114" s="227"/>
      <c r="F114" s="227"/>
      <c r="G114" s="227"/>
      <c r="H114" s="227"/>
      <c r="I114" s="227"/>
    </row>
    <row r="115" spans="1:9" ht="15.75">
      <c r="A115" s="204"/>
      <c r="B115" s="228" t="s">
        <v>285</v>
      </c>
      <c r="C115" s="228"/>
      <c r="D115" s="228"/>
      <c r="E115" s="228"/>
      <c r="F115" s="228"/>
      <c r="G115" s="228"/>
      <c r="H115" s="245"/>
      <c r="I115" s="3"/>
    </row>
    <row r="116" spans="1:9">
      <c r="A116" s="200"/>
      <c r="B116" s="216" t="s">
        <v>7</v>
      </c>
      <c r="C116" s="216"/>
      <c r="D116" s="216"/>
      <c r="E116" s="216"/>
      <c r="F116" s="216"/>
      <c r="G116" s="216"/>
      <c r="H116" s="36"/>
      <c r="I116" s="5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5.75">
      <c r="A118" s="229" t="s">
        <v>8</v>
      </c>
      <c r="B118" s="229"/>
      <c r="C118" s="229"/>
      <c r="D118" s="229"/>
      <c r="E118" s="229"/>
      <c r="F118" s="229"/>
      <c r="G118" s="229"/>
      <c r="H118" s="229"/>
      <c r="I118" s="229"/>
    </row>
    <row r="119" spans="1:9" ht="15.75">
      <c r="A119" s="229" t="s">
        <v>9</v>
      </c>
      <c r="B119" s="229"/>
      <c r="C119" s="229"/>
      <c r="D119" s="229"/>
      <c r="E119" s="229"/>
      <c r="F119" s="229"/>
      <c r="G119" s="229"/>
      <c r="H119" s="229"/>
      <c r="I119" s="229"/>
    </row>
    <row r="120" spans="1:9" ht="15.75">
      <c r="A120" s="225" t="s">
        <v>81</v>
      </c>
      <c r="B120" s="225"/>
      <c r="C120" s="225"/>
      <c r="D120" s="225"/>
      <c r="E120" s="225"/>
      <c r="F120" s="225"/>
      <c r="G120" s="225"/>
      <c r="H120" s="225"/>
      <c r="I120" s="225"/>
    </row>
    <row r="121" spans="1:9" ht="15.75">
      <c r="A121" s="12"/>
    </row>
    <row r="122" spans="1:9" ht="15.75">
      <c r="A122" s="226" t="s">
        <v>11</v>
      </c>
      <c r="B122" s="226"/>
      <c r="C122" s="226"/>
      <c r="D122" s="226"/>
      <c r="E122" s="226"/>
      <c r="F122" s="226"/>
      <c r="G122" s="226"/>
      <c r="H122" s="226"/>
      <c r="I122" s="226"/>
    </row>
    <row r="123" spans="1:9" ht="15.75">
      <c r="A123" s="4"/>
    </row>
    <row r="124" spans="1:9" ht="15.75">
      <c r="B124" s="203" t="s">
        <v>12</v>
      </c>
      <c r="C124" s="218" t="s">
        <v>140</v>
      </c>
      <c r="D124" s="218"/>
      <c r="E124" s="218"/>
      <c r="F124" s="243"/>
      <c r="I124" s="199"/>
    </row>
    <row r="125" spans="1:9">
      <c r="A125" s="200"/>
      <c r="C125" s="216" t="s">
        <v>13</v>
      </c>
      <c r="D125" s="216"/>
      <c r="E125" s="216"/>
      <c r="F125" s="36"/>
      <c r="I125" s="198" t="s">
        <v>14</v>
      </c>
    </row>
    <row r="126" spans="1:9" ht="15.75">
      <c r="A126" s="37"/>
      <c r="C126" s="13"/>
      <c r="D126" s="13"/>
      <c r="G126" s="13"/>
      <c r="H126" s="13"/>
    </row>
    <row r="127" spans="1:9" ht="15.75">
      <c r="B127" s="203" t="s">
        <v>15</v>
      </c>
      <c r="C127" s="217"/>
      <c r="D127" s="217"/>
      <c r="E127" s="217"/>
      <c r="F127" s="244"/>
      <c r="I127" s="199"/>
    </row>
    <row r="128" spans="1:9">
      <c r="A128" s="200"/>
      <c r="C128" s="211" t="s">
        <v>13</v>
      </c>
      <c r="D128" s="211"/>
      <c r="E128" s="211"/>
      <c r="F128" s="200"/>
      <c r="I128" s="198" t="s">
        <v>14</v>
      </c>
    </row>
    <row r="129" spans="1:9" ht="15.75">
      <c r="A129" s="4" t="s">
        <v>16</v>
      </c>
    </row>
    <row r="130" spans="1:9">
      <c r="A130" s="224" t="s">
        <v>17</v>
      </c>
      <c r="B130" s="224"/>
      <c r="C130" s="224"/>
      <c r="D130" s="224"/>
      <c r="E130" s="224"/>
      <c r="F130" s="224"/>
      <c r="G130" s="224"/>
      <c r="H130" s="224"/>
      <c r="I130" s="224"/>
    </row>
    <row r="131" spans="1:9" ht="45" customHeight="1">
      <c r="A131" s="223" t="s">
        <v>18</v>
      </c>
      <c r="B131" s="223"/>
      <c r="C131" s="223"/>
      <c r="D131" s="223"/>
      <c r="E131" s="223"/>
      <c r="F131" s="223"/>
      <c r="G131" s="223"/>
      <c r="H131" s="223"/>
      <c r="I131" s="223"/>
    </row>
    <row r="132" spans="1:9" ht="30" customHeight="1">
      <c r="A132" s="223" t="s">
        <v>19</v>
      </c>
      <c r="B132" s="223"/>
      <c r="C132" s="223"/>
      <c r="D132" s="223"/>
      <c r="E132" s="223"/>
      <c r="F132" s="223"/>
      <c r="G132" s="223"/>
      <c r="H132" s="223"/>
      <c r="I132" s="223"/>
    </row>
    <row r="133" spans="1:9" ht="30" customHeight="1">
      <c r="A133" s="223" t="s">
        <v>24</v>
      </c>
      <c r="B133" s="223"/>
      <c r="C133" s="223"/>
      <c r="D133" s="223"/>
      <c r="E133" s="223"/>
      <c r="F133" s="223"/>
      <c r="G133" s="223"/>
      <c r="H133" s="223"/>
      <c r="I133" s="223"/>
    </row>
    <row r="134" spans="1:9" ht="15.75">
      <c r="A134" s="223" t="s">
        <v>23</v>
      </c>
      <c r="B134" s="223"/>
      <c r="C134" s="223"/>
      <c r="D134" s="223"/>
      <c r="E134" s="223"/>
      <c r="F134" s="223"/>
      <c r="G134" s="223"/>
      <c r="H134" s="223"/>
      <c r="I134" s="223"/>
    </row>
  </sheetData>
  <autoFilter ref="I12:I62"/>
  <mergeCells count="28">
    <mergeCell ref="A131:I131"/>
    <mergeCell ref="A132:I132"/>
    <mergeCell ref="A133:I133"/>
    <mergeCell ref="A134:I134"/>
    <mergeCell ref="A122:I122"/>
    <mergeCell ref="C124:E124"/>
    <mergeCell ref="C125:E125"/>
    <mergeCell ref="C127:E127"/>
    <mergeCell ref="C128:E128"/>
    <mergeCell ref="A130:I130"/>
    <mergeCell ref="A114:I114"/>
    <mergeCell ref="B115:G115"/>
    <mergeCell ref="B116:G116"/>
    <mergeCell ref="A118:I118"/>
    <mergeCell ref="A119:I119"/>
    <mergeCell ref="A120:I120"/>
    <mergeCell ref="A15:I15"/>
    <mergeCell ref="A29:I29"/>
    <mergeCell ref="A47:I47"/>
    <mergeCell ref="A58:I5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286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110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42460</v>
      </c>
      <c r="J6" s="2"/>
      <c r="K6" s="2"/>
      <c r="L6" s="2"/>
      <c r="M6" s="2"/>
    </row>
    <row r="7" spans="1:13" ht="15.7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hidden="1" customHeight="1">
      <c r="A19" s="46"/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v>0</v>
      </c>
      <c r="J19" s="31"/>
      <c r="K19" s="8"/>
      <c r="L19" s="8"/>
      <c r="M19" s="8"/>
    </row>
    <row r="20" spans="1:13" ht="15" hidden="1" customHeight="1">
      <c r="A20" s="46"/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v>0</v>
      </c>
      <c r="J20" s="31"/>
      <c r="K20" s="8"/>
      <c r="L20" s="8"/>
      <c r="M20" s="8"/>
    </row>
    <row r="21" spans="1:13" ht="15" hidden="1" customHeight="1">
      <c r="A21" s="46"/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v>0</v>
      </c>
      <c r="J21" s="31"/>
      <c r="K21" s="8"/>
      <c r="L21" s="8"/>
      <c r="M21" s="8"/>
    </row>
    <row r="22" spans="1:13" ht="15" hidden="1" customHeight="1">
      <c r="A22" s="46"/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v>0</v>
      </c>
      <c r="J22" s="31"/>
      <c r="K22" s="8"/>
      <c r="L22" s="8"/>
      <c r="M22" s="8"/>
    </row>
    <row r="23" spans="1:13" ht="15" hidden="1" customHeight="1">
      <c r="A23" s="46"/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v>0</v>
      </c>
      <c r="J23" s="31"/>
      <c r="K23" s="8"/>
      <c r="L23" s="8"/>
      <c r="M23" s="8"/>
    </row>
    <row r="24" spans="1:13" ht="15" hidden="1" customHeight="1">
      <c r="A24" s="46"/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v>0</v>
      </c>
      <c r="J24" s="31"/>
      <c r="K24" s="8"/>
      <c r="L24" s="8"/>
      <c r="M24" s="8"/>
    </row>
    <row r="25" spans="1:13" ht="15" hidden="1" customHeight="1">
      <c r="A25" s="46"/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v>0</v>
      </c>
      <c r="J25" s="31"/>
      <c r="K25" s="8"/>
      <c r="L25" s="8"/>
      <c r="M25" s="8"/>
    </row>
    <row r="26" spans="1:13" ht="15" hidden="1" customHeight="1">
      <c r="A26" s="46"/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v>0</v>
      </c>
      <c r="J26" s="31"/>
      <c r="K26" s="8"/>
      <c r="L26" s="8"/>
      <c r="M26" s="8"/>
    </row>
    <row r="27" spans="1:13" ht="15" customHeight="1">
      <c r="A27" s="46">
        <v>4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5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hidden="1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hidden="1" customHeight="1">
      <c r="A31" s="46">
        <v>6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1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hidden="1" customHeight="1">
      <c r="A32" s="46">
        <v>7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1"/>
        <v>1.3717735199999999</v>
      </c>
      <c r="I32" s="16">
        <f t="shared" ref="I32:I35" si="2">F32/6*G32</f>
        <v>228.62891999999999</v>
      </c>
      <c r="J32" s="31"/>
      <c r="K32" s="8"/>
      <c r="L32" s="8"/>
      <c r="M32" s="8"/>
    </row>
    <row r="33" spans="1:14" ht="15" hidden="1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1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hidden="1" customHeight="1">
      <c r="A34" s="46">
        <v>8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2"/>
        <v>1345.4206666666669</v>
      </c>
      <c r="J34" s="31"/>
      <c r="K34" s="8"/>
      <c r="L34" s="8"/>
      <c r="M34" s="8"/>
    </row>
    <row r="35" spans="1:14" ht="15" hidden="1" customHeight="1">
      <c r="A35" s="46">
        <v>9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2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1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1"/>
        <v>2.27264</v>
      </c>
      <c r="I37" s="16">
        <v>0</v>
      </c>
      <c r="J37" s="32"/>
    </row>
    <row r="38" spans="1:14" ht="15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3">SUM(F39*G39/1000)</f>
        <v>9.1633200000000006</v>
      </c>
      <c r="I39" s="16">
        <f>F39/6*G39</f>
        <v>1527.22</v>
      </c>
      <c r="J39" s="32"/>
    </row>
    <row r="40" spans="1:14" ht="15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3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3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3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3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3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hidden="1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hidden="1" customHeight="1">
      <c r="A48" s="46"/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4">SUM(F48*G48/1000)</f>
        <v>1.7187541239999997</v>
      </c>
      <c r="I48" s="16">
        <v>0</v>
      </c>
      <c r="J48" s="32"/>
      <c r="L48" s="25"/>
      <c r="M48" s="26"/>
      <c r="N48" s="27"/>
    </row>
    <row r="49" spans="1:22" ht="15" hidden="1" customHeight="1">
      <c r="A49" s="46"/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4"/>
        <v>6.0265920000000001E-2</v>
      </c>
      <c r="I49" s="16">
        <v>0</v>
      </c>
      <c r="J49" s="32"/>
      <c r="L49" s="25"/>
      <c r="M49" s="26"/>
      <c r="N49" s="27"/>
    </row>
    <row r="50" spans="1:22" ht="15" hidden="1" customHeight="1">
      <c r="A50" s="46"/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4"/>
        <v>1.4357196480000001</v>
      </c>
      <c r="I50" s="16">
        <v>0</v>
      </c>
      <c r="J50" s="32"/>
      <c r="L50" s="25"/>
      <c r="M50" s="26"/>
      <c r="N50" s="27"/>
    </row>
    <row r="51" spans="1:22" ht="15" hidden="1" customHeight="1">
      <c r="A51" s="46"/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4"/>
        <v>2.1771028954</v>
      </c>
      <c r="I51" s="16">
        <v>0</v>
      </c>
      <c r="J51" s="32"/>
      <c r="L51" s="25"/>
      <c r="M51" s="26"/>
      <c r="N51" s="27"/>
    </row>
    <row r="52" spans="1:22" ht="15" hidden="1" customHeight="1">
      <c r="A52" s="46"/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4"/>
        <v>0.124912836</v>
      </c>
      <c r="I52" s="16">
        <v>0</v>
      </c>
      <c r="J52" s="32"/>
      <c r="L52" s="25"/>
      <c r="M52" s="26"/>
      <c r="N52" s="27"/>
    </row>
    <row r="53" spans="1:22" ht="15" hidden="1" customHeight="1">
      <c r="A53" s="46">
        <v>13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4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hidden="1" customHeight="1">
      <c r="A54" s="46"/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4"/>
        <v>2.1455563999999998</v>
      </c>
      <c r="I54" s="16">
        <v>0</v>
      </c>
      <c r="J54" s="32"/>
      <c r="L54" s="25"/>
      <c r="M54" s="26"/>
      <c r="N54" s="27"/>
    </row>
    <row r="55" spans="1:22" ht="31.5" hidden="1" customHeight="1">
      <c r="A55" s="46"/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4"/>
        <v>1.0921959999999999</v>
      </c>
      <c r="I55" s="16">
        <v>0</v>
      </c>
      <c r="J55" s="32"/>
      <c r="L55" s="25"/>
      <c r="M55" s="26"/>
      <c r="N55" s="27"/>
    </row>
    <row r="56" spans="1:22" ht="15" hidden="1" customHeight="1">
      <c r="A56" s="46"/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4"/>
        <v>0.11304260000000001</v>
      </c>
      <c r="I56" s="16">
        <v>0</v>
      </c>
      <c r="J56" s="32"/>
      <c r="L56" s="25"/>
      <c r="M56" s="26"/>
      <c r="N56" s="27"/>
    </row>
    <row r="57" spans="1:22" ht="15" hidden="1" customHeight="1">
      <c r="A57" s="46">
        <v>14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4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287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customHeight="1">
      <c r="A60" s="46">
        <v>13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14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customHeight="1">
      <c r="A65" s="46">
        <v>15</v>
      </c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80" si="5">SUM(F65*G65/1000)</f>
        <v>4.4480000000000004</v>
      </c>
      <c r="I65" s="16">
        <f>G65</f>
        <v>222.4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customHeight="1">
      <c r="A66" s="46">
        <v>16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5"/>
        <v>#VALUE!</v>
      </c>
      <c r="I66" s="16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46"/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5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hidden="1" customHeight="1">
      <c r="A68" s="46"/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5"/>
        <v>2.08941087</v>
      </c>
      <c r="I68" s="16">
        <f t="shared" ref="I68:I72" si="6">F68*G68</f>
        <v>2089.4108700000002</v>
      </c>
    </row>
    <row r="69" spans="1:21" ht="15" hidden="1" customHeight="1">
      <c r="A69" s="46"/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5"/>
        <v>39.417970000000004</v>
      </c>
      <c r="I69" s="16">
        <f t="shared" si="6"/>
        <v>39417.97</v>
      </c>
    </row>
    <row r="70" spans="1:21" ht="15" hidden="1" customHeight="1">
      <c r="A70" s="46"/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5"/>
        <v>0.48217100000000007</v>
      </c>
      <c r="I70" s="16">
        <f t="shared" si="6"/>
        <v>482.17100000000005</v>
      </c>
    </row>
    <row r="71" spans="1:21" ht="15" hidden="1" customHeight="1">
      <c r="A71" s="46"/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5"/>
        <v>0.44985300000000006</v>
      </c>
      <c r="I71" s="16">
        <f t="shared" si="6"/>
        <v>449.85300000000007</v>
      </c>
    </row>
    <row r="72" spans="1:21" ht="15" hidden="1" customHeight="1">
      <c r="A72" s="46"/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5"/>
        <v>0.29928000000000005</v>
      </c>
      <c r="I72" s="16">
        <f t="shared" si="6"/>
        <v>299.28000000000003</v>
      </c>
    </row>
    <row r="73" spans="1:21" ht="15" hidden="1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hidden="1" customHeight="1">
      <c r="A74" s="46"/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v>0</v>
      </c>
    </row>
    <row r="75" spans="1:21" ht="15" hidden="1" customHeight="1">
      <c r="A75" s="46"/>
      <c r="B75" s="18" t="s">
        <v>233</v>
      </c>
      <c r="C75" s="20" t="s">
        <v>37</v>
      </c>
      <c r="D75" s="18"/>
      <c r="E75" s="23">
        <v>2</v>
      </c>
      <c r="F75" s="16">
        <v>2</v>
      </c>
      <c r="G75" s="16">
        <v>99.85</v>
      </c>
      <c r="H75" s="264">
        <v>0.1</v>
      </c>
      <c r="I75" s="16">
        <v>0</v>
      </c>
    </row>
    <row r="76" spans="1:21" ht="15" hidden="1" customHeight="1">
      <c r="A76" s="46"/>
      <c r="B76" s="18" t="s">
        <v>234</v>
      </c>
      <c r="C76" s="20" t="s">
        <v>37</v>
      </c>
      <c r="D76" s="18"/>
      <c r="E76" s="23">
        <v>1</v>
      </c>
      <c r="F76" s="241">
        <v>1</v>
      </c>
      <c r="G76" s="16">
        <v>120.26</v>
      </c>
      <c r="H76" s="264">
        <v>0.12</v>
      </c>
      <c r="I76" s="16">
        <v>0</v>
      </c>
    </row>
    <row r="77" spans="1:21" ht="15" hidden="1" customHeight="1">
      <c r="A77" s="46"/>
      <c r="B77" s="18" t="s">
        <v>134</v>
      </c>
      <c r="C77" s="20" t="s">
        <v>37</v>
      </c>
      <c r="D77" s="18"/>
      <c r="E77" s="23">
        <v>1</v>
      </c>
      <c r="F77" s="250">
        <f>SUM(E77)</f>
        <v>1</v>
      </c>
      <c r="G77" s="16">
        <v>358.51</v>
      </c>
      <c r="H77" s="264">
        <f t="shared" si="5"/>
        <v>0.35851</v>
      </c>
      <c r="I77" s="16">
        <v>0</v>
      </c>
    </row>
    <row r="78" spans="1:21" ht="15" hidden="1" customHeight="1">
      <c r="A78" s="46"/>
      <c r="B78" s="18" t="s">
        <v>97</v>
      </c>
      <c r="C78" s="20" t="s">
        <v>37</v>
      </c>
      <c r="D78" s="18"/>
      <c r="E78" s="23">
        <v>1</v>
      </c>
      <c r="F78" s="16">
        <v>1</v>
      </c>
      <c r="G78" s="16">
        <v>852.99</v>
      </c>
      <c r="H78" s="264">
        <f>F78*G78/1000</f>
        <v>0.85299000000000003</v>
      </c>
      <c r="I78" s="16">
        <v>0</v>
      </c>
    </row>
    <row r="79" spans="1:21" ht="15" hidden="1" customHeight="1">
      <c r="A79" s="46"/>
      <c r="B79" s="266" t="s">
        <v>99</v>
      </c>
      <c r="C79" s="20"/>
      <c r="D79" s="18"/>
      <c r="E79" s="23"/>
      <c r="F79" s="16"/>
      <c r="G79" s="16" t="s">
        <v>224</v>
      </c>
      <c r="H79" s="264" t="s">
        <v>224</v>
      </c>
      <c r="I79" s="16"/>
    </row>
    <row r="80" spans="1:21" ht="15" hidden="1" customHeight="1">
      <c r="A80" s="46"/>
      <c r="B80" s="82" t="s">
        <v>225</v>
      </c>
      <c r="C80" s="20" t="s">
        <v>100</v>
      </c>
      <c r="D80" s="18"/>
      <c r="E80" s="23"/>
      <c r="F80" s="16">
        <v>0.2</v>
      </c>
      <c r="G80" s="16">
        <v>2759.44</v>
      </c>
      <c r="H80" s="264">
        <f t="shared" si="5"/>
        <v>0.55188800000000005</v>
      </c>
      <c r="I80" s="16">
        <v>0</v>
      </c>
    </row>
    <row r="81" spans="1:9" ht="15" hidden="1" customHeight="1">
      <c r="A81" s="46"/>
      <c r="B81" s="254" t="s">
        <v>222</v>
      </c>
      <c r="C81" s="266"/>
      <c r="D81" s="52"/>
      <c r="E81" s="54"/>
      <c r="F81" s="255"/>
      <c r="G81" s="255"/>
      <c r="H81" s="267" t="e">
        <f>SUM(H60:H80)</f>
        <v>#VALUE!</v>
      </c>
      <c r="I81" s="255"/>
    </row>
    <row r="82" spans="1:9" ht="15" hidden="1" customHeight="1">
      <c r="A82" s="46"/>
      <c r="B82" s="247" t="s">
        <v>223</v>
      </c>
      <c r="C82" s="20"/>
      <c r="D82" s="18"/>
      <c r="E82" s="242"/>
      <c r="F82" s="16">
        <v>1</v>
      </c>
      <c r="G82" s="16">
        <v>13437.4</v>
      </c>
      <c r="H82" s="264">
        <f>G82*F82/1000</f>
        <v>13.4374</v>
      </c>
      <c r="I82" s="16">
        <v>0</v>
      </c>
    </row>
    <row r="83" spans="1:9" ht="15.75" customHeight="1">
      <c r="A83" s="238" t="s">
        <v>252</v>
      </c>
      <c r="B83" s="239"/>
      <c r="C83" s="239"/>
      <c r="D83" s="239"/>
      <c r="E83" s="239"/>
      <c r="F83" s="239"/>
      <c r="G83" s="239"/>
      <c r="H83" s="239"/>
      <c r="I83" s="240"/>
    </row>
    <row r="84" spans="1:9" ht="15" customHeight="1">
      <c r="A84" s="46">
        <v>17</v>
      </c>
      <c r="B84" s="247" t="s">
        <v>226</v>
      </c>
      <c r="C84" s="20" t="s">
        <v>72</v>
      </c>
      <c r="D84" s="268" t="s">
        <v>73</v>
      </c>
      <c r="E84" s="16">
        <v>3031.3</v>
      </c>
      <c r="F84" s="16">
        <f>SUM(E84*12)</f>
        <v>36375.600000000006</v>
      </c>
      <c r="G84" s="16">
        <v>2.1</v>
      </c>
      <c r="H84" s="264">
        <f>SUM(F84*G84/1000)</f>
        <v>76.388760000000005</v>
      </c>
      <c r="I84" s="16">
        <f>F84/12*G84</f>
        <v>6365.7300000000014</v>
      </c>
    </row>
    <row r="85" spans="1:9" ht="31.5" customHeight="1">
      <c r="A85" s="46">
        <v>18</v>
      </c>
      <c r="B85" s="18" t="s">
        <v>101</v>
      </c>
      <c r="C85" s="20"/>
      <c r="D85" s="268" t="s">
        <v>73</v>
      </c>
      <c r="E85" s="249">
        <f>E84</f>
        <v>3031.3</v>
      </c>
      <c r="F85" s="16">
        <f>E85*12</f>
        <v>36375.600000000006</v>
      </c>
      <c r="G85" s="16">
        <v>1.63</v>
      </c>
      <c r="H85" s="264">
        <f>F85*G85/1000</f>
        <v>59.292228000000001</v>
      </c>
      <c r="I85" s="16">
        <f>F85/12*G85</f>
        <v>4941.0190000000011</v>
      </c>
    </row>
    <row r="86" spans="1:9" ht="15.75" customHeight="1">
      <c r="A86" s="124"/>
      <c r="B86" s="69" t="s">
        <v>107</v>
      </c>
      <c r="C86" s="71"/>
      <c r="D86" s="19"/>
      <c r="E86" s="19"/>
      <c r="F86" s="19"/>
      <c r="G86" s="23"/>
      <c r="H86" s="23"/>
      <c r="I86" s="54">
        <f>I16+I17+I18+I27+I28+I39+I40+I41+I43+I44+I45+I46+I60+I63+I65+I66+I84+I85</f>
        <v>45355.751511333343</v>
      </c>
    </row>
    <row r="87" spans="1:9" ht="15.75" customHeight="1">
      <c r="A87" s="124"/>
      <c r="B87" s="188" t="s">
        <v>79</v>
      </c>
      <c r="C87" s="188"/>
      <c r="D87" s="188"/>
      <c r="E87" s="188"/>
      <c r="F87" s="188"/>
      <c r="G87" s="188"/>
      <c r="H87" s="188"/>
      <c r="I87" s="188"/>
    </row>
    <row r="88" spans="1:9" ht="31.5" customHeight="1">
      <c r="A88" s="46">
        <v>19</v>
      </c>
      <c r="B88" s="189" t="s">
        <v>106</v>
      </c>
      <c r="C88" s="193" t="s">
        <v>216</v>
      </c>
      <c r="D88" s="82"/>
      <c r="E88" s="16"/>
      <c r="F88" s="16">
        <v>8</v>
      </c>
      <c r="G88" s="16">
        <v>79.09</v>
      </c>
      <c r="H88" s="264">
        <f t="shared" ref="H88:H91" si="7">G88*F88/1000</f>
        <v>0.63272000000000006</v>
      </c>
      <c r="I88" s="16">
        <f>G88</f>
        <v>79.09</v>
      </c>
    </row>
    <row r="89" spans="1:9" ht="15" customHeight="1">
      <c r="A89" s="46">
        <v>20</v>
      </c>
      <c r="B89" s="269" t="s">
        <v>261</v>
      </c>
      <c r="C89" s="193" t="s">
        <v>262</v>
      </c>
      <c r="D89" s="82"/>
      <c r="E89" s="16"/>
      <c r="F89" s="16">
        <v>1</v>
      </c>
      <c r="G89" s="16">
        <v>3651</v>
      </c>
      <c r="H89" s="264">
        <f t="shared" si="7"/>
        <v>3.6509999999999998</v>
      </c>
      <c r="I89" s="16">
        <f t="shared" ref="I89:I91" si="8">G89</f>
        <v>3651</v>
      </c>
    </row>
    <row r="90" spans="1:9" ht="31.5" customHeight="1">
      <c r="A90" s="46">
        <v>21</v>
      </c>
      <c r="B90" s="189" t="s">
        <v>263</v>
      </c>
      <c r="C90" s="193" t="s">
        <v>177</v>
      </c>
      <c r="D90" s="82"/>
      <c r="E90" s="16"/>
      <c r="F90" s="16">
        <v>1</v>
      </c>
      <c r="G90" s="16">
        <v>51.39</v>
      </c>
      <c r="H90" s="264">
        <f t="shared" si="7"/>
        <v>5.1389999999999998E-2</v>
      </c>
      <c r="I90" s="16">
        <f t="shared" si="8"/>
        <v>51.39</v>
      </c>
    </row>
    <row r="91" spans="1:9" ht="15" customHeight="1">
      <c r="A91" s="46">
        <v>22</v>
      </c>
      <c r="B91" s="189" t="s">
        <v>264</v>
      </c>
      <c r="C91" s="246" t="s">
        <v>109</v>
      </c>
      <c r="D91" s="82"/>
      <c r="E91" s="16"/>
      <c r="F91" s="16">
        <v>1</v>
      </c>
      <c r="G91" s="16">
        <v>18</v>
      </c>
      <c r="H91" s="264">
        <f t="shared" si="7"/>
        <v>1.7999999999999999E-2</v>
      </c>
      <c r="I91" s="16">
        <f t="shared" si="8"/>
        <v>18</v>
      </c>
    </row>
    <row r="92" spans="1:9" ht="15.75" customHeight="1">
      <c r="A92" s="46"/>
      <c r="B92" s="76" t="s">
        <v>66</v>
      </c>
      <c r="C92" s="72"/>
      <c r="D92" s="126"/>
      <c r="E92" s="72">
        <v>1</v>
      </c>
      <c r="F92" s="72"/>
      <c r="G92" s="72"/>
      <c r="H92" s="72"/>
      <c r="I92" s="54">
        <f>SUM(I88:I91)</f>
        <v>3799.48</v>
      </c>
    </row>
    <row r="93" spans="1:9" ht="15.75" customHeight="1">
      <c r="A93" s="46"/>
      <c r="B93" s="82" t="s">
        <v>102</v>
      </c>
      <c r="C93" s="19"/>
      <c r="D93" s="19"/>
      <c r="E93" s="73"/>
      <c r="F93" s="73"/>
      <c r="G93" s="74"/>
      <c r="H93" s="74"/>
      <c r="I93" s="22">
        <v>0</v>
      </c>
    </row>
    <row r="94" spans="1:9" ht="15.75" customHeight="1">
      <c r="A94" s="127"/>
      <c r="B94" s="77" t="s">
        <v>67</v>
      </c>
      <c r="C94" s="60"/>
      <c r="D94" s="60"/>
      <c r="E94" s="60"/>
      <c r="F94" s="60"/>
      <c r="G94" s="60"/>
      <c r="H94" s="60"/>
      <c r="I94" s="75">
        <f>I86+I92</f>
        <v>49155.231511333346</v>
      </c>
    </row>
    <row r="95" spans="1:9" ht="15.75">
      <c r="A95" s="227" t="s">
        <v>288</v>
      </c>
      <c r="B95" s="227"/>
      <c r="C95" s="227"/>
      <c r="D95" s="227"/>
      <c r="E95" s="227"/>
      <c r="F95" s="227"/>
      <c r="G95" s="227"/>
      <c r="H95" s="227"/>
      <c r="I95" s="227"/>
    </row>
    <row r="96" spans="1:9" ht="15.75">
      <c r="A96" s="204"/>
      <c r="B96" s="228" t="s">
        <v>289</v>
      </c>
      <c r="C96" s="228"/>
      <c r="D96" s="228"/>
      <c r="E96" s="228"/>
      <c r="F96" s="228"/>
      <c r="G96" s="228"/>
      <c r="H96" s="245"/>
      <c r="I96" s="3"/>
    </row>
    <row r="97" spans="1:9">
      <c r="A97" s="200"/>
      <c r="B97" s="216" t="s">
        <v>7</v>
      </c>
      <c r="C97" s="216"/>
      <c r="D97" s="216"/>
      <c r="E97" s="216"/>
      <c r="F97" s="216"/>
      <c r="G97" s="216"/>
      <c r="H97" s="36"/>
      <c r="I97" s="5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5.75">
      <c r="A99" s="229" t="s">
        <v>8</v>
      </c>
      <c r="B99" s="229"/>
      <c r="C99" s="229"/>
      <c r="D99" s="229"/>
      <c r="E99" s="229"/>
      <c r="F99" s="229"/>
      <c r="G99" s="229"/>
      <c r="H99" s="229"/>
      <c r="I99" s="229"/>
    </row>
    <row r="100" spans="1:9" ht="15.75">
      <c r="A100" s="229" t="s">
        <v>9</v>
      </c>
      <c r="B100" s="229"/>
      <c r="C100" s="229"/>
      <c r="D100" s="229"/>
      <c r="E100" s="229"/>
      <c r="F100" s="229"/>
      <c r="G100" s="229"/>
      <c r="H100" s="229"/>
      <c r="I100" s="229"/>
    </row>
    <row r="101" spans="1:9" ht="15.75">
      <c r="A101" s="225" t="s">
        <v>81</v>
      </c>
      <c r="B101" s="225"/>
      <c r="C101" s="225"/>
      <c r="D101" s="225"/>
      <c r="E101" s="225"/>
      <c r="F101" s="225"/>
      <c r="G101" s="225"/>
      <c r="H101" s="225"/>
      <c r="I101" s="225"/>
    </row>
    <row r="102" spans="1:9" ht="15.75">
      <c r="A102" s="12"/>
    </row>
    <row r="103" spans="1:9" ht="15.75">
      <c r="A103" s="226" t="s">
        <v>11</v>
      </c>
      <c r="B103" s="226"/>
      <c r="C103" s="226"/>
      <c r="D103" s="226"/>
      <c r="E103" s="226"/>
      <c r="F103" s="226"/>
      <c r="G103" s="226"/>
      <c r="H103" s="226"/>
      <c r="I103" s="226"/>
    </row>
    <row r="104" spans="1:9" ht="15.75">
      <c r="A104" s="4"/>
    </row>
    <row r="105" spans="1:9" ht="15.75">
      <c r="B105" s="203" t="s">
        <v>12</v>
      </c>
      <c r="C105" s="218" t="s">
        <v>140</v>
      </c>
      <c r="D105" s="218"/>
      <c r="E105" s="218"/>
      <c r="F105" s="243"/>
      <c r="I105" s="199"/>
    </row>
    <row r="106" spans="1:9">
      <c r="A106" s="200"/>
      <c r="C106" s="216" t="s">
        <v>13</v>
      </c>
      <c r="D106" s="216"/>
      <c r="E106" s="216"/>
      <c r="F106" s="36"/>
      <c r="I106" s="198" t="s">
        <v>14</v>
      </c>
    </row>
    <row r="107" spans="1:9" ht="15.75">
      <c r="A107" s="37"/>
      <c r="C107" s="13"/>
      <c r="D107" s="13"/>
      <c r="G107" s="13"/>
      <c r="H107" s="13"/>
    </row>
    <row r="108" spans="1:9" ht="15.75">
      <c r="B108" s="203" t="s">
        <v>15</v>
      </c>
      <c r="C108" s="217"/>
      <c r="D108" s="217"/>
      <c r="E108" s="217"/>
      <c r="F108" s="244"/>
      <c r="I108" s="199"/>
    </row>
    <row r="109" spans="1:9">
      <c r="A109" s="200"/>
      <c r="C109" s="211" t="s">
        <v>13</v>
      </c>
      <c r="D109" s="211"/>
      <c r="E109" s="211"/>
      <c r="F109" s="200"/>
      <c r="I109" s="198" t="s">
        <v>14</v>
      </c>
    </row>
    <row r="110" spans="1:9" ht="15.75">
      <c r="A110" s="4" t="s">
        <v>16</v>
      </c>
    </row>
    <row r="111" spans="1:9">
      <c r="A111" s="224" t="s">
        <v>17</v>
      </c>
      <c r="B111" s="224"/>
      <c r="C111" s="224"/>
      <c r="D111" s="224"/>
      <c r="E111" s="224"/>
      <c r="F111" s="224"/>
      <c r="G111" s="224"/>
      <c r="H111" s="224"/>
      <c r="I111" s="224"/>
    </row>
    <row r="112" spans="1:9" ht="45" customHeight="1">
      <c r="A112" s="223" t="s">
        <v>18</v>
      </c>
      <c r="B112" s="223"/>
      <c r="C112" s="223"/>
      <c r="D112" s="223"/>
      <c r="E112" s="223"/>
      <c r="F112" s="223"/>
      <c r="G112" s="223"/>
      <c r="H112" s="223"/>
      <c r="I112" s="223"/>
    </row>
    <row r="113" spans="1:9" ht="30" customHeight="1">
      <c r="A113" s="223" t="s">
        <v>19</v>
      </c>
      <c r="B113" s="223"/>
      <c r="C113" s="223"/>
      <c r="D113" s="223"/>
      <c r="E113" s="223"/>
      <c r="F113" s="223"/>
      <c r="G113" s="223"/>
      <c r="H113" s="223"/>
      <c r="I113" s="223"/>
    </row>
    <row r="114" spans="1:9" ht="30" customHeight="1">
      <c r="A114" s="223" t="s">
        <v>24</v>
      </c>
      <c r="B114" s="223"/>
      <c r="C114" s="223"/>
      <c r="D114" s="223"/>
      <c r="E114" s="223"/>
      <c r="F114" s="223"/>
      <c r="G114" s="223"/>
      <c r="H114" s="223"/>
      <c r="I114" s="223"/>
    </row>
    <row r="115" spans="1:9" ht="15.75">
      <c r="A115" s="223" t="s">
        <v>23</v>
      </c>
      <c r="B115" s="223"/>
      <c r="C115" s="223"/>
      <c r="D115" s="223"/>
      <c r="E115" s="223"/>
      <c r="F115" s="223"/>
      <c r="G115" s="223"/>
      <c r="H115" s="223"/>
      <c r="I115" s="223"/>
    </row>
  </sheetData>
  <autoFilter ref="I12:I62"/>
  <mergeCells count="28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95:I95"/>
    <mergeCell ref="B96:G96"/>
    <mergeCell ref="B97:G97"/>
    <mergeCell ref="A99:I99"/>
    <mergeCell ref="A100:I100"/>
    <mergeCell ref="A101:I101"/>
    <mergeCell ref="A15:I15"/>
    <mergeCell ref="A29:I29"/>
    <mergeCell ref="A47:I47"/>
    <mergeCell ref="A58:I5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0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290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111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42490</v>
      </c>
      <c r="J6" s="2"/>
      <c r="K6" s="2"/>
      <c r="L6" s="2"/>
      <c r="M6" s="2"/>
    </row>
    <row r="7" spans="1:13" ht="15.7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hidden="1" customHeight="1">
      <c r="A19" s="46"/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v>0</v>
      </c>
      <c r="J19" s="31"/>
      <c r="K19" s="8"/>
      <c r="L19" s="8"/>
      <c r="M19" s="8"/>
    </row>
    <row r="20" spans="1:13" ht="15" hidden="1" customHeight="1">
      <c r="A20" s="46"/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v>0</v>
      </c>
      <c r="J20" s="31"/>
      <c r="K20" s="8"/>
      <c r="L20" s="8"/>
      <c r="M20" s="8"/>
    </row>
    <row r="21" spans="1:13" ht="15" hidden="1" customHeight="1">
      <c r="A21" s="46"/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v>0</v>
      </c>
      <c r="J21" s="31"/>
      <c r="K21" s="8"/>
      <c r="L21" s="8"/>
      <c r="M21" s="8"/>
    </row>
    <row r="22" spans="1:13" ht="15" hidden="1" customHeight="1">
      <c r="A22" s="46"/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v>0</v>
      </c>
      <c r="J22" s="31"/>
      <c r="K22" s="8"/>
      <c r="L22" s="8"/>
      <c r="M22" s="8"/>
    </row>
    <row r="23" spans="1:13" ht="15" hidden="1" customHeight="1">
      <c r="A23" s="46"/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v>0</v>
      </c>
      <c r="J23" s="31"/>
      <c r="K23" s="8"/>
      <c r="L23" s="8"/>
      <c r="M23" s="8"/>
    </row>
    <row r="24" spans="1:13" ht="15" hidden="1" customHeight="1">
      <c r="A24" s="46"/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v>0</v>
      </c>
      <c r="J24" s="31"/>
      <c r="K24" s="8"/>
      <c r="L24" s="8"/>
      <c r="M24" s="8"/>
    </row>
    <row r="25" spans="1:13" ht="15" hidden="1" customHeight="1">
      <c r="A25" s="46"/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v>0</v>
      </c>
      <c r="J25" s="31"/>
      <c r="K25" s="8"/>
      <c r="L25" s="8"/>
      <c r="M25" s="8"/>
    </row>
    <row r="26" spans="1:13" ht="15" hidden="1" customHeight="1">
      <c r="A26" s="46"/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v>0</v>
      </c>
      <c r="J26" s="31"/>
      <c r="K26" s="8"/>
      <c r="L26" s="8"/>
      <c r="M26" s="8"/>
    </row>
    <row r="27" spans="1:13" ht="15" customHeight="1">
      <c r="A27" s="46">
        <v>4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5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hidden="1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hidden="1" customHeight="1">
      <c r="A31" s="46">
        <v>6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1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hidden="1" customHeight="1">
      <c r="A32" s="46">
        <v>7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1"/>
        <v>1.3717735199999999</v>
      </c>
      <c r="I32" s="16">
        <f t="shared" ref="I32:I35" si="2">F32/6*G32</f>
        <v>228.62891999999999</v>
      </c>
      <c r="J32" s="31"/>
      <c r="K32" s="8"/>
      <c r="L32" s="8"/>
      <c r="M32" s="8"/>
    </row>
    <row r="33" spans="1:14" ht="15" hidden="1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1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hidden="1" customHeight="1">
      <c r="A34" s="46">
        <v>8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2"/>
        <v>1345.4206666666669</v>
      </c>
      <c r="J34" s="31"/>
      <c r="K34" s="8"/>
      <c r="L34" s="8"/>
      <c r="M34" s="8"/>
    </row>
    <row r="35" spans="1:14" ht="15" hidden="1" customHeight="1">
      <c r="A35" s="46">
        <v>9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2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1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1"/>
        <v>2.27264</v>
      </c>
      <c r="I37" s="16">
        <v>0</v>
      </c>
      <c r="J37" s="32"/>
    </row>
    <row r="38" spans="1:14" ht="15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3">SUM(F39*G39/1000)</f>
        <v>9.1633200000000006</v>
      </c>
      <c r="I39" s="16">
        <f>F39/6*G39</f>
        <v>1527.22</v>
      </c>
      <c r="J39" s="32"/>
    </row>
    <row r="40" spans="1:14" ht="15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3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3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3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3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3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hidden="1" customHeight="1">
      <c r="A48" s="46"/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4">SUM(F48*G48/1000)</f>
        <v>1.7187541239999997</v>
      </c>
      <c r="I48" s="16">
        <v>0</v>
      </c>
      <c r="J48" s="32"/>
      <c r="L48" s="25"/>
      <c r="M48" s="26"/>
      <c r="N48" s="27"/>
    </row>
    <row r="49" spans="1:22" ht="15" hidden="1" customHeight="1">
      <c r="A49" s="46"/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4"/>
        <v>6.0265920000000001E-2</v>
      </c>
      <c r="I49" s="16">
        <v>0</v>
      </c>
      <c r="J49" s="32"/>
      <c r="L49" s="25"/>
      <c r="M49" s="26"/>
      <c r="N49" s="27"/>
    </row>
    <row r="50" spans="1:22" ht="15" hidden="1" customHeight="1">
      <c r="A50" s="46"/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4"/>
        <v>1.4357196480000001</v>
      </c>
      <c r="I50" s="16">
        <v>0</v>
      </c>
      <c r="J50" s="32"/>
      <c r="L50" s="25"/>
      <c r="M50" s="26"/>
      <c r="N50" s="27"/>
    </row>
    <row r="51" spans="1:22" ht="15" hidden="1" customHeight="1">
      <c r="A51" s="46"/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4"/>
        <v>2.1771028954</v>
      </c>
      <c r="I51" s="16">
        <v>0</v>
      </c>
      <c r="J51" s="32"/>
      <c r="L51" s="25"/>
      <c r="M51" s="26"/>
      <c r="N51" s="27"/>
    </row>
    <row r="52" spans="1:22" ht="15" hidden="1" customHeight="1">
      <c r="A52" s="46"/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4"/>
        <v>0.124912836</v>
      </c>
      <c r="I52" s="16">
        <v>0</v>
      </c>
      <c r="J52" s="32"/>
      <c r="L52" s="25"/>
      <c r="M52" s="26"/>
      <c r="N52" s="27"/>
    </row>
    <row r="53" spans="1:22" ht="15" hidden="1" customHeight="1">
      <c r="A53" s="46">
        <v>13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4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hidden="1" customHeight="1">
      <c r="A54" s="46"/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4"/>
        <v>2.1455563999999998</v>
      </c>
      <c r="I54" s="16">
        <v>0</v>
      </c>
      <c r="J54" s="32"/>
      <c r="L54" s="25"/>
      <c r="M54" s="26"/>
      <c r="N54" s="27"/>
    </row>
    <row r="55" spans="1:22" ht="31.5" hidden="1" customHeight="1">
      <c r="A55" s="46"/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4"/>
        <v>1.0921959999999999</v>
      </c>
      <c r="I55" s="16">
        <v>0</v>
      </c>
      <c r="J55" s="32"/>
      <c r="L55" s="25"/>
      <c r="M55" s="26"/>
      <c r="N55" s="27"/>
    </row>
    <row r="56" spans="1:22" ht="15" hidden="1" customHeight="1">
      <c r="A56" s="46"/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4"/>
        <v>0.11304260000000001</v>
      </c>
      <c r="I56" s="16">
        <v>0</v>
      </c>
      <c r="J56" s="32"/>
      <c r="L56" s="25"/>
      <c r="M56" s="26"/>
      <c r="N56" s="27"/>
    </row>
    <row r="57" spans="1:22" ht="15" customHeight="1">
      <c r="A57" s="46">
        <v>13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4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251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customHeight="1">
      <c r="A60" s="46">
        <v>14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15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customHeight="1">
      <c r="A65" s="46">
        <v>16</v>
      </c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72" si="5">SUM(F65*G65/1000)</f>
        <v>4.4480000000000004</v>
      </c>
      <c r="I65" s="16">
        <f>G65</f>
        <v>222.4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customHeight="1">
      <c r="A66" s="46">
        <v>17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5"/>
        <v>#VALUE!</v>
      </c>
      <c r="I66" s="16">
        <f>G66*7</f>
        <v>533.75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46"/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5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hidden="1" customHeight="1">
      <c r="A68" s="46"/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5"/>
        <v>2.08941087</v>
      </c>
      <c r="I68" s="16">
        <f t="shared" ref="I68:I72" si="6">F68*G68</f>
        <v>2089.4108700000002</v>
      </c>
    </row>
    <row r="69" spans="1:21" ht="15" hidden="1" customHeight="1">
      <c r="A69" s="46"/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5"/>
        <v>39.417970000000004</v>
      </c>
      <c r="I69" s="16">
        <f t="shared" si="6"/>
        <v>39417.97</v>
      </c>
    </row>
    <row r="70" spans="1:21" ht="15" hidden="1" customHeight="1">
      <c r="A70" s="46"/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5"/>
        <v>0.48217100000000007</v>
      </c>
      <c r="I70" s="16">
        <f t="shared" si="6"/>
        <v>482.17100000000005</v>
      </c>
    </row>
    <row r="71" spans="1:21" ht="15" hidden="1" customHeight="1">
      <c r="A71" s="46"/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5"/>
        <v>0.44985300000000006</v>
      </c>
      <c r="I71" s="16">
        <f t="shared" si="6"/>
        <v>449.85300000000007</v>
      </c>
    </row>
    <row r="72" spans="1:21" ht="15" hidden="1" customHeight="1">
      <c r="A72" s="46"/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5"/>
        <v>0.29928000000000005</v>
      </c>
      <c r="I72" s="16">
        <f t="shared" si="6"/>
        <v>299.28000000000003</v>
      </c>
    </row>
    <row r="73" spans="1:21" ht="15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customHeight="1">
      <c r="A74" s="46">
        <v>18</v>
      </c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f>G74*0.1</f>
        <v>50.162000000000006</v>
      </c>
    </row>
    <row r="75" spans="1:21" ht="15.75" customHeight="1">
      <c r="A75" s="238" t="s">
        <v>252</v>
      </c>
      <c r="B75" s="239"/>
      <c r="C75" s="239"/>
      <c r="D75" s="239"/>
      <c r="E75" s="239"/>
      <c r="F75" s="239"/>
      <c r="G75" s="239"/>
      <c r="H75" s="239"/>
      <c r="I75" s="240"/>
    </row>
    <row r="76" spans="1:21" ht="15" customHeight="1">
      <c r="A76" s="46">
        <v>19</v>
      </c>
      <c r="B76" s="247" t="s">
        <v>226</v>
      </c>
      <c r="C76" s="20" t="s">
        <v>72</v>
      </c>
      <c r="D76" s="268" t="s">
        <v>73</v>
      </c>
      <c r="E76" s="16">
        <v>3031.3</v>
      </c>
      <c r="F76" s="16">
        <f>SUM(E76*12)</f>
        <v>36375.600000000006</v>
      </c>
      <c r="G76" s="16">
        <v>2.1</v>
      </c>
      <c r="H76" s="264">
        <f>SUM(F76*G76/1000)</f>
        <v>76.388760000000005</v>
      </c>
      <c r="I76" s="16">
        <f>F76/12*G76</f>
        <v>6365.7300000000014</v>
      </c>
    </row>
    <row r="77" spans="1:21" ht="31.5" customHeight="1">
      <c r="A77" s="46">
        <v>20</v>
      </c>
      <c r="B77" s="18" t="s">
        <v>101</v>
      </c>
      <c r="C77" s="20"/>
      <c r="D77" s="268" t="s">
        <v>73</v>
      </c>
      <c r="E77" s="249">
        <f>E76</f>
        <v>3031.3</v>
      </c>
      <c r="F77" s="16">
        <f>E77*12</f>
        <v>36375.600000000006</v>
      </c>
      <c r="G77" s="16">
        <v>1.63</v>
      </c>
      <c r="H77" s="264">
        <f>F77*G77/1000</f>
        <v>59.292228000000001</v>
      </c>
      <c r="I77" s="16">
        <f>F77/12*G77</f>
        <v>4941.0190000000011</v>
      </c>
    </row>
    <row r="78" spans="1:21" ht="15.75" customHeight="1">
      <c r="A78" s="124"/>
      <c r="B78" s="69" t="s">
        <v>107</v>
      </c>
      <c r="C78" s="71"/>
      <c r="D78" s="19"/>
      <c r="E78" s="19"/>
      <c r="F78" s="19"/>
      <c r="G78" s="23"/>
      <c r="H78" s="23"/>
      <c r="I78" s="54">
        <f>I16+I17+I18+I27+I28+I39+I40+I41+I43+I44+I45+I46+I57+I60+I63+I65+I66+I74+I76+I77</f>
        <v>54794.533511333342</v>
      </c>
    </row>
    <row r="79" spans="1:21" ht="15.75" customHeight="1">
      <c r="A79" s="124"/>
      <c r="B79" s="188" t="s">
        <v>79</v>
      </c>
      <c r="C79" s="188"/>
      <c r="D79" s="188"/>
      <c r="E79" s="188"/>
      <c r="F79" s="188"/>
      <c r="G79" s="188"/>
      <c r="H79" s="188"/>
      <c r="I79" s="188"/>
    </row>
    <row r="80" spans="1:21" ht="31.5" customHeight="1">
      <c r="A80" s="46">
        <v>21</v>
      </c>
      <c r="B80" s="191" t="s">
        <v>265</v>
      </c>
      <c r="C80" s="46" t="s">
        <v>236</v>
      </c>
      <c r="D80" s="82"/>
      <c r="E80" s="16"/>
      <c r="F80" s="16">
        <v>1</v>
      </c>
      <c r="G80" s="16">
        <v>383.01</v>
      </c>
      <c r="H80" s="264">
        <f t="shared" ref="H80:H81" si="7">G80*F80/1000</f>
        <v>0.38301000000000002</v>
      </c>
      <c r="I80" s="16">
        <f>G80</f>
        <v>383.01</v>
      </c>
    </row>
    <row r="81" spans="1:9" ht="15" customHeight="1">
      <c r="A81" s="46">
        <v>22</v>
      </c>
      <c r="B81" s="189" t="s">
        <v>266</v>
      </c>
      <c r="C81" s="193" t="s">
        <v>262</v>
      </c>
      <c r="D81" s="82"/>
      <c r="E81" s="16"/>
      <c r="F81" s="16">
        <v>2</v>
      </c>
      <c r="G81" s="16">
        <v>4879</v>
      </c>
      <c r="H81" s="264">
        <f t="shared" si="7"/>
        <v>9.7579999999999991</v>
      </c>
      <c r="I81" s="16">
        <f>G81*2</f>
        <v>9758</v>
      </c>
    </row>
    <row r="82" spans="1:9" ht="15.75" customHeight="1">
      <c r="A82" s="46"/>
      <c r="B82" s="76" t="s">
        <v>66</v>
      </c>
      <c r="C82" s="72"/>
      <c r="D82" s="126"/>
      <c r="E82" s="72">
        <v>1</v>
      </c>
      <c r="F82" s="72"/>
      <c r="G82" s="72"/>
      <c r="H82" s="72"/>
      <c r="I82" s="54">
        <f>SUM(I80:I81)</f>
        <v>10141.01</v>
      </c>
    </row>
    <row r="83" spans="1:9" ht="15.75" customHeight="1">
      <c r="A83" s="46"/>
      <c r="B83" s="82" t="s">
        <v>102</v>
      </c>
      <c r="C83" s="19"/>
      <c r="D83" s="19"/>
      <c r="E83" s="73"/>
      <c r="F83" s="73"/>
      <c r="G83" s="74"/>
      <c r="H83" s="74"/>
      <c r="I83" s="22">
        <v>0</v>
      </c>
    </row>
    <row r="84" spans="1:9" ht="15.75" customHeight="1">
      <c r="A84" s="127"/>
      <c r="B84" s="77" t="s">
        <v>67</v>
      </c>
      <c r="C84" s="60"/>
      <c r="D84" s="60"/>
      <c r="E84" s="60"/>
      <c r="F84" s="60"/>
      <c r="G84" s="60"/>
      <c r="H84" s="60"/>
      <c r="I84" s="75">
        <f>I78+I82</f>
        <v>64935.543511333344</v>
      </c>
    </row>
    <row r="85" spans="1:9" ht="15.75">
      <c r="A85" s="227" t="s">
        <v>291</v>
      </c>
      <c r="B85" s="227"/>
      <c r="C85" s="227"/>
      <c r="D85" s="227"/>
      <c r="E85" s="227"/>
      <c r="F85" s="227"/>
      <c r="G85" s="227"/>
      <c r="H85" s="227"/>
      <c r="I85" s="227"/>
    </row>
    <row r="86" spans="1:9" ht="15.75">
      <c r="A86" s="204"/>
      <c r="B86" s="228" t="s">
        <v>292</v>
      </c>
      <c r="C86" s="228"/>
      <c r="D86" s="228"/>
      <c r="E86" s="228"/>
      <c r="F86" s="228"/>
      <c r="G86" s="228"/>
      <c r="H86" s="245"/>
      <c r="I86" s="3"/>
    </row>
    <row r="87" spans="1:9">
      <c r="A87" s="200"/>
      <c r="B87" s="216" t="s">
        <v>7</v>
      </c>
      <c r="C87" s="216"/>
      <c r="D87" s="216"/>
      <c r="E87" s="216"/>
      <c r="F87" s="216"/>
      <c r="G87" s="216"/>
      <c r="H87" s="36"/>
      <c r="I87" s="5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5.75">
      <c r="A89" s="229" t="s">
        <v>8</v>
      </c>
      <c r="B89" s="229"/>
      <c r="C89" s="229"/>
      <c r="D89" s="229"/>
      <c r="E89" s="229"/>
      <c r="F89" s="229"/>
      <c r="G89" s="229"/>
      <c r="H89" s="229"/>
      <c r="I89" s="229"/>
    </row>
    <row r="90" spans="1:9" ht="15.75">
      <c r="A90" s="229" t="s">
        <v>9</v>
      </c>
      <c r="B90" s="229"/>
      <c r="C90" s="229"/>
      <c r="D90" s="229"/>
      <c r="E90" s="229"/>
      <c r="F90" s="229"/>
      <c r="G90" s="229"/>
      <c r="H90" s="229"/>
      <c r="I90" s="229"/>
    </row>
    <row r="91" spans="1:9" ht="15.75">
      <c r="A91" s="225" t="s">
        <v>81</v>
      </c>
      <c r="B91" s="225"/>
      <c r="C91" s="225"/>
      <c r="D91" s="225"/>
      <c r="E91" s="225"/>
      <c r="F91" s="225"/>
      <c r="G91" s="225"/>
      <c r="H91" s="225"/>
      <c r="I91" s="225"/>
    </row>
    <row r="92" spans="1:9" ht="15.75">
      <c r="A92" s="12"/>
    </row>
    <row r="93" spans="1:9" ht="15.75">
      <c r="A93" s="226" t="s">
        <v>11</v>
      </c>
      <c r="B93" s="226"/>
      <c r="C93" s="226"/>
      <c r="D93" s="226"/>
      <c r="E93" s="226"/>
      <c r="F93" s="226"/>
      <c r="G93" s="226"/>
      <c r="H93" s="226"/>
      <c r="I93" s="226"/>
    </row>
    <row r="94" spans="1:9" ht="15.75">
      <c r="A94" s="4"/>
    </row>
    <row r="95" spans="1:9" ht="15.75">
      <c r="B95" s="203" t="s">
        <v>12</v>
      </c>
      <c r="C95" s="218" t="s">
        <v>140</v>
      </c>
      <c r="D95" s="218"/>
      <c r="E95" s="218"/>
      <c r="F95" s="243"/>
      <c r="I95" s="199"/>
    </row>
    <row r="96" spans="1:9">
      <c r="A96" s="200"/>
      <c r="C96" s="216" t="s">
        <v>13</v>
      </c>
      <c r="D96" s="216"/>
      <c r="E96" s="216"/>
      <c r="F96" s="36"/>
      <c r="I96" s="198" t="s">
        <v>14</v>
      </c>
    </row>
    <row r="97" spans="1:9" ht="15.75">
      <c r="A97" s="37"/>
      <c r="C97" s="13"/>
      <c r="D97" s="13"/>
      <c r="G97" s="13"/>
      <c r="H97" s="13"/>
    </row>
    <row r="98" spans="1:9" ht="15.75">
      <c r="B98" s="203" t="s">
        <v>15</v>
      </c>
      <c r="C98" s="217"/>
      <c r="D98" s="217"/>
      <c r="E98" s="217"/>
      <c r="F98" s="244"/>
      <c r="I98" s="199"/>
    </row>
    <row r="99" spans="1:9">
      <c r="A99" s="200"/>
      <c r="C99" s="211" t="s">
        <v>13</v>
      </c>
      <c r="D99" s="211"/>
      <c r="E99" s="211"/>
      <c r="F99" s="200"/>
      <c r="I99" s="198" t="s">
        <v>14</v>
      </c>
    </row>
    <row r="100" spans="1:9" ht="15.75">
      <c r="A100" s="4" t="s">
        <v>16</v>
      </c>
    </row>
    <row r="101" spans="1:9">
      <c r="A101" s="224" t="s">
        <v>17</v>
      </c>
      <c r="B101" s="224"/>
      <c r="C101" s="224"/>
      <c r="D101" s="224"/>
      <c r="E101" s="224"/>
      <c r="F101" s="224"/>
      <c r="G101" s="224"/>
      <c r="H101" s="224"/>
      <c r="I101" s="224"/>
    </row>
    <row r="102" spans="1:9" ht="45" customHeight="1">
      <c r="A102" s="223" t="s">
        <v>18</v>
      </c>
      <c r="B102" s="223"/>
      <c r="C102" s="223"/>
      <c r="D102" s="223"/>
      <c r="E102" s="223"/>
      <c r="F102" s="223"/>
      <c r="G102" s="223"/>
      <c r="H102" s="223"/>
      <c r="I102" s="223"/>
    </row>
    <row r="103" spans="1:9" ht="30" customHeight="1">
      <c r="A103" s="223" t="s">
        <v>19</v>
      </c>
      <c r="B103" s="223"/>
      <c r="C103" s="223"/>
      <c r="D103" s="223"/>
      <c r="E103" s="223"/>
      <c r="F103" s="223"/>
      <c r="G103" s="223"/>
      <c r="H103" s="223"/>
      <c r="I103" s="223"/>
    </row>
    <row r="104" spans="1:9" ht="30" customHeight="1">
      <c r="A104" s="223" t="s">
        <v>24</v>
      </c>
      <c r="B104" s="223"/>
      <c r="C104" s="223"/>
      <c r="D104" s="223"/>
      <c r="E104" s="223"/>
      <c r="F104" s="223"/>
      <c r="G104" s="223"/>
      <c r="H104" s="223"/>
      <c r="I104" s="223"/>
    </row>
    <row r="105" spans="1:9" ht="15.75">
      <c r="A105" s="223" t="s">
        <v>23</v>
      </c>
      <c r="B105" s="223"/>
      <c r="C105" s="223"/>
      <c r="D105" s="223"/>
      <c r="E105" s="223"/>
      <c r="F105" s="223"/>
      <c r="G105" s="223"/>
      <c r="H105" s="223"/>
      <c r="I105" s="223"/>
    </row>
  </sheetData>
  <autoFilter ref="I12:I62"/>
  <mergeCells count="28">
    <mergeCell ref="A102:I102"/>
    <mergeCell ref="A103:I103"/>
    <mergeCell ref="A104:I104"/>
    <mergeCell ref="A105:I105"/>
    <mergeCell ref="A93:I93"/>
    <mergeCell ref="C95:E95"/>
    <mergeCell ref="C96:E96"/>
    <mergeCell ref="C98:E98"/>
    <mergeCell ref="C99:E99"/>
    <mergeCell ref="A101:I101"/>
    <mergeCell ref="A85:I85"/>
    <mergeCell ref="B86:G86"/>
    <mergeCell ref="B87:G87"/>
    <mergeCell ref="A89:I89"/>
    <mergeCell ref="A90:I90"/>
    <mergeCell ref="A91:I91"/>
    <mergeCell ref="A15:I15"/>
    <mergeCell ref="A29:I29"/>
    <mergeCell ref="A47:I47"/>
    <mergeCell ref="A58:I58"/>
    <mergeCell ref="R67:U67"/>
    <mergeCell ref="A75:I7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293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113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42521</v>
      </c>
      <c r="J6" s="2"/>
      <c r="K6" s="2"/>
      <c r="L6" s="2"/>
      <c r="M6" s="2"/>
    </row>
    <row r="7" spans="1:13" ht="8.2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8.25" customHeight="1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customHeight="1">
      <c r="A19" s="46">
        <v>4</v>
      </c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f>F19/2*G19</f>
        <v>347.12639999999999</v>
      </c>
      <c r="J19" s="31"/>
      <c r="K19" s="8"/>
      <c r="L19" s="8"/>
      <c r="M19" s="8"/>
    </row>
    <row r="20" spans="1:13" ht="15" customHeight="1">
      <c r="A20" s="46">
        <v>5</v>
      </c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f>F20*G20</f>
        <v>94.124160000000003</v>
      </c>
      <c r="J20" s="31"/>
      <c r="K20" s="8"/>
      <c r="L20" s="8"/>
      <c r="M20" s="8"/>
    </row>
    <row r="21" spans="1:13" ht="15" customHeight="1">
      <c r="A21" s="46">
        <v>6</v>
      </c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f t="shared" ref="I21:I26" si="1">F21*G21</f>
        <v>21.784896</v>
      </c>
      <c r="J21" s="31"/>
      <c r="K21" s="8"/>
      <c r="L21" s="8"/>
      <c r="M21" s="8"/>
    </row>
    <row r="22" spans="1:13" ht="15" customHeight="1">
      <c r="A22" s="46">
        <v>7</v>
      </c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f t="shared" si="1"/>
        <v>1087.3795839999998</v>
      </c>
      <c r="J22" s="31"/>
      <c r="K22" s="8"/>
      <c r="L22" s="8"/>
      <c r="M22" s="8"/>
    </row>
    <row r="23" spans="1:13" ht="15" customHeight="1">
      <c r="A23" s="46">
        <v>8</v>
      </c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f t="shared" si="1"/>
        <v>31.251024000000001</v>
      </c>
      <c r="J23" s="31"/>
      <c r="K23" s="8"/>
      <c r="L23" s="8"/>
      <c r="M23" s="8"/>
    </row>
    <row r="24" spans="1:13" ht="15" customHeight="1">
      <c r="A24" s="46">
        <v>9</v>
      </c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f t="shared" si="1"/>
        <v>55.820800000000013</v>
      </c>
      <c r="J24" s="31"/>
      <c r="K24" s="8"/>
      <c r="L24" s="8"/>
      <c r="M24" s="8"/>
    </row>
    <row r="25" spans="1:13" ht="15" customHeight="1">
      <c r="A25" s="46">
        <v>10</v>
      </c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f t="shared" si="1"/>
        <v>69.1584</v>
      </c>
      <c r="J25" s="31"/>
      <c r="K25" s="8"/>
      <c r="L25" s="8"/>
      <c r="M25" s="8"/>
    </row>
    <row r="26" spans="1:13" ht="15" customHeight="1">
      <c r="A26" s="46">
        <v>11</v>
      </c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f t="shared" si="1"/>
        <v>146.96975999999998</v>
      </c>
      <c r="J26" s="31"/>
      <c r="K26" s="8"/>
      <c r="L26" s="8"/>
      <c r="M26" s="8"/>
    </row>
    <row r="27" spans="1:13" ht="15" customHeight="1">
      <c r="A27" s="46">
        <v>12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13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customHeight="1">
      <c r="A31" s="46">
        <v>14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2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customHeight="1">
      <c r="A32" s="46">
        <v>15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2"/>
        <v>1.3717735199999999</v>
      </c>
      <c r="I32" s="16">
        <f t="shared" ref="I32:I35" si="3">F32/6*G32</f>
        <v>228.62891999999999</v>
      </c>
      <c r="J32" s="31"/>
      <c r="K32" s="8"/>
      <c r="L32" s="8"/>
      <c r="M32" s="8"/>
    </row>
    <row r="33" spans="1:14" ht="15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2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customHeight="1">
      <c r="A34" s="46">
        <v>17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3"/>
        <v>1345.4206666666669</v>
      </c>
      <c r="J34" s="31"/>
      <c r="K34" s="8"/>
      <c r="L34" s="8"/>
      <c r="M34" s="8"/>
    </row>
    <row r="35" spans="1:14" ht="15" customHeight="1">
      <c r="A35" s="46">
        <v>18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3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2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2"/>
        <v>2.27264</v>
      </c>
      <c r="I37" s="16">
        <v>0</v>
      </c>
      <c r="J37" s="32"/>
    </row>
    <row r="38" spans="1:14" ht="15" hidden="1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hidden="1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4">SUM(F39*G39/1000)</f>
        <v>9.1633200000000006</v>
      </c>
      <c r="I39" s="16">
        <f>F39/6*G39</f>
        <v>1527.22</v>
      </c>
      <c r="J39" s="32"/>
    </row>
    <row r="40" spans="1:14" ht="15" hidden="1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4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hidden="1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hidden="1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4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hidden="1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4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hidden="1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4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hidden="1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4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customHeight="1">
      <c r="A48" s="46">
        <v>19</v>
      </c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5">SUM(F48*G48/1000)</f>
        <v>1.7187541239999997</v>
      </c>
      <c r="I48" s="16">
        <f t="shared" ref="I48:I51" si="6">F48/2*G48</f>
        <v>859.37706199999991</v>
      </c>
      <c r="J48" s="32"/>
      <c r="L48" s="25"/>
      <c r="M48" s="26"/>
      <c r="N48" s="27"/>
    </row>
    <row r="49" spans="1:22" ht="15" customHeight="1">
      <c r="A49" s="46">
        <v>20</v>
      </c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5"/>
        <v>6.0265920000000001E-2</v>
      </c>
      <c r="I49" s="16">
        <f t="shared" si="6"/>
        <v>30.132960000000001</v>
      </c>
      <c r="J49" s="32"/>
      <c r="L49" s="25"/>
      <c r="M49" s="26"/>
      <c r="N49" s="27"/>
    </row>
    <row r="50" spans="1:22" ht="15" customHeight="1">
      <c r="A50" s="46">
        <v>21</v>
      </c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5"/>
        <v>1.4357196480000001</v>
      </c>
      <c r="I50" s="16">
        <f t="shared" si="6"/>
        <v>717.859824</v>
      </c>
      <c r="J50" s="32"/>
      <c r="L50" s="25"/>
      <c r="M50" s="26"/>
      <c r="N50" s="27"/>
    </row>
    <row r="51" spans="1:22" ht="15" customHeight="1">
      <c r="A51" s="46">
        <v>22</v>
      </c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5"/>
        <v>2.1771028954</v>
      </c>
      <c r="I51" s="16">
        <f t="shared" si="6"/>
        <v>1088.5514476999999</v>
      </c>
      <c r="J51" s="32"/>
      <c r="L51" s="25"/>
      <c r="M51" s="26"/>
      <c r="N51" s="27"/>
    </row>
    <row r="52" spans="1:22" ht="15" customHeight="1">
      <c r="A52" s="46">
        <v>23</v>
      </c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5"/>
        <v>0.124912836</v>
      </c>
      <c r="I52" s="16">
        <f>F52/2*G52</f>
        <v>62.456417999999999</v>
      </c>
      <c r="J52" s="32"/>
      <c r="L52" s="25"/>
      <c r="M52" s="26"/>
      <c r="N52" s="27"/>
    </row>
    <row r="53" spans="1:22" ht="15" customHeight="1">
      <c r="A53" s="46">
        <v>24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5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customHeight="1">
      <c r="A54" s="46">
        <v>25</v>
      </c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5"/>
        <v>2.1455563999999998</v>
      </c>
      <c r="I54" s="16">
        <f>F54/2*G54</f>
        <v>1072.7782</v>
      </c>
      <c r="J54" s="32"/>
      <c r="L54" s="25"/>
      <c r="M54" s="26"/>
      <c r="N54" s="27"/>
    </row>
    <row r="55" spans="1:22" ht="31.5" customHeight="1">
      <c r="A55" s="46">
        <v>26</v>
      </c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5"/>
        <v>1.0921959999999999</v>
      </c>
      <c r="I55" s="16">
        <f t="shared" ref="I55:I56" si="7">F55/2*G55</f>
        <v>546.09799999999996</v>
      </c>
      <c r="J55" s="32"/>
      <c r="L55" s="25"/>
      <c r="M55" s="26"/>
      <c r="N55" s="27"/>
    </row>
    <row r="56" spans="1:22" ht="15" customHeight="1">
      <c r="A56" s="46">
        <v>27</v>
      </c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5"/>
        <v>0.11304260000000001</v>
      </c>
      <c r="I56" s="16">
        <f t="shared" si="7"/>
        <v>56.521300000000004</v>
      </c>
      <c r="J56" s="32"/>
      <c r="L56" s="25"/>
      <c r="M56" s="26"/>
      <c r="N56" s="27"/>
    </row>
    <row r="57" spans="1:22" ht="15" hidden="1" customHeight="1">
      <c r="A57" s="46">
        <v>14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5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251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hidden="1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hidden="1" customHeight="1">
      <c r="A60" s="46">
        <v>15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28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hidden="1" customHeight="1">
      <c r="A65" s="46"/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80" si="8">SUM(F65*G65/1000)</f>
        <v>4.4480000000000004</v>
      </c>
      <c r="I65" s="16">
        <v>0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46">
        <v>17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8"/>
        <v>#VALUE!</v>
      </c>
      <c r="I66" s="16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customHeight="1">
      <c r="A67" s="46">
        <v>29</v>
      </c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8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customHeight="1">
      <c r="A68" s="46">
        <v>30</v>
      </c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8"/>
        <v>2.08941087</v>
      </c>
      <c r="I68" s="16">
        <f t="shared" ref="I68:I72" si="9">F68*G68</f>
        <v>2089.4108700000002</v>
      </c>
    </row>
    <row r="69" spans="1:21" ht="15" customHeight="1">
      <c r="A69" s="46">
        <v>31</v>
      </c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8"/>
        <v>39.417970000000004</v>
      </c>
      <c r="I69" s="16">
        <f t="shared" si="9"/>
        <v>39417.97</v>
      </c>
    </row>
    <row r="70" spans="1:21" ht="15" customHeight="1">
      <c r="A70" s="46">
        <v>32</v>
      </c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8"/>
        <v>0.48217100000000007</v>
      </c>
      <c r="I70" s="16">
        <f t="shared" si="9"/>
        <v>482.17100000000005</v>
      </c>
    </row>
    <row r="71" spans="1:21" ht="15" customHeight="1">
      <c r="A71" s="46">
        <v>33</v>
      </c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8"/>
        <v>0.44985300000000006</v>
      </c>
      <c r="I71" s="16">
        <f t="shared" si="9"/>
        <v>449.85300000000007</v>
      </c>
    </row>
    <row r="72" spans="1:21" ht="15" hidden="1" customHeight="1">
      <c r="A72" s="46"/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8"/>
        <v>0.29928000000000005</v>
      </c>
      <c r="I72" s="16">
        <f t="shared" si="9"/>
        <v>299.28000000000003</v>
      </c>
    </row>
    <row r="73" spans="1:21" ht="15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hidden="1" customHeight="1">
      <c r="A74" s="46"/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v>0</v>
      </c>
    </row>
    <row r="75" spans="1:21" ht="15" hidden="1" customHeight="1">
      <c r="A75" s="46"/>
      <c r="B75" s="18" t="s">
        <v>233</v>
      </c>
      <c r="C75" s="20" t="s">
        <v>37</v>
      </c>
      <c r="D75" s="18"/>
      <c r="E75" s="23">
        <v>2</v>
      </c>
      <c r="F75" s="16">
        <v>2</v>
      </c>
      <c r="G75" s="16">
        <v>99.85</v>
      </c>
      <c r="H75" s="264">
        <v>0.1</v>
      </c>
      <c r="I75" s="16">
        <v>0</v>
      </c>
    </row>
    <row r="76" spans="1:21" ht="15" hidden="1" customHeight="1">
      <c r="A76" s="46"/>
      <c r="B76" s="18" t="s">
        <v>234</v>
      </c>
      <c r="C76" s="20" t="s">
        <v>37</v>
      </c>
      <c r="D76" s="18"/>
      <c r="E76" s="23">
        <v>1</v>
      </c>
      <c r="F76" s="241">
        <v>1</v>
      </c>
      <c r="G76" s="16">
        <v>120.26</v>
      </c>
      <c r="H76" s="264">
        <v>0.12</v>
      </c>
      <c r="I76" s="16">
        <v>0</v>
      </c>
    </row>
    <row r="77" spans="1:21" ht="15" hidden="1" customHeight="1">
      <c r="A77" s="46"/>
      <c r="B77" s="18" t="s">
        <v>134</v>
      </c>
      <c r="C77" s="20" t="s">
        <v>37</v>
      </c>
      <c r="D77" s="18"/>
      <c r="E77" s="23">
        <v>1</v>
      </c>
      <c r="F77" s="250">
        <f>SUM(E77)</f>
        <v>1</v>
      </c>
      <c r="G77" s="16">
        <v>358.51</v>
      </c>
      <c r="H77" s="264">
        <f t="shared" si="8"/>
        <v>0.35851</v>
      </c>
      <c r="I77" s="16">
        <v>0</v>
      </c>
    </row>
    <row r="78" spans="1:21" ht="15" customHeight="1">
      <c r="A78" s="46">
        <v>34</v>
      </c>
      <c r="B78" s="18" t="s">
        <v>97</v>
      </c>
      <c r="C78" s="20" t="s">
        <v>37</v>
      </c>
      <c r="D78" s="18"/>
      <c r="E78" s="23">
        <v>1</v>
      </c>
      <c r="F78" s="16">
        <v>1</v>
      </c>
      <c r="G78" s="16">
        <v>852.99</v>
      </c>
      <c r="H78" s="264">
        <f>F78*G78/1000</f>
        <v>0.85299000000000003</v>
      </c>
      <c r="I78" s="16">
        <f>G78*6</f>
        <v>5117.9400000000005</v>
      </c>
    </row>
    <row r="79" spans="1:21" ht="15" hidden="1" customHeight="1">
      <c r="A79" s="46"/>
      <c r="B79" s="266" t="s">
        <v>99</v>
      </c>
      <c r="C79" s="20"/>
      <c r="D79" s="18"/>
      <c r="E79" s="23"/>
      <c r="F79" s="16"/>
      <c r="G79" s="16" t="s">
        <v>224</v>
      </c>
      <c r="H79" s="264" t="s">
        <v>224</v>
      </c>
      <c r="I79" s="16"/>
    </row>
    <row r="80" spans="1:21" ht="15" hidden="1" customHeight="1">
      <c r="A80" s="46"/>
      <c r="B80" s="82" t="s">
        <v>225</v>
      </c>
      <c r="C80" s="20" t="s">
        <v>100</v>
      </c>
      <c r="D80" s="18"/>
      <c r="E80" s="23"/>
      <c r="F80" s="16">
        <v>0.2</v>
      </c>
      <c r="G80" s="16">
        <v>2759.44</v>
      </c>
      <c r="H80" s="264">
        <f t="shared" si="8"/>
        <v>0.55188800000000005</v>
      </c>
      <c r="I80" s="16">
        <v>0</v>
      </c>
    </row>
    <row r="81" spans="1:9" ht="15" hidden="1" customHeight="1">
      <c r="A81" s="46"/>
      <c r="B81" s="254" t="s">
        <v>222</v>
      </c>
      <c r="C81" s="266"/>
      <c r="D81" s="52"/>
      <c r="E81" s="54"/>
      <c r="F81" s="255"/>
      <c r="G81" s="255"/>
      <c r="H81" s="267" t="e">
        <f>SUM(H60:H80)</f>
        <v>#VALUE!</v>
      </c>
      <c r="I81" s="255"/>
    </row>
    <row r="82" spans="1:9" ht="15" hidden="1" customHeight="1">
      <c r="A82" s="46"/>
      <c r="B82" s="247" t="s">
        <v>223</v>
      </c>
      <c r="C82" s="20"/>
      <c r="D82" s="18"/>
      <c r="E82" s="242"/>
      <c r="F82" s="16">
        <v>1</v>
      </c>
      <c r="G82" s="16">
        <v>13437.4</v>
      </c>
      <c r="H82" s="264">
        <f>G82*F82/1000</f>
        <v>13.4374</v>
      </c>
      <c r="I82" s="16">
        <v>0</v>
      </c>
    </row>
    <row r="83" spans="1:9" ht="15.75" customHeight="1">
      <c r="A83" s="238" t="s">
        <v>252</v>
      </c>
      <c r="B83" s="239"/>
      <c r="C83" s="239"/>
      <c r="D83" s="239"/>
      <c r="E83" s="239"/>
      <c r="F83" s="239"/>
      <c r="G83" s="239"/>
      <c r="H83" s="239"/>
      <c r="I83" s="240"/>
    </row>
    <row r="84" spans="1:9" ht="15" customHeight="1">
      <c r="A84" s="46">
        <v>35</v>
      </c>
      <c r="B84" s="247" t="s">
        <v>226</v>
      </c>
      <c r="C84" s="20" t="s">
        <v>72</v>
      </c>
      <c r="D84" s="268" t="s">
        <v>73</v>
      </c>
      <c r="E84" s="16">
        <v>3031.3</v>
      </c>
      <c r="F84" s="16">
        <f>SUM(E84*12)</f>
        <v>36375.600000000006</v>
      </c>
      <c r="G84" s="16">
        <v>2.1</v>
      </c>
      <c r="H84" s="264">
        <f>SUM(F84*G84/1000)</f>
        <v>76.388760000000005</v>
      </c>
      <c r="I84" s="16">
        <f>F84/12*G84</f>
        <v>6365.7300000000014</v>
      </c>
    </row>
    <row r="85" spans="1:9" ht="31.5" customHeight="1">
      <c r="A85" s="46">
        <v>36</v>
      </c>
      <c r="B85" s="18" t="s">
        <v>101</v>
      </c>
      <c r="C85" s="20"/>
      <c r="D85" s="268" t="s">
        <v>73</v>
      </c>
      <c r="E85" s="249">
        <f>E84</f>
        <v>3031.3</v>
      </c>
      <c r="F85" s="16">
        <f>E85*12</f>
        <v>36375.600000000006</v>
      </c>
      <c r="G85" s="16">
        <v>1.63</v>
      </c>
      <c r="H85" s="264">
        <f>F85*G85/1000</f>
        <v>59.292228000000001</v>
      </c>
      <c r="I85" s="16">
        <f>F85/12*G85</f>
        <v>4941.0190000000011</v>
      </c>
    </row>
    <row r="86" spans="1:9" ht="15.75" customHeight="1">
      <c r="A86" s="124"/>
      <c r="B86" s="69" t="s">
        <v>107</v>
      </c>
      <c r="C86" s="71"/>
      <c r="D86" s="19"/>
      <c r="E86" s="19"/>
      <c r="F86" s="19"/>
      <c r="G86" s="23"/>
      <c r="H86" s="23"/>
      <c r="I86" s="54">
        <f>I16+I17+I18+I19+I20+I21+I22+I23+I24+I25+I26+I27+I28+I31+I32+I33+I34+I35+I48+I49+I50+I51+I52+I53+I54+I55+I56+I63+I67+I68+I69+I70+I71+I78+I84+I85</f>
        <v>123744.32250555558</v>
      </c>
    </row>
    <row r="87" spans="1:9" ht="15.75" customHeight="1">
      <c r="A87" s="124"/>
      <c r="B87" s="188" t="s">
        <v>79</v>
      </c>
      <c r="C87" s="188"/>
      <c r="D87" s="188"/>
      <c r="E87" s="188"/>
      <c r="F87" s="188"/>
      <c r="G87" s="188"/>
      <c r="H87" s="188"/>
      <c r="I87" s="188"/>
    </row>
    <row r="88" spans="1:9" ht="31.5" customHeight="1">
      <c r="A88" s="46">
        <v>37</v>
      </c>
      <c r="B88" s="189" t="s">
        <v>106</v>
      </c>
      <c r="C88" s="193" t="s">
        <v>216</v>
      </c>
      <c r="D88" s="82"/>
      <c r="E88" s="16"/>
      <c r="F88" s="16">
        <v>8</v>
      </c>
      <c r="G88" s="16">
        <v>79.09</v>
      </c>
      <c r="H88" s="264">
        <f t="shared" ref="H88:H89" si="10">G88*F88/1000</f>
        <v>0.63272000000000006</v>
      </c>
      <c r="I88" s="16">
        <f>G88</f>
        <v>79.09</v>
      </c>
    </row>
    <row r="89" spans="1:9" ht="15" customHeight="1">
      <c r="A89" s="46">
        <v>38</v>
      </c>
      <c r="B89" s="189" t="s">
        <v>267</v>
      </c>
      <c r="C89" s="193" t="s">
        <v>118</v>
      </c>
      <c r="D89" s="82"/>
      <c r="E89" s="16"/>
      <c r="F89" s="16">
        <v>4</v>
      </c>
      <c r="G89" s="16">
        <v>185.81</v>
      </c>
      <c r="H89" s="264">
        <f t="shared" si="10"/>
        <v>0.74324000000000001</v>
      </c>
      <c r="I89" s="16">
        <f>G89</f>
        <v>185.81</v>
      </c>
    </row>
    <row r="90" spans="1:9" ht="15.75" customHeight="1">
      <c r="A90" s="46"/>
      <c r="B90" s="76" t="s">
        <v>66</v>
      </c>
      <c r="C90" s="72"/>
      <c r="D90" s="126"/>
      <c r="E90" s="72">
        <v>1</v>
      </c>
      <c r="F90" s="72"/>
      <c r="G90" s="72"/>
      <c r="H90" s="72"/>
      <c r="I90" s="54">
        <f>SUM(I88:I89)</f>
        <v>264.89999999999998</v>
      </c>
    </row>
    <row r="91" spans="1:9" ht="15.75" customHeight="1">
      <c r="A91" s="46"/>
      <c r="B91" s="82" t="s">
        <v>102</v>
      </c>
      <c r="C91" s="19"/>
      <c r="D91" s="19"/>
      <c r="E91" s="73"/>
      <c r="F91" s="73"/>
      <c r="G91" s="74"/>
      <c r="H91" s="74"/>
      <c r="I91" s="22">
        <v>0</v>
      </c>
    </row>
    <row r="92" spans="1:9" ht="15.75" customHeight="1">
      <c r="A92" s="127"/>
      <c r="B92" s="77" t="s">
        <v>67</v>
      </c>
      <c r="C92" s="60"/>
      <c r="D92" s="60"/>
      <c r="E92" s="60"/>
      <c r="F92" s="60"/>
      <c r="G92" s="60"/>
      <c r="H92" s="60"/>
      <c r="I92" s="75">
        <f>I86+I90</f>
        <v>124009.22250555558</v>
      </c>
    </row>
    <row r="93" spans="1:9" ht="15.75">
      <c r="A93" s="227" t="s">
        <v>294</v>
      </c>
      <c r="B93" s="227"/>
      <c r="C93" s="227"/>
      <c r="D93" s="227"/>
      <c r="E93" s="227"/>
      <c r="F93" s="227"/>
      <c r="G93" s="227"/>
      <c r="H93" s="227"/>
      <c r="I93" s="227"/>
    </row>
    <row r="94" spans="1:9" ht="15.75">
      <c r="A94" s="204"/>
      <c r="B94" s="228" t="s">
        <v>295</v>
      </c>
      <c r="C94" s="228"/>
      <c r="D94" s="228"/>
      <c r="E94" s="228"/>
      <c r="F94" s="228"/>
      <c r="G94" s="228"/>
      <c r="H94" s="245"/>
      <c r="I94" s="3"/>
    </row>
    <row r="95" spans="1:9">
      <c r="A95" s="200"/>
      <c r="B95" s="216" t="s">
        <v>7</v>
      </c>
      <c r="C95" s="216"/>
      <c r="D95" s="216"/>
      <c r="E95" s="216"/>
      <c r="F95" s="216"/>
      <c r="G95" s="216"/>
      <c r="H95" s="36"/>
      <c r="I95" s="5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.75">
      <c r="A97" s="229" t="s">
        <v>8</v>
      </c>
      <c r="B97" s="229"/>
      <c r="C97" s="229"/>
      <c r="D97" s="229"/>
      <c r="E97" s="229"/>
      <c r="F97" s="229"/>
      <c r="G97" s="229"/>
      <c r="H97" s="229"/>
      <c r="I97" s="229"/>
    </row>
    <row r="98" spans="1:9" ht="15.75">
      <c r="A98" s="229" t="s">
        <v>9</v>
      </c>
      <c r="B98" s="229"/>
      <c r="C98" s="229"/>
      <c r="D98" s="229"/>
      <c r="E98" s="229"/>
      <c r="F98" s="229"/>
      <c r="G98" s="229"/>
      <c r="H98" s="229"/>
      <c r="I98" s="229"/>
    </row>
    <row r="99" spans="1:9" ht="15.75">
      <c r="A99" s="225" t="s">
        <v>81</v>
      </c>
      <c r="B99" s="225"/>
      <c r="C99" s="225"/>
      <c r="D99" s="225"/>
      <c r="E99" s="225"/>
      <c r="F99" s="225"/>
      <c r="G99" s="225"/>
      <c r="H99" s="225"/>
      <c r="I99" s="225"/>
    </row>
    <row r="100" spans="1:9" ht="15.75">
      <c r="A100" s="12"/>
    </row>
    <row r="101" spans="1:9" ht="15.75">
      <c r="A101" s="226" t="s">
        <v>11</v>
      </c>
      <c r="B101" s="226"/>
      <c r="C101" s="226"/>
      <c r="D101" s="226"/>
      <c r="E101" s="226"/>
      <c r="F101" s="226"/>
      <c r="G101" s="226"/>
      <c r="H101" s="226"/>
      <c r="I101" s="226"/>
    </row>
    <row r="102" spans="1:9" ht="15.75">
      <c r="A102" s="4"/>
    </row>
    <row r="103" spans="1:9" ht="15.75">
      <c r="B103" s="203" t="s">
        <v>12</v>
      </c>
      <c r="C103" s="218" t="s">
        <v>140</v>
      </c>
      <c r="D103" s="218"/>
      <c r="E103" s="218"/>
      <c r="F103" s="243"/>
      <c r="I103" s="199"/>
    </row>
    <row r="104" spans="1:9">
      <c r="A104" s="200"/>
      <c r="C104" s="216" t="s">
        <v>13</v>
      </c>
      <c r="D104" s="216"/>
      <c r="E104" s="216"/>
      <c r="F104" s="36"/>
      <c r="I104" s="198" t="s">
        <v>14</v>
      </c>
    </row>
    <row r="105" spans="1:9" ht="15.75">
      <c r="A105" s="37"/>
      <c r="C105" s="13"/>
      <c r="D105" s="13"/>
      <c r="G105" s="13"/>
      <c r="H105" s="13"/>
    </row>
    <row r="106" spans="1:9" ht="15.75">
      <c r="B106" s="203" t="s">
        <v>15</v>
      </c>
      <c r="C106" s="217"/>
      <c r="D106" s="217"/>
      <c r="E106" s="217"/>
      <c r="F106" s="244"/>
      <c r="I106" s="199"/>
    </row>
    <row r="107" spans="1:9">
      <c r="A107" s="200"/>
      <c r="C107" s="211" t="s">
        <v>13</v>
      </c>
      <c r="D107" s="211"/>
      <c r="E107" s="211"/>
      <c r="F107" s="200"/>
      <c r="I107" s="198" t="s">
        <v>14</v>
      </c>
    </row>
    <row r="108" spans="1:9" ht="15.75">
      <c r="A108" s="4" t="s">
        <v>16</v>
      </c>
    </row>
    <row r="109" spans="1:9">
      <c r="A109" s="224" t="s">
        <v>17</v>
      </c>
      <c r="B109" s="224"/>
      <c r="C109" s="224"/>
      <c r="D109" s="224"/>
      <c r="E109" s="224"/>
      <c r="F109" s="224"/>
      <c r="G109" s="224"/>
      <c r="H109" s="224"/>
      <c r="I109" s="224"/>
    </row>
    <row r="110" spans="1:9" ht="45" customHeight="1">
      <c r="A110" s="223" t="s">
        <v>18</v>
      </c>
      <c r="B110" s="223"/>
      <c r="C110" s="223"/>
      <c r="D110" s="223"/>
      <c r="E110" s="223"/>
      <c r="F110" s="223"/>
      <c r="G110" s="223"/>
      <c r="H110" s="223"/>
      <c r="I110" s="223"/>
    </row>
    <row r="111" spans="1:9" ht="30" customHeight="1">
      <c r="A111" s="223" t="s">
        <v>19</v>
      </c>
      <c r="B111" s="223"/>
      <c r="C111" s="223"/>
      <c r="D111" s="223"/>
      <c r="E111" s="223"/>
      <c r="F111" s="223"/>
      <c r="G111" s="223"/>
      <c r="H111" s="223"/>
      <c r="I111" s="223"/>
    </row>
    <row r="112" spans="1:9" ht="30" customHeight="1">
      <c r="A112" s="223" t="s">
        <v>24</v>
      </c>
      <c r="B112" s="223"/>
      <c r="C112" s="223"/>
      <c r="D112" s="223"/>
      <c r="E112" s="223"/>
      <c r="F112" s="223"/>
      <c r="G112" s="223"/>
      <c r="H112" s="223"/>
      <c r="I112" s="223"/>
    </row>
    <row r="113" spans="1:9" ht="15.75">
      <c r="A113" s="223" t="s">
        <v>23</v>
      </c>
      <c r="B113" s="223"/>
      <c r="C113" s="223"/>
      <c r="D113" s="223"/>
      <c r="E113" s="223"/>
      <c r="F113" s="223"/>
      <c r="G113" s="223"/>
      <c r="H113" s="223"/>
      <c r="I113" s="223"/>
    </row>
  </sheetData>
  <autoFilter ref="I12:I62"/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3:I93"/>
    <mergeCell ref="B94:G94"/>
    <mergeCell ref="B95:G95"/>
    <mergeCell ref="A97:I97"/>
    <mergeCell ref="A98:I98"/>
    <mergeCell ref="A99:I99"/>
    <mergeCell ref="A15:I15"/>
    <mergeCell ref="A29:I29"/>
    <mergeCell ref="A47:I47"/>
    <mergeCell ref="A58:I5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296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74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42551</v>
      </c>
      <c r="J6" s="2"/>
      <c r="K6" s="2"/>
      <c r="L6" s="2"/>
      <c r="M6" s="2"/>
    </row>
    <row r="7" spans="1:13" ht="15.7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hidden="1" customHeight="1">
      <c r="A19" s="46"/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v>0</v>
      </c>
      <c r="J19" s="31"/>
      <c r="K19" s="8"/>
      <c r="L19" s="8"/>
      <c r="M19" s="8"/>
    </row>
    <row r="20" spans="1:13" ht="15" hidden="1" customHeight="1">
      <c r="A20" s="46"/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v>0</v>
      </c>
      <c r="J20" s="31"/>
      <c r="K20" s="8"/>
      <c r="L20" s="8"/>
      <c r="M20" s="8"/>
    </row>
    <row r="21" spans="1:13" ht="15" hidden="1" customHeight="1">
      <c r="A21" s="46"/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v>0</v>
      </c>
      <c r="J21" s="31"/>
      <c r="K21" s="8"/>
      <c r="L21" s="8"/>
      <c r="M21" s="8"/>
    </row>
    <row r="22" spans="1:13" ht="15" hidden="1" customHeight="1">
      <c r="A22" s="46"/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v>0</v>
      </c>
      <c r="J22" s="31"/>
      <c r="K22" s="8"/>
      <c r="L22" s="8"/>
      <c r="M22" s="8"/>
    </row>
    <row r="23" spans="1:13" ht="15" hidden="1" customHeight="1">
      <c r="A23" s="46"/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v>0</v>
      </c>
      <c r="J23" s="31"/>
      <c r="K23" s="8"/>
      <c r="L23" s="8"/>
      <c r="M23" s="8"/>
    </row>
    <row r="24" spans="1:13" ht="15" hidden="1" customHeight="1">
      <c r="A24" s="46"/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v>0</v>
      </c>
      <c r="J24" s="31"/>
      <c r="K24" s="8"/>
      <c r="L24" s="8"/>
      <c r="M24" s="8"/>
    </row>
    <row r="25" spans="1:13" ht="15" hidden="1" customHeight="1">
      <c r="A25" s="46"/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v>0</v>
      </c>
      <c r="J25" s="31"/>
      <c r="K25" s="8"/>
      <c r="L25" s="8"/>
      <c r="M25" s="8"/>
    </row>
    <row r="26" spans="1:13" ht="15" hidden="1" customHeight="1">
      <c r="A26" s="46"/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v>0</v>
      </c>
      <c r="J26" s="31"/>
      <c r="K26" s="8"/>
      <c r="L26" s="8"/>
      <c r="M26" s="8"/>
    </row>
    <row r="27" spans="1:13" ht="15" customHeight="1">
      <c r="A27" s="46">
        <v>4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5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customHeight="1">
      <c r="A31" s="46">
        <v>6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1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customHeight="1">
      <c r="A32" s="46">
        <v>7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1"/>
        <v>1.3717735199999999</v>
      </c>
      <c r="I32" s="16">
        <f t="shared" ref="I32:I35" si="2">F32/6*G32</f>
        <v>228.62891999999999</v>
      </c>
      <c r="J32" s="31"/>
      <c r="K32" s="8"/>
      <c r="L32" s="8"/>
      <c r="M32" s="8"/>
    </row>
    <row r="33" spans="1:14" ht="15" hidden="1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1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customHeight="1">
      <c r="A34" s="46">
        <v>8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2"/>
        <v>1345.4206666666669</v>
      </c>
      <c r="J34" s="31"/>
      <c r="K34" s="8"/>
      <c r="L34" s="8"/>
      <c r="M34" s="8"/>
    </row>
    <row r="35" spans="1:14" ht="15" customHeight="1">
      <c r="A35" s="46">
        <v>9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2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1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1"/>
        <v>2.27264</v>
      </c>
      <c r="I37" s="16">
        <v>0</v>
      </c>
      <c r="J37" s="32"/>
    </row>
    <row r="38" spans="1:14" ht="15" hidden="1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hidden="1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3">SUM(F39*G39/1000)</f>
        <v>9.1633200000000006</v>
      </c>
      <c r="I39" s="16">
        <f>F39/6*G39</f>
        <v>1527.22</v>
      </c>
      <c r="J39" s="32"/>
    </row>
    <row r="40" spans="1:14" ht="15" hidden="1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3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hidden="1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hidden="1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3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hidden="1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3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hidden="1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3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hidden="1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3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hidden="1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hidden="1" customHeight="1">
      <c r="A48" s="46"/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4">SUM(F48*G48/1000)</f>
        <v>1.7187541239999997</v>
      </c>
      <c r="I48" s="16">
        <v>0</v>
      </c>
      <c r="J48" s="32"/>
      <c r="L48" s="25"/>
      <c r="M48" s="26"/>
      <c r="N48" s="27"/>
    </row>
    <row r="49" spans="1:22" ht="15" hidden="1" customHeight="1">
      <c r="A49" s="46"/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4"/>
        <v>6.0265920000000001E-2</v>
      </c>
      <c r="I49" s="16">
        <v>0</v>
      </c>
      <c r="J49" s="32"/>
      <c r="L49" s="25"/>
      <c r="M49" s="26"/>
      <c r="N49" s="27"/>
    </row>
    <row r="50" spans="1:22" ht="15" hidden="1" customHeight="1">
      <c r="A50" s="46"/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4"/>
        <v>1.4357196480000001</v>
      </c>
      <c r="I50" s="16">
        <v>0</v>
      </c>
      <c r="J50" s="32"/>
      <c r="L50" s="25"/>
      <c r="M50" s="26"/>
      <c r="N50" s="27"/>
    </row>
    <row r="51" spans="1:22" ht="15" hidden="1" customHeight="1">
      <c r="A51" s="46"/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4"/>
        <v>2.1771028954</v>
      </c>
      <c r="I51" s="16">
        <v>0</v>
      </c>
      <c r="J51" s="32"/>
      <c r="L51" s="25"/>
      <c r="M51" s="26"/>
      <c r="N51" s="27"/>
    </row>
    <row r="52" spans="1:22" ht="15" hidden="1" customHeight="1">
      <c r="A52" s="46"/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4"/>
        <v>0.124912836</v>
      </c>
      <c r="I52" s="16">
        <v>0</v>
      </c>
      <c r="J52" s="32"/>
      <c r="L52" s="25"/>
      <c r="M52" s="26"/>
      <c r="N52" s="27"/>
    </row>
    <row r="53" spans="1:22" ht="15" hidden="1" customHeight="1">
      <c r="A53" s="46">
        <v>13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4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hidden="1" customHeight="1">
      <c r="A54" s="46"/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4"/>
        <v>2.1455563999999998</v>
      </c>
      <c r="I54" s="16">
        <v>0</v>
      </c>
      <c r="J54" s="32"/>
      <c r="L54" s="25"/>
      <c r="M54" s="26"/>
      <c r="N54" s="27"/>
    </row>
    <row r="55" spans="1:22" ht="31.5" hidden="1" customHeight="1">
      <c r="A55" s="46"/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4"/>
        <v>1.0921959999999999</v>
      </c>
      <c r="I55" s="16">
        <v>0</v>
      </c>
      <c r="J55" s="32"/>
      <c r="L55" s="25"/>
      <c r="M55" s="26"/>
      <c r="N55" s="27"/>
    </row>
    <row r="56" spans="1:22" ht="15" hidden="1" customHeight="1">
      <c r="A56" s="46"/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4"/>
        <v>0.11304260000000001</v>
      </c>
      <c r="I56" s="16">
        <v>0</v>
      </c>
      <c r="J56" s="32"/>
      <c r="L56" s="25"/>
      <c r="M56" s="26"/>
      <c r="N56" s="27"/>
    </row>
    <row r="57" spans="1:22" ht="15" hidden="1" customHeight="1">
      <c r="A57" s="46">
        <v>14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4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287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hidden="1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hidden="1" customHeight="1">
      <c r="A60" s="46">
        <v>15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10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hidden="1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hidden="1" customHeight="1">
      <c r="A65" s="46"/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80" si="5">SUM(F65*G65/1000)</f>
        <v>4.4480000000000004</v>
      </c>
      <c r="I65" s="16">
        <v>0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46">
        <v>17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5"/>
        <v>#VALUE!</v>
      </c>
      <c r="I66" s="16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46"/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5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hidden="1" customHeight="1">
      <c r="A68" s="46"/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5"/>
        <v>2.08941087</v>
      </c>
      <c r="I68" s="16">
        <f t="shared" ref="I68:I72" si="6">F68*G68</f>
        <v>2089.4108700000002</v>
      </c>
    </row>
    <row r="69" spans="1:21" ht="15" hidden="1" customHeight="1">
      <c r="A69" s="46"/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5"/>
        <v>39.417970000000004</v>
      </c>
      <c r="I69" s="16">
        <f t="shared" si="6"/>
        <v>39417.97</v>
      </c>
    </row>
    <row r="70" spans="1:21" ht="15" hidden="1" customHeight="1">
      <c r="A70" s="46"/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5"/>
        <v>0.48217100000000007</v>
      </c>
      <c r="I70" s="16">
        <f t="shared" si="6"/>
        <v>482.17100000000005</v>
      </c>
    </row>
    <row r="71" spans="1:21" ht="15" hidden="1" customHeight="1">
      <c r="A71" s="46"/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5"/>
        <v>0.44985300000000006</v>
      </c>
      <c r="I71" s="16">
        <f t="shared" si="6"/>
        <v>449.85300000000007</v>
      </c>
    </row>
    <row r="72" spans="1:21" ht="15" hidden="1" customHeight="1">
      <c r="A72" s="46"/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5"/>
        <v>0.29928000000000005</v>
      </c>
      <c r="I72" s="16">
        <f t="shared" si="6"/>
        <v>299.28000000000003</v>
      </c>
    </row>
    <row r="73" spans="1:21" ht="15" hidden="1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hidden="1" customHeight="1">
      <c r="A74" s="46"/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v>0</v>
      </c>
    </row>
    <row r="75" spans="1:21" ht="15" hidden="1" customHeight="1">
      <c r="A75" s="46"/>
      <c r="B75" s="18" t="s">
        <v>233</v>
      </c>
      <c r="C75" s="20" t="s">
        <v>37</v>
      </c>
      <c r="D75" s="18"/>
      <c r="E75" s="23">
        <v>2</v>
      </c>
      <c r="F75" s="16">
        <v>2</v>
      </c>
      <c r="G75" s="16">
        <v>99.85</v>
      </c>
      <c r="H75" s="264">
        <v>0.1</v>
      </c>
      <c r="I75" s="16">
        <v>0</v>
      </c>
    </row>
    <row r="76" spans="1:21" ht="15" hidden="1" customHeight="1">
      <c r="A76" s="46"/>
      <c r="B76" s="18" t="s">
        <v>234</v>
      </c>
      <c r="C76" s="20" t="s">
        <v>37</v>
      </c>
      <c r="D76" s="18"/>
      <c r="E76" s="23">
        <v>1</v>
      </c>
      <c r="F76" s="241">
        <v>1</v>
      </c>
      <c r="G76" s="16">
        <v>120.26</v>
      </c>
      <c r="H76" s="264">
        <v>0.12</v>
      </c>
      <c r="I76" s="16">
        <v>0</v>
      </c>
    </row>
    <row r="77" spans="1:21" ht="15" hidden="1" customHeight="1">
      <c r="A77" s="46"/>
      <c r="B77" s="18" t="s">
        <v>134</v>
      </c>
      <c r="C77" s="20" t="s">
        <v>37</v>
      </c>
      <c r="D77" s="18"/>
      <c r="E77" s="23">
        <v>1</v>
      </c>
      <c r="F77" s="250">
        <f>SUM(E77)</f>
        <v>1</v>
      </c>
      <c r="G77" s="16">
        <v>358.51</v>
      </c>
      <c r="H77" s="264">
        <f t="shared" si="5"/>
        <v>0.35851</v>
      </c>
      <c r="I77" s="16">
        <v>0</v>
      </c>
    </row>
    <row r="78" spans="1:21" ht="15" hidden="1" customHeight="1">
      <c r="A78" s="46"/>
      <c r="B78" s="18" t="s">
        <v>97</v>
      </c>
      <c r="C78" s="20" t="s">
        <v>37</v>
      </c>
      <c r="D78" s="18"/>
      <c r="E78" s="23">
        <v>1</v>
      </c>
      <c r="F78" s="16">
        <v>1</v>
      </c>
      <c r="G78" s="16">
        <v>852.99</v>
      </c>
      <c r="H78" s="264">
        <f>F78*G78/1000</f>
        <v>0.85299000000000003</v>
      </c>
      <c r="I78" s="16">
        <v>0</v>
      </c>
    </row>
    <row r="79" spans="1:21" ht="15" hidden="1" customHeight="1">
      <c r="A79" s="46"/>
      <c r="B79" s="266" t="s">
        <v>99</v>
      </c>
      <c r="C79" s="20"/>
      <c r="D79" s="18"/>
      <c r="E79" s="23"/>
      <c r="F79" s="16"/>
      <c r="G79" s="16" t="s">
        <v>224</v>
      </c>
      <c r="H79" s="264" t="s">
        <v>224</v>
      </c>
      <c r="I79" s="16"/>
    </row>
    <row r="80" spans="1:21" ht="15" hidden="1" customHeight="1">
      <c r="A80" s="46"/>
      <c r="B80" s="82" t="s">
        <v>225</v>
      </c>
      <c r="C80" s="20" t="s">
        <v>100</v>
      </c>
      <c r="D80" s="18"/>
      <c r="E80" s="23"/>
      <c r="F80" s="16">
        <v>0.2</v>
      </c>
      <c r="G80" s="16">
        <v>2759.44</v>
      </c>
      <c r="H80" s="264">
        <f t="shared" si="5"/>
        <v>0.55188800000000005</v>
      </c>
      <c r="I80" s="16">
        <v>0</v>
      </c>
    </row>
    <row r="81" spans="1:9" ht="15" hidden="1" customHeight="1">
      <c r="A81" s="46"/>
      <c r="B81" s="254" t="s">
        <v>222</v>
      </c>
      <c r="C81" s="266"/>
      <c r="D81" s="52"/>
      <c r="E81" s="54"/>
      <c r="F81" s="255"/>
      <c r="G81" s="255"/>
      <c r="H81" s="267" t="e">
        <f>SUM(H60:H80)</f>
        <v>#VALUE!</v>
      </c>
      <c r="I81" s="255"/>
    </row>
    <row r="82" spans="1:9" ht="15" hidden="1" customHeight="1">
      <c r="A82" s="46"/>
      <c r="B82" s="247" t="s">
        <v>223</v>
      </c>
      <c r="C82" s="20"/>
      <c r="D82" s="18"/>
      <c r="E82" s="242"/>
      <c r="F82" s="16">
        <v>1</v>
      </c>
      <c r="G82" s="16">
        <v>13437.4</v>
      </c>
      <c r="H82" s="264">
        <f>G82*F82/1000</f>
        <v>13.4374</v>
      </c>
      <c r="I82" s="16">
        <v>0</v>
      </c>
    </row>
    <row r="83" spans="1:9" ht="15.75" customHeight="1">
      <c r="A83" s="238" t="s">
        <v>297</v>
      </c>
      <c r="B83" s="239"/>
      <c r="C83" s="239"/>
      <c r="D83" s="239"/>
      <c r="E83" s="239"/>
      <c r="F83" s="239"/>
      <c r="G83" s="239"/>
      <c r="H83" s="239"/>
      <c r="I83" s="240"/>
    </row>
    <row r="84" spans="1:9" ht="15" customHeight="1">
      <c r="A84" s="46">
        <v>11</v>
      </c>
      <c r="B84" s="247" t="s">
        <v>226</v>
      </c>
      <c r="C84" s="20" t="s">
        <v>72</v>
      </c>
      <c r="D84" s="268" t="s">
        <v>73</v>
      </c>
      <c r="E84" s="16">
        <v>3031.3</v>
      </c>
      <c r="F84" s="16">
        <f>SUM(E84*12)</f>
        <v>36375.600000000006</v>
      </c>
      <c r="G84" s="16">
        <v>2.1</v>
      </c>
      <c r="H84" s="264">
        <f>SUM(F84*G84/1000)</f>
        <v>76.388760000000005</v>
      </c>
      <c r="I84" s="16">
        <f>F84/12*G84</f>
        <v>6365.7300000000014</v>
      </c>
    </row>
    <row r="85" spans="1:9" ht="31.5" customHeight="1">
      <c r="A85" s="46">
        <v>12</v>
      </c>
      <c r="B85" s="18" t="s">
        <v>101</v>
      </c>
      <c r="C85" s="20"/>
      <c r="D85" s="268" t="s">
        <v>73</v>
      </c>
      <c r="E85" s="249">
        <f>E84</f>
        <v>3031.3</v>
      </c>
      <c r="F85" s="16">
        <f>E85*12</f>
        <v>36375.600000000006</v>
      </c>
      <c r="G85" s="16">
        <v>1.63</v>
      </c>
      <c r="H85" s="264">
        <f>F85*G85/1000</f>
        <v>59.292228000000001</v>
      </c>
      <c r="I85" s="16">
        <f>F85/12*G85</f>
        <v>4941.0190000000011</v>
      </c>
    </row>
    <row r="86" spans="1:9" ht="15.75" customHeight="1">
      <c r="A86" s="124"/>
      <c r="B86" s="69" t="s">
        <v>107</v>
      </c>
      <c r="C86" s="71"/>
      <c r="D86" s="19"/>
      <c r="E86" s="19"/>
      <c r="F86" s="19"/>
      <c r="G86" s="23"/>
      <c r="H86" s="23"/>
      <c r="I86" s="54">
        <f>I16+I17+I18+I27+I28+I31+I32+I34+I35+I63+I84+I85</f>
        <v>39853.183954955559</v>
      </c>
    </row>
    <row r="87" spans="1:9" ht="15.75" customHeight="1">
      <c r="A87" s="124"/>
      <c r="B87" s="188" t="s">
        <v>79</v>
      </c>
      <c r="C87" s="188"/>
      <c r="D87" s="188"/>
      <c r="E87" s="188"/>
      <c r="F87" s="188"/>
      <c r="G87" s="188"/>
      <c r="H87" s="188"/>
      <c r="I87" s="188"/>
    </row>
    <row r="88" spans="1:9" ht="31.5" customHeight="1">
      <c r="A88" s="46">
        <v>13</v>
      </c>
      <c r="B88" s="189" t="s">
        <v>106</v>
      </c>
      <c r="C88" s="193" t="s">
        <v>216</v>
      </c>
      <c r="D88" s="82"/>
      <c r="E88" s="16"/>
      <c r="F88" s="16">
        <v>8</v>
      </c>
      <c r="G88" s="16">
        <v>79.09</v>
      </c>
      <c r="H88" s="264">
        <f t="shared" ref="H88:H95" si="7">G88*F88/1000</f>
        <v>0.63272000000000006</v>
      </c>
      <c r="I88" s="16">
        <f>G88</f>
        <v>79.09</v>
      </c>
    </row>
    <row r="89" spans="1:9" ht="15" customHeight="1">
      <c r="A89" s="46">
        <v>14</v>
      </c>
      <c r="B89" s="82" t="s">
        <v>132</v>
      </c>
      <c r="C89" s="20" t="s">
        <v>171</v>
      </c>
      <c r="D89" s="82"/>
      <c r="E89" s="16"/>
      <c r="F89" s="16">
        <v>7.5</v>
      </c>
      <c r="G89" s="16">
        <v>1501</v>
      </c>
      <c r="H89" s="264">
        <f t="shared" si="7"/>
        <v>11.2575</v>
      </c>
      <c r="I89" s="16">
        <f>G89*3</f>
        <v>4503</v>
      </c>
    </row>
    <row r="90" spans="1:9" ht="15" customHeight="1">
      <c r="A90" s="46">
        <v>15</v>
      </c>
      <c r="B90" s="189" t="s">
        <v>267</v>
      </c>
      <c r="C90" s="193" t="s">
        <v>118</v>
      </c>
      <c r="D90" s="82"/>
      <c r="E90" s="16"/>
      <c r="F90" s="16">
        <v>4</v>
      </c>
      <c r="G90" s="16">
        <v>185.81</v>
      </c>
      <c r="H90" s="264">
        <f t="shared" si="7"/>
        <v>0.74324000000000001</v>
      </c>
      <c r="I90" s="16">
        <f>G90</f>
        <v>185.81</v>
      </c>
    </row>
    <row r="91" spans="1:9" ht="15" customHeight="1">
      <c r="A91" s="46">
        <v>16</v>
      </c>
      <c r="B91" s="189" t="s">
        <v>112</v>
      </c>
      <c r="C91" s="193" t="s">
        <v>216</v>
      </c>
      <c r="D91" s="82"/>
      <c r="E91" s="16"/>
      <c r="F91" s="16">
        <v>3</v>
      </c>
      <c r="G91" s="16">
        <v>180.15</v>
      </c>
      <c r="H91" s="264">
        <f t="shared" si="7"/>
        <v>0.5404500000000001</v>
      </c>
      <c r="I91" s="16">
        <f>G91</f>
        <v>180.15</v>
      </c>
    </row>
    <row r="92" spans="1:9" ht="31.5" customHeight="1">
      <c r="A92" s="46">
        <v>17</v>
      </c>
      <c r="B92" s="189" t="s">
        <v>268</v>
      </c>
      <c r="C92" s="193" t="s">
        <v>161</v>
      </c>
      <c r="D92" s="82"/>
      <c r="E92" s="16"/>
      <c r="F92" s="16">
        <f>3.11/10</f>
        <v>0.311</v>
      </c>
      <c r="G92" s="16">
        <v>5641.28</v>
      </c>
      <c r="H92" s="264">
        <f t="shared" si="7"/>
        <v>1.7544380799999999</v>
      </c>
      <c r="I92" s="16">
        <f>G92*0.311</f>
        <v>1754.4380799999999</v>
      </c>
    </row>
    <row r="93" spans="1:9" ht="15" customHeight="1">
      <c r="A93" s="46">
        <v>18</v>
      </c>
      <c r="B93" s="189" t="s">
        <v>269</v>
      </c>
      <c r="C93" s="193" t="s">
        <v>270</v>
      </c>
      <c r="D93" s="82"/>
      <c r="E93" s="16"/>
      <c r="F93" s="16">
        <v>1</v>
      </c>
      <c r="G93" s="16">
        <v>755</v>
      </c>
      <c r="H93" s="264">
        <f t="shared" si="7"/>
        <v>0.755</v>
      </c>
      <c r="I93" s="16">
        <f>G93</f>
        <v>755</v>
      </c>
    </row>
    <row r="94" spans="1:9" ht="47.25" customHeight="1">
      <c r="A94" s="46">
        <v>19</v>
      </c>
      <c r="B94" s="191" t="s">
        <v>271</v>
      </c>
      <c r="C94" s="46" t="s">
        <v>161</v>
      </c>
      <c r="D94" s="82"/>
      <c r="E94" s="16"/>
      <c r="F94" s="16">
        <f>2/10</f>
        <v>0.2</v>
      </c>
      <c r="G94" s="16">
        <v>18308.990000000002</v>
      </c>
      <c r="H94" s="264">
        <f t="shared" si="7"/>
        <v>3.6617980000000006</v>
      </c>
      <c r="I94" s="16">
        <f>G94*0.2</f>
        <v>3661.7980000000007</v>
      </c>
    </row>
    <row r="95" spans="1:9" ht="47.25" customHeight="1">
      <c r="A95" s="46">
        <v>20</v>
      </c>
      <c r="B95" s="189" t="s">
        <v>272</v>
      </c>
      <c r="C95" s="193" t="s">
        <v>161</v>
      </c>
      <c r="D95" s="82"/>
      <c r="E95" s="16"/>
      <c r="F95" s="16">
        <f>6/10</f>
        <v>0.6</v>
      </c>
      <c r="G95" s="16">
        <v>9068.24</v>
      </c>
      <c r="H95" s="264">
        <f t="shared" si="7"/>
        <v>5.4409439999999991</v>
      </c>
      <c r="I95" s="16">
        <f>G95*0.6</f>
        <v>5440.9439999999995</v>
      </c>
    </row>
    <row r="96" spans="1:9" ht="15.75" customHeight="1">
      <c r="A96" s="46"/>
      <c r="B96" s="76" t="s">
        <v>66</v>
      </c>
      <c r="C96" s="72"/>
      <c r="D96" s="126"/>
      <c r="E96" s="72">
        <v>1</v>
      </c>
      <c r="F96" s="72"/>
      <c r="G96" s="72"/>
      <c r="H96" s="72"/>
      <c r="I96" s="54">
        <f>SUM(I88:I95)</f>
        <v>16560.230080000001</v>
      </c>
    </row>
    <row r="97" spans="1:9" ht="15.75" customHeight="1">
      <c r="A97" s="46"/>
      <c r="B97" s="82" t="s">
        <v>102</v>
      </c>
      <c r="C97" s="19"/>
      <c r="D97" s="19"/>
      <c r="E97" s="73"/>
      <c r="F97" s="73"/>
      <c r="G97" s="74"/>
      <c r="H97" s="74"/>
      <c r="I97" s="22">
        <v>0</v>
      </c>
    </row>
    <row r="98" spans="1:9" ht="15.75" customHeight="1">
      <c r="A98" s="127"/>
      <c r="B98" s="77" t="s">
        <v>67</v>
      </c>
      <c r="C98" s="60"/>
      <c r="D98" s="60"/>
      <c r="E98" s="60"/>
      <c r="F98" s="60"/>
      <c r="G98" s="60"/>
      <c r="H98" s="60"/>
      <c r="I98" s="75">
        <f>I86+I96</f>
        <v>56413.41403495556</v>
      </c>
    </row>
    <row r="99" spans="1:9" ht="15.75">
      <c r="A99" s="227" t="s">
        <v>298</v>
      </c>
      <c r="B99" s="227"/>
      <c r="C99" s="227"/>
      <c r="D99" s="227"/>
      <c r="E99" s="227"/>
      <c r="F99" s="227"/>
      <c r="G99" s="227"/>
      <c r="H99" s="227"/>
      <c r="I99" s="227"/>
    </row>
    <row r="100" spans="1:9" ht="15.75">
      <c r="A100" s="204"/>
      <c r="B100" s="228" t="s">
        <v>299</v>
      </c>
      <c r="C100" s="228"/>
      <c r="D100" s="228"/>
      <c r="E100" s="228"/>
      <c r="F100" s="228"/>
      <c r="G100" s="228"/>
      <c r="H100" s="245"/>
      <c r="I100" s="3"/>
    </row>
    <row r="101" spans="1:9">
      <c r="A101" s="200"/>
      <c r="B101" s="216" t="s">
        <v>7</v>
      </c>
      <c r="C101" s="216"/>
      <c r="D101" s="216"/>
      <c r="E101" s="216"/>
      <c r="F101" s="216"/>
      <c r="G101" s="216"/>
      <c r="H101" s="36"/>
      <c r="I101" s="5"/>
    </row>
    <row r="102" spans="1:9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5.75">
      <c r="A103" s="229" t="s">
        <v>8</v>
      </c>
      <c r="B103" s="229"/>
      <c r="C103" s="229"/>
      <c r="D103" s="229"/>
      <c r="E103" s="229"/>
      <c r="F103" s="229"/>
      <c r="G103" s="229"/>
      <c r="H103" s="229"/>
      <c r="I103" s="229"/>
    </row>
    <row r="104" spans="1:9" ht="15.75">
      <c r="A104" s="229" t="s">
        <v>9</v>
      </c>
      <c r="B104" s="229"/>
      <c r="C104" s="229"/>
      <c r="D104" s="229"/>
      <c r="E104" s="229"/>
      <c r="F104" s="229"/>
      <c r="G104" s="229"/>
      <c r="H104" s="229"/>
      <c r="I104" s="229"/>
    </row>
    <row r="105" spans="1:9" ht="15.75">
      <c r="A105" s="225" t="s">
        <v>81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15.75">
      <c r="A106" s="12"/>
    </row>
    <row r="107" spans="1:9" ht="15.75">
      <c r="A107" s="226" t="s">
        <v>11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4"/>
    </row>
    <row r="109" spans="1:9" ht="15.75">
      <c r="B109" s="203" t="s">
        <v>12</v>
      </c>
      <c r="C109" s="218" t="s">
        <v>140</v>
      </c>
      <c r="D109" s="218"/>
      <c r="E109" s="218"/>
      <c r="F109" s="243"/>
      <c r="I109" s="199"/>
    </row>
    <row r="110" spans="1:9">
      <c r="A110" s="200"/>
      <c r="C110" s="216" t="s">
        <v>13</v>
      </c>
      <c r="D110" s="216"/>
      <c r="E110" s="216"/>
      <c r="F110" s="36"/>
      <c r="I110" s="198" t="s">
        <v>14</v>
      </c>
    </row>
    <row r="111" spans="1:9" ht="15.75">
      <c r="A111" s="37"/>
      <c r="C111" s="13"/>
      <c r="D111" s="13"/>
      <c r="G111" s="13"/>
      <c r="H111" s="13"/>
    </row>
    <row r="112" spans="1:9" ht="15.75">
      <c r="B112" s="203" t="s">
        <v>15</v>
      </c>
      <c r="C112" s="217"/>
      <c r="D112" s="217"/>
      <c r="E112" s="217"/>
      <c r="F112" s="244"/>
      <c r="I112" s="199"/>
    </row>
    <row r="113" spans="1:9">
      <c r="A113" s="200"/>
      <c r="C113" s="211" t="s">
        <v>13</v>
      </c>
      <c r="D113" s="211"/>
      <c r="E113" s="211"/>
      <c r="F113" s="200"/>
      <c r="I113" s="198" t="s">
        <v>14</v>
      </c>
    </row>
    <row r="114" spans="1:9" ht="15.75">
      <c r="A114" s="4" t="s">
        <v>16</v>
      </c>
    </row>
    <row r="115" spans="1:9">
      <c r="A115" s="224" t="s">
        <v>17</v>
      </c>
      <c r="B115" s="224"/>
      <c r="C115" s="224"/>
      <c r="D115" s="224"/>
      <c r="E115" s="224"/>
      <c r="F115" s="224"/>
      <c r="G115" s="224"/>
      <c r="H115" s="224"/>
      <c r="I115" s="224"/>
    </row>
    <row r="116" spans="1:9" ht="45" customHeight="1">
      <c r="A116" s="223" t="s">
        <v>18</v>
      </c>
      <c r="B116" s="223"/>
      <c r="C116" s="223"/>
      <c r="D116" s="223"/>
      <c r="E116" s="223"/>
      <c r="F116" s="223"/>
      <c r="G116" s="223"/>
      <c r="H116" s="223"/>
      <c r="I116" s="223"/>
    </row>
    <row r="117" spans="1:9" ht="30" customHeight="1">
      <c r="A117" s="223" t="s">
        <v>19</v>
      </c>
      <c r="B117" s="223"/>
      <c r="C117" s="223"/>
      <c r="D117" s="223"/>
      <c r="E117" s="223"/>
      <c r="F117" s="223"/>
      <c r="G117" s="223"/>
      <c r="H117" s="223"/>
      <c r="I117" s="223"/>
    </row>
    <row r="118" spans="1:9" ht="30" customHeight="1">
      <c r="A118" s="223" t="s">
        <v>24</v>
      </c>
      <c r="B118" s="223"/>
      <c r="C118" s="223"/>
      <c r="D118" s="223"/>
      <c r="E118" s="223"/>
      <c r="F118" s="223"/>
      <c r="G118" s="223"/>
      <c r="H118" s="223"/>
      <c r="I118" s="223"/>
    </row>
    <row r="119" spans="1:9" ht="15.75">
      <c r="A119" s="223" t="s">
        <v>23</v>
      </c>
      <c r="B119" s="223"/>
      <c r="C119" s="223"/>
      <c r="D119" s="223"/>
      <c r="E119" s="223"/>
      <c r="F119" s="223"/>
      <c r="G119" s="223"/>
      <c r="H119" s="223"/>
      <c r="I119" s="223"/>
    </row>
  </sheetData>
  <autoFilter ref="I12:I62"/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99:I99"/>
    <mergeCell ref="B100:G100"/>
    <mergeCell ref="B101:G101"/>
    <mergeCell ref="A103:I103"/>
    <mergeCell ref="A104:I104"/>
    <mergeCell ref="A105:I105"/>
    <mergeCell ref="A15:I15"/>
    <mergeCell ref="A29:I29"/>
    <mergeCell ref="A47:I47"/>
    <mergeCell ref="A58:I5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3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300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114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42582</v>
      </c>
      <c r="J6" s="2"/>
      <c r="K6" s="2"/>
      <c r="L6" s="2"/>
      <c r="M6" s="2"/>
    </row>
    <row r="7" spans="1:13" ht="15.7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hidden="1" customHeight="1">
      <c r="A19" s="46"/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v>0</v>
      </c>
      <c r="J19" s="31"/>
      <c r="K19" s="8"/>
      <c r="L19" s="8"/>
      <c r="M19" s="8"/>
    </row>
    <row r="20" spans="1:13" ht="15" hidden="1" customHeight="1">
      <c r="A20" s="46"/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v>0</v>
      </c>
      <c r="J20" s="31"/>
      <c r="K20" s="8"/>
      <c r="L20" s="8"/>
      <c r="M20" s="8"/>
    </row>
    <row r="21" spans="1:13" ht="15" hidden="1" customHeight="1">
      <c r="A21" s="46"/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v>0</v>
      </c>
      <c r="J21" s="31"/>
      <c r="K21" s="8"/>
      <c r="L21" s="8"/>
      <c r="M21" s="8"/>
    </row>
    <row r="22" spans="1:13" ht="15" hidden="1" customHeight="1">
      <c r="A22" s="46"/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v>0</v>
      </c>
      <c r="J22" s="31"/>
      <c r="K22" s="8"/>
      <c r="L22" s="8"/>
      <c r="M22" s="8"/>
    </row>
    <row r="23" spans="1:13" ht="15" hidden="1" customHeight="1">
      <c r="A23" s="46"/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v>0</v>
      </c>
      <c r="J23" s="31"/>
      <c r="K23" s="8"/>
      <c r="L23" s="8"/>
      <c r="M23" s="8"/>
    </row>
    <row r="24" spans="1:13" ht="15" hidden="1" customHeight="1">
      <c r="A24" s="46"/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v>0</v>
      </c>
      <c r="J24" s="31"/>
      <c r="K24" s="8"/>
      <c r="L24" s="8"/>
      <c r="M24" s="8"/>
    </row>
    <row r="25" spans="1:13" ht="15" hidden="1" customHeight="1">
      <c r="A25" s="46"/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v>0</v>
      </c>
      <c r="J25" s="31"/>
      <c r="K25" s="8"/>
      <c r="L25" s="8"/>
      <c r="M25" s="8"/>
    </row>
    <row r="26" spans="1:13" ht="15" hidden="1" customHeight="1">
      <c r="A26" s="46"/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v>0</v>
      </c>
      <c r="J26" s="31"/>
      <c r="K26" s="8"/>
      <c r="L26" s="8"/>
      <c r="M26" s="8"/>
    </row>
    <row r="27" spans="1:13" ht="15" customHeight="1">
      <c r="A27" s="46">
        <v>4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5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customHeight="1">
      <c r="A31" s="46">
        <v>6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1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customHeight="1">
      <c r="A32" s="46">
        <v>7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1"/>
        <v>1.3717735199999999</v>
      </c>
      <c r="I32" s="16">
        <f t="shared" ref="I32:I35" si="2">F32/6*G32</f>
        <v>228.62891999999999</v>
      </c>
      <c r="J32" s="31"/>
      <c r="K32" s="8"/>
      <c r="L32" s="8"/>
      <c r="M32" s="8"/>
    </row>
    <row r="33" spans="1:14" ht="15" hidden="1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1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customHeight="1">
      <c r="A34" s="46">
        <v>8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2"/>
        <v>1345.4206666666669</v>
      </c>
      <c r="J34" s="31"/>
      <c r="K34" s="8"/>
      <c r="L34" s="8"/>
      <c r="M34" s="8"/>
    </row>
    <row r="35" spans="1:14" ht="15" customHeight="1">
      <c r="A35" s="46">
        <v>9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2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1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1"/>
        <v>2.27264</v>
      </c>
      <c r="I37" s="16">
        <v>0</v>
      </c>
      <c r="J37" s="32"/>
    </row>
    <row r="38" spans="1:14" ht="15" hidden="1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hidden="1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3">SUM(F39*G39/1000)</f>
        <v>9.1633200000000006</v>
      </c>
      <c r="I39" s="16">
        <f>F39/6*G39</f>
        <v>1527.22</v>
      </c>
      <c r="J39" s="32"/>
    </row>
    <row r="40" spans="1:14" ht="15" hidden="1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3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hidden="1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hidden="1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3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hidden="1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3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hidden="1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3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hidden="1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3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hidden="1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hidden="1" customHeight="1">
      <c r="A48" s="46"/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4">SUM(F48*G48/1000)</f>
        <v>1.7187541239999997</v>
      </c>
      <c r="I48" s="16">
        <v>0</v>
      </c>
      <c r="J48" s="32"/>
      <c r="L48" s="25"/>
      <c r="M48" s="26"/>
      <c r="N48" s="27"/>
    </row>
    <row r="49" spans="1:22" ht="15" hidden="1" customHeight="1">
      <c r="A49" s="46"/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4"/>
        <v>6.0265920000000001E-2</v>
      </c>
      <c r="I49" s="16">
        <v>0</v>
      </c>
      <c r="J49" s="32"/>
      <c r="L49" s="25"/>
      <c r="M49" s="26"/>
      <c r="N49" s="27"/>
    </row>
    <row r="50" spans="1:22" ht="15" hidden="1" customHeight="1">
      <c r="A50" s="46"/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4"/>
        <v>1.4357196480000001</v>
      </c>
      <c r="I50" s="16">
        <v>0</v>
      </c>
      <c r="J50" s="32"/>
      <c r="L50" s="25"/>
      <c r="M50" s="26"/>
      <c r="N50" s="27"/>
    </row>
    <row r="51" spans="1:22" ht="15" hidden="1" customHeight="1">
      <c r="A51" s="46"/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4"/>
        <v>2.1771028954</v>
      </c>
      <c r="I51" s="16">
        <v>0</v>
      </c>
      <c r="J51" s="32"/>
      <c r="L51" s="25"/>
      <c r="M51" s="26"/>
      <c r="N51" s="27"/>
    </row>
    <row r="52" spans="1:22" ht="15" hidden="1" customHeight="1">
      <c r="A52" s="46"/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4"/>
        <v>0.124912836</v>
      </c>
      <c r="I52" s="16">
        <v>0</v>
      </c>
      <c r="J52" s="32"/>
      <c r="L52" s="25"/>
      <c r="M52" s="26"/>
      <c r="N52" s="27"/>
    </row>
    <row r="53" spans="1:22" ht="15" hidden="1" customHeight="1">
      <c r="A53" s="46">
        <v>13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4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hidden="1" customHeight="1">
      <c r="A54" s="46"/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4"/>
        <v>2.1455563999999998</v>
      </c>
      <c r="I54" s="16">
        <v>0</v>
      </c>
      <c r="J54" s="32"/>
      <c r="L54" s="25"/>
      <c r="M54" s="26"/>
      <c r="N54" s="27"/>
    </row>
    <row r="55" spans="1:22" ht="31.5" hidden="1" customHeight="1">
      <c r="A55" s="46"/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4"/>
        <v>1.0921959999999999</v>
      </c>
      <c r="I55" s="16">
        <v>0</v>
      </c>
      <c r="J55" s="32"/>
      <c r="L55" s="25"/>
      <c r="M55" s="26"/>
      <c r="N55" s="27"/>
    </row>
    <row r="56" spans="1:22" ht="15" hidden="1" customHeight="1">
      <c r="A56" s="46"/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4"/>
        <v>0.11304260000000001</v>
      </c>
      <c r="I56" s="16">
        <v>0</v>
      </c>
      <c r="J56" s="32"/>
      <c r="L56" s="25"/>
      <c r="M56" s="26"/>
      <c r="N56" s="27"/>
    </row>
    <row r="57" spans="1:22" ht="15" hidden="1" customHeight="1">
      <c r="A57" s="46">
        <v>14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4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287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hidden="1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hidden="1" customHeight="1">
      <c r="A60" s="46">
        <v>15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10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hidden="1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hidden="1" customHeight="1">
      <c r="A65" s="46"/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80" si="5">SUM(F65*G65/1000)</f>
        <v>4.4480000000000004</v>
      </c>
      <c r="I65" s="16">
        <v>0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46">
        <v>17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5"/>
        <v>#VALUE!</v>
      </c>
      <c r="I66" s="16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46"/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5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hidden="1" customHeight="1">
      <c r="A68" s="46"/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5"/>
        <v>2.08941087</v>
      </c>
      <c r="I68" s="16">
        <f t="shared" ref="I68:I72" si="6">F68*G68</f>
        <v>2089.4108700000002</v>
      </c>
    </row>
    <row r="69" spans="1:21" ht="15" hidden="1" customHeight="1">
      <c r="A69" s="46"/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5"/>
        <v>39.417970000000004</v>
      </c>
      <c r="I69" s="16">
        <f t="shared" si="6"/>
        <v>39417.97</v>
      </c>
    </row>
    <row r="70" spans="1:21" ht="15" hidden="1" customHeight="1">
      <c r="A70" s="46"/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5"/>
        <v>0.48217100000000007</v>
      </c>
      <c r="I70" s="16">
        <f t="shared" si="6"/>
        <v>482.17100000000005</v>
      </c>
    </row>
    <row r="71" spans="1:21" ht="15" hidden="1" customHeight="1">
      <c r="A71" s="46"/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5"/>
        <v>0.44985300000000006</v>
      </c>
      <c r="I71" s="16">
        <f t="shared" si="6"/>
        <v>449.85300000000007</v>
      </c>
    </row>
    <row r="72" spans="1:21" ht="15" hidden="1" customHeight="1">
      <c r="A72" s="46"/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5"/>
        <v>0.29928000000000005</v>
      </c>
      <c r="I72" s="16">
        <f t="shared" si="6"/>
        <v>299.28000000000003</v>
      </c>
    </row>
    <row r="73" spans="1:21" ht="15" hidden="1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hidden="1" customHeight="1">
      <c r="A74" s="46"/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v>0</v>
      </c>
    </row>
    <row r="75" spans="1:21" ht="15" hidden="1" customHeight="1">
      <c r="A75" s="46"/>
      <c r="B75" s="18" t="s">
        <v>233</v>
      </c>
      <c r="C75" s="20" t="s">
        <v>37</v>
      </c>
      <c r="D75" s="18"/>
      <c r="E75" s="23">
        <v>2</v>
      </c>
      <c r="F75" s="16">
        <v>2</v>
      </c>
      <c r="G75" s="16">
        <v>99.85</v>
      </c>
      <c r="H75" s="264">
        <v>0.1</v>
      </c>
      <c r="I75" s="16">
        <v>0</v>
      </c>
    </row>
    <row r="76" spans="1:21" ht="15" hidden="1" customHeight="1">
      <c r="A76" s="46"/>
      <c r="B76" s="18" t="s">
        <v>234</v>
      </c>
      <c r="C76" s="20" t="s">
        <v>37</v>
      </c>
      <c r="D76" s="18"/>
      <c r="E76" s="23">
        <v>1</v>
      </c>
      <c r="F76" s="241">
        <v>1</v>
      </c>
      <c r="G76" s="16">
        <v>120.26</v>
      </c>
      <c r="H76" s="264">
        <v>0.12</v>
      </c>
      <c r="I76" s="16">
        <v>0</v>
      </c>
    </row>
    <row r="77" spans="1:21" ht="15" hidden="1" customHeight="1">
      <c r="A77" s="46"/>
      <c r="B77" s="18" t="s">
        <v>134</v>
      </c>
      <c r="C77" s="20" t="s">
        <v>37</v>
      </c>
      <c r="D77" s="18"/>
      <c r="E77" s="23">
        <v>1</v>
      </c>
      <c r="F77" s="250">
        <f>SUM(E77)</f>
        <v>1</v>
      </c>
      <c r="G77" s="16">
        <v>358.51</v>
      </c>
      <c r="H77" s="264">
        <f t="shared" si="5"/>
        <v>0.35851</v>
      </c>
      <c r="I77" s="16">
        <v>0</v>
      </c>
    </row>
    <row r="78" spans="1:21" ht="15" hidden="1" customHeight="1">
      <c r="A78" s="46"/>
      <c r="B78" s="18" t="s">
        <v>97</v>
      </c>
      <c r="C78" s="20" t="s">
        <v>37</v>
      </c>
      <c r="D78" s="18"/>
      <c r="E78" s="23">
        <v>1</v>
      </c>
      <c r="F78" s="16">
        <v>1</v>
      </c>
      <c r="G78" s="16">
        <v>852.99</v>
      </c>
      <c r="H78" s="264">
        <f>F78*G78/1000</f>
        <v>0.85299000000000003</v>
      </c>
      <c r="I78" s="16">
        <v>0</v>
      </c>
    </row>
    <row r="79" spans="1:21" ht="15" hidden="1" customHeight="1">
      <c r="A79" s="46"/>
      <c r="B79" s="266" t="s">
        <v>99</v>
      </c>
      <c r="C79" s="20"/>
      <c r="D79" s="18"/>
      <c r="E79" s="23"/>
      <c r="F79" s="16"/>
      <c r="G79" s="16" t="s">
        <v>224</v>
      </c>
      <c r="H79" s="264" t="s">
        <v>224</v>
      </c>
      <c r="I79" s="16"/>
    </row>
    <row r="80" spans="1:21" ht="15" hidden="1" customHeight="1">
      <c r="A80" s="46"/>
      <c r="B80" s="82" t="s">
        <v>225</v>
      </c>
      <c r="C80" s="20" t="s">
        <v>100</v>
      </c>
      <c r="D80" s="18"/>
      <c r="E80" s="23"/>
      <c r="F80" s="16">
        <v>0.2</v>
      </c>
      <c r="G80" s="16">
        <v>2759.44</v>
      </c>
      <c r="H80" s="264">
        <f t="shared" si="5"/>
        <v>0.55188800000000005</v>
      </c>
      <c r="I80" s="16">
        <v>0</v>
      </c>
    </row>
    <row r="81" spans="1:9" ht="15" hidden="1" customHeight="1">
      <c r="A81" s="46"/>
      <c r="B81" s="254" t="s">
        <v>222</v>
      </c>
      <c r="C81" s="266"/>
      <c r="D81" s="52"/>
      <c r="E81" s="54"/>
      <c r="F81" s="255"/>
      <c r="G81" s="255"/>
      <c r="H81" s="267" t="e">
        <f>SUM(H60:H80)</f>
        <v>#VALUE!</v>
      </c>
      <c r="I81" s="255"/>
    </row>
    <row r="82" spans="1:9" ht="15" hidden="1" customHeight="1">
      <c r="A82" s="46"/>
      <c r="B82" s="247" t="s">
        <v>223</v>
      </c>
      <c r="C82" s="20"/>
      <c r="D82" s="18"/>
      <c r="E82" s="242"/>
      <c r="F82" s="16">
        <v>1</v>
      </c>
      <c r="G82" s="16">
        <v>13437.4</v>
      </c>
      <c r="H82" s="264">
        <f>G82*F82/1000</f>
        <v>13.4374</v>
      </c>
      <c r="I82" s="16">
        <v>0</v>
      </c>
    </row>
    <row r="83" spans="1:9" ht="15.75" customHeight="1">
      <c r="A83" s="238" t="s">
        <v>297</v>
      </c>
      <c r="B83" s="239"/>
      <c r="C83" s="239"/>
      <c r="D83" s="239"/>
      <c r="E83" s="239"/>
      <c r="F83" s="239"/>
      <c r="G83" s="239"/>
      <c r="H83" s="239"/>
      <c r="I83" s="240"/>
    </row>
    <row r="84" spans="1:9" ht="15" customHeight="1">
      <c r="A84" s="46">
        <v>11</v>
      </c>
      <c r="B84" s="247" t="s">
        <v>226</v>
      </c>
      <c r="C84" s="20" t="s">
        <v>72</v>
      </c>
      <c r="D84" s="268" t="s">
        <v>73</v>
      </c>
      <c r="E84" s="16">
        <v>3031.3</v>
      </c>
      <c r="F84" s="16">
        <f>SUM(E84*12)</f>
        <v>36375.600000000006</v>
      </c>
      <c r="G84" s="16">
        <v>2.1</v>
      </c>
      <c r="H84" s="264">
        <f>SUM(F84*G84/1000)</f>
        <v>76.388760000000005</v>
      </c>
      <c r="I84" s="16">
        <f>F84/12*G84</f>
        <v>6365.7300000000014</v>
      </c>
    </row>
    <row r="85" spans="1:9" ht="31.5" customHeight="1">
      <c r="A85" s="46">
        <v>12</v>
      </c>
      <c r="B85" s="18" t="s">
        <v>101</v>
      </c>
      <c r="C85" s="20"/>
      <c r="D85" s="268" t="s">
        <v>73</v>
      </c>
      <c r="E85" s="249">
        <f>E84</f>
        <v>3031.3</v>
      </c>
      <c r="F85" s="16">
        <f>E85*12</f>
        <v>36375.600000000006</v>
      </c>
      <c r="G85" s="16">
        <v>1.63</v>
      </c>
      <c r="H85" s="264">
        <f>F85*G85/1000</f>
        <v>59.292228000000001</v>
      </c>
      <c r="I85" s="16">
        <f>F85/12*G85</f>
        <v>4941.0190000000011</v>
      </c>
    </row>
    <row r="86" spans="1:9" ht="15.75" customHeight="1">
      <c r="A86" s="124"/>
      <c r="B86" s="69" t="s">
        <v>107</v>
      </c>
      <c r="C86" s="71"/>
      <c r="D86" s="19"/>
      <c r="E86" s="19"/>
      <c r="F86" s="19"/>
      <c r="G86" s="23"/>
      <c r="H86" s="23"/>
      <c r="I86" s="54">
        <f>I16+I17+I18+I27+I28+I31+I32+I34+I35+I63+I84+I85</f>
        <v>39853.183954955559</v>
      </c>
    </row>
    <row r="87" spans="1:9" ht="15.75" customHeight="1">
      <c r="A87" s="124"/>
      <c r="B87" s="188" t="s">
        <v>79</v>
      </c>
      <c r="C87" s="188"/>
      <c r="D87" s="188"/>
      <c r="E87" s="188"/>
      <c r="F87" s="188"/>
      <c r="G87" s="188"/>
      <c r="H87" s="188"/>
      <c r="I87" s="188"/>
    </row>
    <row r="88" spans="1:9" ht="31.5" hidden="1" customHeight="1">
      <c r="A88" s="46"/>
      <c r="B88" s="191" t="s">
        <v>235</v>
      </c>
      <c r="C88" s="46" t="s">
        <v>236</v>
      </c>
      <c r="D88" s="82"/>
      <c r="E88" s="16"/>
      <c r="F88" s="16">
        <v>2</v>
      </c>
      <c r="G88" s="16">
        <v>1835.8</v>
      </c>
      <c r="H88" s="264">
        <f>G88*F88/1000</f>
        <v>3.6715999999999998</v>
      </c>
      <c r="I88" s="16">
        <v>0</v>
      </c>
    </row>
    <row r="89" spans="1:9" ht="31.5" hidden="1" customHeight="1">
      <c r="A89" s="46"/>
      <c r="B89" s="189" t="s">
        <v>106</v>
      </c>
      <c r="C89" s="193" t="s">
        <v>216</v>
      </c>
      <c r="D89" s="82"/>
      <c r="E89" s="16"/>
      <c r="F89" s="16">
        <v>8</v>
      </c>
      <c r="G89" s="16">
        <v>79.09</v>
      </c>
      <c r="H89" s="264">
        <f t="shared" ref="H89:H109" si="7">G89*F89/1000</f>
        <v>0.63272000000000006</v>
      </c>
      <c r="I89" s="16">
        <v>0</v>
      </c>
    </row>
    <row r="90" spans="1:9" ht="15" hidden="1" customHeight="1">
      <c r="A90" s="46"/>
      <c r="B90" s="189" t="s">
        <v>260</v>
      </c>
      <c r="C90" s="193" t="s">
        <v>216</v>
      </c>
      <c r="D90" s="82"/>
      <c r="E90" s="16"/>
      <c r="F90" s="16">
        <v>2</v>
      </c>
      <c r="G90" s="16">
        <f>620.95</f>
        <v>620.95000000000005</v>
      </c>
      <c r="H90" s="264">
        <f t="shared" si="7"/>
        <v>1.2419</v>
      </c>
      <c r="I90" s="16">
        <v>0</v>
      </c>
    </row>
    <row r="91" spans="1:9" ht="15" hidden="1" customHeight="1">
      <c r="A91" s="46"/>
      <c r="B91" s="82" t="s">
        <v>132</v>
      </c>
      <c r="C91" s="20" t="s">
        <v>171</v>
      </c>
      <c r="D91" s="82"/>
      <c r="E91" s="16"/>
      <c r="F91" s="16">
        <v>7.5</v>
      </c>
      <c r="G91" s="16">
        <v>1501</v>
      </c>
      <c r="H91" s="264">
        <f t="shared" si="7"/>
        <v>11.2575</v>
      </c>
      <c r="I91" s="16">
        <v>0</v>
      </c>
    </row>
    <row r="92" spans="1:9" ht="15" hidden="1" customHeight="1">
      <c r="A92" s="46"/>
      <c r="B92" s="269" t="s">
        <v>119</v>
      </c>
      <c r="C92" s="193" t="s">
        <v>216</v>
      </c>
      <c r="D92" s="82"/>
      <c r="E92" s="16"/>
      <c r="F92" s="16">
        <v>2</v>
      </c>
      <c r="G92" s="16">
        <v>179.96</v>
      </c>
      <c r="H92" s="16">
        <f t="shared" si="7"/>
        <v>0.35992000000000002</v>
      </c>
      <c r="I92" s="16">
        <v>0</v>
      </c>
    </row>
    <row r="93" spans="1:9" ht="15" hidden="1" customHeight="1">
      <c r="A93" s="46"/>
      <c r="B93" s="269" t="s">
        <v>261</v>
      </c>
      <c r="C93" s="193" t="s">
        <v>262</v>
      </c>
      <c r="D93" s="82"/>
      <c r="E93" s="16"/>
      <c r="F93" s="16">
        <v>1</v>
      </c>
      <c r="G93" s="16">
        <v>3651</v>
      </c>
      <c r="H93" s="264">
        <f t="shared" si="7"/>
        <v>3.6509999999999998</v>
      </c>
      <c r="I93" s="16">
        <v>0</v>
      </c>
    </row>
    <row r="94" spans="1:9" ht="31.5" hidden="1" customHeight="1">
      <c r="A94" s="46"/>
      <c r="B94" s="189" t="s">
        <v>263</v>
      </c>
      <c r="C94" s="193" t="s">
        <v>177</v>
      </c>
      <c r="D94" s="82"/>
      <c r="E94" s="16"/>
      <c r="F94" s="16">
        <v>1</v>
      </c>
      <c r="G94" s="16">
        <v>51.39</v>
      </c>
      <c r="H94" s="264">
        <f t="shared" si="7"/>
        <v>5.1389999999999998E-2</v>
      </c>
      <c r="I94" s="16">
        <v>0</v>
      </c>
    </row>
    <row r="95" spans="1:9" ht="15" hidden="1" customHeight="1">
      <c r="A95" s="46"/>
      <c r="B95" s="189" t="s">
        <v>264</v>
      </c>
      <c r="C95" s="246" t="s">
        <v>109</v>
      </c>
      <c r="D95" s="82"/>
      <c r="E95" s="16"/>
      <c r="F95" s="16">
        <v>1</v>
      </c>
      <c r="G95" s="16">
        <v>18</v>
      </c>
      <c r="H95" s="264">
        <f t="shared" si="7"/>
        <v>1.7999999999999999E-2</v>
      </c>
      <c r="I95" s="16">
        <v>0</v>
      </c>
    </row>
    <row r="96" spans="1:9" ht="31.5" hidden="1" customHeight="1">
      <c r="A96" s="46"/>
      <c r="B96" s="191" t="s">
        <v>265</v>
      </c>
      <c r="C96" s="46" t="s">
        <v>236</v>
      </c>
      <c r="D96" s="82"/>
      <c r="E96" s="16"/>
      <c r="F96" s="16">
        <v>1</v>
      </c>
      <c r="G96" s="16">
        <v>383.01</v>
      </c>
      <c r="H96" s="264">
        <f t="shared" si="7"/>
        <v>0.38301000000000002</v>
      </c>
      <c r="I96" s="16">
        <v>0</v>
      </c>
    </row>
    <row r="97" spans="1:9" ht="15" hidden="1" customHeight="1">
      <c r="A97" s="46"/>
      <c r="B97" s="189" t="s">
        <v>266</v>
      </c>
      <c r="C97" s="193" t="s">
        <v>262</v>
      </c>
      <c r="D97" s="82"/>
      <c r="E97" s="16"/>
      <c r="F97" s="16">
        <v>2</v>
      </c>
      <c r="G97" s="16">
        <v>4879</v>
      </c>
      <c r="H97" s="264">
        <f t="shared" si="7"/>
        <v>9.7579999999999991</v>
      </c>
      <c r="I97" s="16">
        <v>0</v>
      </c>
    </row>
    <row r="98" spans="1:9" ht="15" hidden="1" customHeight="1">
      <c r="A98" s="46"/>
      <c r="B98" s="189" t="s">
        <v>267</v>
      </c>
      <c r="C98" s="193" t="s">
        <v>118</v>
      </c>
      <c r="D98" s="82"/>
      <c r="E98" s="16"/>
      <c r="F98" s="16">
        <v>4</v>
      </c>
      <c r="G98" s="16">
        <v>185.81</v>
      </c>
      <c r="H98" s="264">
        <f t="shared" si="7"/>
        <v>0.74324000000000001</v>
      </c>
      <c r="I98" s="16">
        <v>0</v>
      </c>
    </row>
    <row r="99" spans="1:9" ht="15" hidden="1" customHeight="1">
      <c r="A99" s="46"/>
      <c r="B99" s="189" t="s">
        <v>112</v>
      </c>
      <c r="C99" s="193" t="s">
        <v>216</v>
      </c>
      <c r="D99" s="82"/>
      <c r="E99" s="16"/>
      <c r="F99" s="16">
        <v>3</v>
      </c>
      <c r="G99" s="16">
        <v>180.15</v>
      </c>
      <c r="H99" s="264">
        <f t="shared" si="7"/>
        <v>0.5404500000000001</v>
      </c>
      <c r="I99" s="16">
        <v>0</v>
      </c>
    </row>
    <row r="100" spans="1:9" ht="31.5" hidden="1" customHeight="1">
      <c r="A100" s="46"/>
      <c r="B100" s="189" t="s">
        <v>268</v>
      </c>
      <c r="C100" s="193" t="s">
        <v>161</v>
      </c>
      <c r="D100" s="82"/>
      <c r="E100" s="16"/>
      <c r="F100" s="16">
        <f>3.11/10</f>
        <v>0.311</v>
      </c>
      <c r="G100" s="16">
        <v>5641.28</v>
      </c>
      <c r="H100" s="264">
        <f t="shared" si="7"/>
        <v>1.7544380799999999</v>
      </c>
      <c r="I100" s="16">
        <v>0</v>
      </c>
    </row>
    <row r="101" spans="1:9" ht="15" hidden="1" customHeight="1">
      <c r="A101" s="46"/>
      <c r="B101" s="189" t="s">
        <v>269</v>
      </c>
      <c r="C101" s="193" t="s">
        <v>270</v>
      </c>
      <c r="D101" s="82"/>
      <c r="E101" s="16"/>
      <c r="F101" s="16">
        <v>1</v>
      </c>
      <c r="G101" s="16">
        <v>755</v>
      </c>
      <c r="H101" s="264">
        <f t="shared" si="7"/>
        <v>0.755</v>
      </c>
      <c r="I101" s="16">
        <v>0</v>
      </c>
    </row>
    <row r="102" spans="1:9" ht="47.25" hidden="1" customHeight="1">
      <c r="A102" s="46"/>
      <c r="B102" s="191" t="s">
        <v>271</v>
      </c>
      <c r="C102" s="46" t="s">
        <v>161</v>
      </c>
      <c r="D102" s="82"/>
      <c r="E102" s="16"/>
      <c r="F102" s="16">
        <f>2/10</f>
        <v>0.2</v>
      </c>
      <c r="G102" s="16">
        <v>18308.990000000002</v>
      </c>
      <c r="H102" s="264">
        <f t="shared" si="7"/>
        <v>3.6617980000000006</v>
      </c>
      <c r="I102" s="16">
        <v>0</v>
      </c>
    </row>
    <row r="103" spans="1:9" ht="47.25" hidden="1" customHeight="1">
      <c r="A103" s="46"/>
      <c r="B103" s="189" t="s">
        <v>272</v>
      </c>
      <c r="C103" s="193" t="s">
        <v>161</v>
      </c>
      <c r="D103" s="82"/>
      <c r="E103" s="16"/>
      <c r="F103" s="16">
        <f>6/10</f>
        <v>0.6</v>
      </c>
      <c r="G103" s="16">
        <v>9068.24</v>
      </c>
      <c r="H103" s="264">
        <f t="shared" si="7"/>
        <v>5.4409439999999991</v>
      </c>
      <c r="I103" s="16">
        <v>0</v>
      </c>
    </row>
    <row r="104" spans="1:9" ht="15" hidden="1" customHeight="1">
      <c r="A104" s="46"/>
      <c r="B104" s="189" t="s">
        <v>273</v>
      </c>
      <c r="C104" s="193" t="s">
        <v>274</v>
      </c>
      <c r="D104" s="82"/>
      <c r="E104" s="16"/>
      <c r="F104" s="16">
        <v>1</v>
      </c>
      <c r="G104" s="16">
        <v>195.95</v>
      </c>
      <c r="H104" s="264">
        <f t="shared" si="7"/>
        <v>0.19594999999999999</v>
      </c>
      <c r="I104" s="16">
        <v>0</v>
      </c>
    </row>
    <row r="105" spans="1:9" ht="31.5" hidden="1" customHeight="1">
      <c r="A105" s="46"/>
      <c r="B105" s="189" t="s">
        <v>275</v>
      </c>
      <c r="C105" s="193" t="s">
        <v>177</v>
      </c>
      <c r="D105" s="82"/>
      <c r="E105" s="16"/>
      <c r="F105" s="16">
        <v>1</v>
      </c>
      <c r="G105" s="16">
        <v>122.55</v>
      </c>
      <c r="H105" s="264">
        <f t="shared" si="7"/>
        <v>0.12254999999999999</v>
      </c>
      <c r="I105" s="16">
        <v>0</v>
      </c>
    </row>
    <row r="106" spans="1:9" ht="15" hidden="1" customHeight="1">
      <c r="A106" s="46"/>
      <c r="B106" s="189" t="s">
        <v>143</v>
      </c>
      <c r="C106" s="193" t="s">
        <v>144</v>
      </c>
      <c r="D106" s="82"/>
      <c r="E106" s="16"/>
      <c r="F106" s="16">
        <f>45/3</f>
        <v>15</v>
      </c>
      <c r="G106" s="16">
        <v>1063.47</v>
      </c>
      <c r="H106" s="264">
        <f>G106*F106/1000</f>
        <v>15.952050000000002</v>
      </c>
      <c r="I106" s="16">
        <v>0</v>
      </c>
    </row>
    <row r="107" spans="1:9" ht="15" hidden="1" customHeight="1">
      <c r="A107" s="46"/>
      <c r="B107" s="189" t="s">
        <v>276</v>
      </c>
      <c r="C107" s="193" t="s">
        <v>277</v>
      </c>
      <c r="D107" s="82"/>
      <c r="E107" s="16"/>
      <c r="F107" s="16">
        <v>1</v>
      </c>
      <c r="G107" s="16">
        <v>4627.21</v>
      </c>
      <c r="H107" s="264">
        <f>G107*F107/1000</f>
        <v>4.6272099999999998</v>
      </c>
      <c r="I107" s="16">
        <v>0</v>
      </c>
    </row>
    <row r="108" spans="1:9" ht="15" hidden="1" customHeight="1">
      <c r="A108" s="46"/>
      <c r="B108" s="191" t="s">
        <v>186</v>
      </c>
      <c r="C108" s="46" t="s">
        <v>216</v>
      </c>
      <c r="D108" s="82"/>
      <c r="E108" s="16"/>
      <c r="F108" s="16">
        <v>2</v>
      </c>
      <c r="G108" s="16">
        <v>470</v>
      </c>
      <c r="H108" s="264">
        <f t="shared" ref="H108" si="8">G108*F108/1000</f>
        <v>0.94</v>
      </c>
      <c r="I108" s="16">
        <v>0</v>
      </c>
    </row>
    <row r="109" spans="1:9" ht="15" hidden="1" customHeight="1">
      <c r="A109" s="46"/>
      <c r="B109" s="189" t="s">
        <v>179</v>
      </c>
      <c r="C109" s="193" t="s">
        <v>216</v>
      </c>
      <c r="D109" s="82"/>
      <c r="E109" s="16"/>
      <c r="F109" s="16">
        <v>1</v>
      </c>
      <c r="G109" s="16">
        <v>81.73</v>
      </c>
      <c r="H109" s="264">
        <f t="shared" si="7"/>
        <v>8.1729999999999997E-2</v>
      </c>
      <c r="I109" s="16">
        <v>0</v>
      </c>
    </row>
    <row r="110" spans="1:9" ht="15" hidden="1" customHeight="1">
      <c r="A110" s="46"/>
      <c r="B110" s="269" t="s">
        <v>278</v>
      </c>
      <c r="C110" s="246" t="s">
        <v>98</v>
      </c>
      <c r="D110" s="82"/>
      <c r="E110" s="16"/>
      <c r="F110" s="16">
        <f>1/10</f>
        <v>0.1</v>
      </c>
      <c r="G110" s="16">
        <v>9767.5</v>
      </c>
      <c r="H110" s="264">
        <f>G110*F110/1000</f>
        <v>0.97675000000000001</v>
      </c>
      <c r="I110" s="16">
        <v>0</v>
      </c>
    </row>
    <row r="111" spans="1:9" ht="15.75" customHeight="1">
      <c r="A111" s="46"/>
      <c r="B111" s="76" t="s">
        <v>66</v>
      </c>
      <c r="C111" s="72"/>
      <c r="D111" s="126"/>
      <c r="E111" s="72">
        <v>1</v>
      </c>
      <c r="F111" s="72"/>
      <c r="G111" s="72"/>
      <c r="H111" s="72"/>
      <c r="I111" s="54">
        <f>SUM(I88:I110)</f>
        <v>0</v>
      </c>
    </row>
    <row r="112" spans="1:9" ht="15.75" customHeight="1">
      <c r="A112" s="46"/>
      <c r="B112" s="82" t="s">
        <v>102</v>
      </c>
      <c r="C112" s="19"/>
      <c r="D112" s="19"/>
      <c r="E112" s="73"/>
      <c r="F112" s="73"/>
      <c r="G112" s="74"/>
      <c r="H112" s="74"/>
      <c r="I112" s="22">
        <v>0</v>
      </c>
    </row>
    <row r="113" spans="1:9" ht="15.75" customHeight="1">
      <c r="A113" s="127"/>
      <c r="B113" s="77" t="s">
        <v>67</v>
      </c>
      <c r="C113" s="60"/>
      <c r="D113" s="60"/>
      <c r="E113" s="60"/>
      <c r="F113" s="60"/>
      <c r="G113" s="60"/>
      <c r="H113" s="60"/>
      <c r="I113" s="75">
        <f>I86+I111</f>
        <v>39853.183954955559</v>
      </c>
    </row>
    <row r="114" spans="1:9" ht="15.75">
      <c r="A114" s="227" t="s">
        <v>301</v>
      </c>
      <c r="B114" s="227"/>
      <c r="C114" s="227"/>
      <c r="D114" s="227"/>
      <c r="E114" s="227"/>
      <c r="F114" s="227"/>
      <c r="G114" s="227"/>
      <c r="H114" s="227"/>
      <c r="I114" s="227"/>
    </row>
    <row r="115" spans="1:9" ht="15.75">
      <c r="A115" s="204"/>
      <c r="B115" s="228" t="s">
        <v>302</v>
      </c>
      <c r="C115" s="228"/>
      <c r="D115" s="228"/>
      <c r="E115" s="228"/>
      <c r="F115" s="228"/>
      <c r="G115" s="228"/>
      <c r="H115" s="245"/>
      <c r="I115" s="3"/>
    </row>
    <row r="116" spans="1:9">
      <c r="A116" s="200"/>
      <c r="B116" s="216" t="s">
        <v>7</v>
      </c>
      <c r="C116" s="216"/>
      <c r="D116" s="216"/>
      <c r="E116" s="216"/>
      <c r="F116" s="216"/>
      <c r="G116" s="216"/>
      <c r="H116" s="36"/>
      <c r="I116" s="5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5.75">
      <c r="A118" s="229" t="s">
        <v>8</v>
      </c>
      <c r="B118" s="229"/>
      <c r="C118" s="229"/>
      <c r="D118" s="229"/>
      <c r="E118" s="229"/>
      <c r="F118" s="229"/>
      <c r="G118" s="229"/>
      <c r="H118" s="229"/>
      <c r="I118" s="229"/>
    </row>
    <row r="119" spans="1:9" ht="15.75">
      <c r="A119" s="229" t="s">
        <v>9</v>
      </c>
      <c r="B119" s="229"/>
      <c r="C119" s="229"/>
      <c r="D119" s="229"/>
      <c r="E119" s="229"/>
      <c r="F119" s="229"/>
      <c r="G119" s="229"/>
      <c r="H119" s="229"/>
      <c r="I119" s="229"/>
    </row>
    <row r="120" spans="1:9" ht="15.75">
      <c r="A120" s="225" t="s">
        <v>81</v>
      </c>
      <c r="B120" s="225"/>
      <c r="C120" s="225"/>
      <c r="D120" s="225"/>
      <c r="E120" s="225"/>
      <c r="F120" s="225"/>
      <c r="G120" s="225"/>
      <c r="H120" s="225"/>
      <c r="I120" s="225"/>
    </row>
    <row r="121" spans="1:9" ht="15.75">
      <c r="A121" s="12"/>
    </row>
    <row r="122" spans="1:9" ht="15.75">
      <c r="A122" s="226" t="s">
        <v>11</v>
      </c>
      <c r="B122" s="226"/>
      <c r="C122" s="226"/>
      <c r="D122" s="226"/>
      <c r="E122" s="226"/>
      <c r="F122" s="226"/>
      <c r="G122" s="226"/>
      <c r="H122" s="226"/>
      <c r="I122" s="226"/>
    </row>
    <row r="123" spans="1:9" ht="15.75">
      <c r="A123" s="4"/>
    </row>
    <row r="124" spans="1:9" ht="15.75">
      <c r="B124" s="203" t="s">
        <v>12</v>
      </c>
      <c r="C124" s="218" t="s">
        <v>140</v>
      </c>
      <c r="D124" s="218"/>
      <c r="E124" s="218"/>
      <c r="F124" s="243"/>
      <c r="I124" s="199"/>
    </row>
    <row r="125" spans="1:9">
      <c r="A125" s="200"/>
      <c r="C125" s="216" t="s">
        <v>13</v>
      </c>
      <c r="D125" s="216"/>
      <c r="E125" s="216"/>
      <c r="F125" s="36"/>
      <c r="I125" s="198" t="s">
        <v>14</v>
      </c>
    </row>
    <row r="126" spans="1:9" ht="15.75">
      <c r="A126" s="37"/>
      <c r="C126" s="13"/>
      <c r="D126" s="13"/>
      <c r="G126" s="13"/>
      <c r="H126" s="13"/>
    </row>
    <row r="127" spans="1:9" ht="15.75">
      <c r="B127" s="203" t="s">
        <v>15</v>
      </c>
      <c r="C127" s="217"/>
      <c r="D127" s="217"/>
      <c r="E127" s="217"/>
      <c r="F127" s="244"/>
      <c r="I127" s="199"/>
    </row>
    <row r="128" spans="1:9">
      <c r="A128" s="200"/>
      <c r="C128" s="211" t="s">
        <v>13</v>
      </c>
      <c r="D128" s="211"/>
      <c r="E128" s="211"/>
      <c r="F128" s="200"/>
      <c r="I128" s="198" t="s">
        <v>14</v>
      </c>
    </row>
    <row r="129" spans="1:9" ht="15.75">
      <c r="A129" s="4" t="s">
        <v>16</v>
      </c>
    </row>
    <row r="130" spans="1:9">
      <c r="A130" s="224" t="s">
        <v>17</v>
      </c>
      <c r="B130" s="224"/>
      <c r="C130" s="224"/>
      <c r="D130" s="224"/>
      <c r="E130" s="224"/>
      <c r="F130" s="224"/>
      <c r="G130" s="224"/>
      <c r="H130" s="224"/>
      <c r="I130" s="224"/>
    </row>
    <row r="131" spans="1:9" ht="45" customHeight="1">
      <c r="A131" s="223" t="s">
        <v>18</v>
      </c>
      <c r="B131" s="223"/>
      <c r="C131" s="223"/>
      <c r="D131" s="223"/>
      <c r="E131" s="223"/>
      <c r="F131" s="223"/>
      <c r="G131" s="223"/>
      <c r="H131" s="223"/>
      <c r="I131" s="223"/>
    </row>
    <row r="132" spans="1:9" ht="30" customHeight="1">
      <c r="A132" s="223" t="s">
        <v>19</v>
      </c>
      <c r="B132" s="223"/>
      <c r="C132" s="223"/>
      <c r="D132" s="223"/>
      <c r="E132" s="223"/>
      <c r="F132" s="223"/>
      <c r="G132" s="223"/>
      <c r="H132" s="223"/>
      <c r="I132" s="223"/>
    </row>
    <row r="133" spans="1:9" ht="30" customHeight="1">
      <c r="A133" s="223" t="s">
        <v>24</v>
      </c>
      <c r="B133" s="223"/>
      <c r="C133" s="223"/>
      <c r="D133" s="223"/>
      <c r="E133" s="223"/>
      <c r="F133" s="223"/>
      <c r="G133" s="223"/>
      <c r="H133" s="223"/>
      <c r="I133" s="223"/>
    </row>
    <row r="134" spans="1:9" ht="15.75">
      <c r="A134" s="223" t="s">
        <v>23</v>
      </c>
      <c r="B134" s="223"/>
      <c r="C134" s="223"/>
      <c r="D134" s="223"/>
      <c r="E134" s="223"/>
      <c r="F134" s="223"/>
      <c r="G134" s="223"/>
      <c r="H134" s="223"/>
      <c r="I134" s="223"/>
    </row>
  </sheetData>
  <autoFilter ref="I12:I62"/>
  <mergeCells count="28">
    <mergeCell ref="A131:I131"/>
    <mergeCell ref="A132:I132"/>
    <mergeCell ref="A133:I133"/>
    <mergeCell ref="A134:I134"/>
    <mergeCell ref="A122:I122"/>
    <mergeCell ref="C124:E124"/>
    <mergeCell ref="C125:E125"/>
    <mergeCell ref="C127:E127"/>
    <mergeCell ref="C128:E128"/>
    <mergeCell ref="A130:I130"/>
    <mergeCell ref="A114:I114"/>
    <mergeCell ref="B115:G115"/>
    <mergeCell ref="B116:G116"/>
    <mergeCell ref="A118:I118"/>
    <mergeCell ref="A119:I119"/>
    <mergeCell ref="A120:I120"/>
    <mergeCell ref="A15:I15"/>
    <mergeCell ref="A29:I29"/>
    <mergeCell ref="A47:I47"/>
    <mergeCell ref="A58:I5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303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82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42613</v>
      </c>
      <c r="J6" s="2"/>
      <c r="K6" s="2"/>
      <c r="L6" s="2"/>
      <c r="M6" s="2"/>
    </row>
    <row r="7" spans="1:13" ht="15.7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hidden="1" customHeight="1">
      <c r="A19" s="46"/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v>0</v>
      </c>
      <c r="J19" s="31"/>
      <c r="K19" s="8"/>
      <c r="L19" s="8"/>
      <c r="M19" s="8"/>
    </row>
    <row r="20" spans="1:13" ht="15" hidden="1" customHeight="1">
      <c r="A20" s="46"/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v>0</v>
      </c>
      <c r="J20" s="31"/>
      <c r="K20" s="8"/>
      <c r="L20" s="8"/>
      <c r="M20" s="8"/>
    </row>
    <row r="21" spans="1:13" ht="15" hidden="1" customHeight="1">
      <c r="A21" s="46"/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v>0</v>
      </c>
      <c r="J21" s="31"/>
      <c r="K21" s="8"/>
      <c r="L21" s="8"/>
      <c r="M21" s="8"/>
    </row>
    <row r="22" spans="1:13" ht="15" hidden="1" customHeight="1">
      <c r="A22" s="46"/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v>0</v>
      </c>
      <c r="J22" s="31"/>
      <c r="K22" s="8"/>
      <c r="L22" s="8"/>
      <c r="M22" s="8"/>
    </row>
    <row r="23" spans="1:13" ht="15" hidden="1" customHeight="1">
      <c r="A23" s="46"/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v>0</v>
      </c>
      <c r="J23" s="31"/>
      <c r="K23" s="8"/>
      <c r="L23" s="8"/>
      <c r="M23" s="8"/>
    </row>
    <row r="24" spans="1:13" ht="15" hidden="1" customHeight="1">
      <c r="A24" s="46"/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v>0</v>
      </c>
      <c r="J24" s="31"/>
      <c r="K24" s="8"/>
      <c r="L24" s="8"/>
      <c r="M24" s="8"/>
    </row>
    <row r="25" spans="1:13" ht="15" hidden="1" customHeight="1">
      <c r="A25" s="46"/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v>0</v>
      </c>
      <c r="J25" s="31"/>
      <c r="K25" s="8"/>
      <c r="L25" s="8"/>
      <c r="M25" s="8"/>
    </row>
    <row r="26" spans="1:13" ht="15" hidden="1" customHeight="1">
      <c r="A26" s="46"/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v>0</v>
      </c>
      <c r="J26" s="31"/>
      <c r="K26" s="8"/>
      <c r="L26" s="8"/>
      <c r="M26" s="8"/>
    </row>
    <row r="27" spans="1:13" ht="15" customHeight="1">
      <c r="A27" s="46">
        <v>4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5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customHeight="1">
      <c r="A31" s="46">
        <v>6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1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customHeight="1">
      <c r="A32" s="46">
        <v>7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1"/>
        <v>1.3717735199999999</v>
      </c>
      <c r="I32" s="16">
        <f t="shared" ref="I32:I35" si="2">F32/6*G32</f>
        <v>228.62891999999999</v>
      </c>
      <c r="J32" s="31"/>
      <c r="K32" s="8"/>
      <c r="L32" s="8"/>
      <c r="M32" s="8"/>
    </row>
    <row r="33" spans="1:14" ht="15" hidden="1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1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customHeight="1">
      <c r="A34" s="46">
        <v>8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2"/>
        <v>1345.4206666666669</v>
      </c>
      <c r="J34" s="31"/>
      <c r="K34" s="8"/>
      <c r="L34" s="8"/>
      <c r="M34" s="8"/>
    </row>
    <row r="35" spans="1:14" ht="15" customHeight="1">
      <c r="A35" s="46">
        <v>9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2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1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1"/>
        <v>2.27264</v>
      </c>
      <c r="I37" s="16">
        <v>0</v>
      </c>
      <c r="J37" s="32"/>
    </row>
    <row r="38" spans="1:14" ht="15" hidden="1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hidden="1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3">SUM(F39*G39/1000)</f>
        <v>9.1633200000000006</v>
      </c>
      <c r="I39" s="16">
        <f>F39/6*G39</f>
        <v>1527.22</v>
      </c>
      <c r="J39" s="32"/>
    </row>
    <row r="40" spans="1:14" ht="15" hidden="1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3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hidden="1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hidden="1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3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hidden="1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3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hidden="1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3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hidden="1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3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hidden="1" customHeight="1">
      <c r="A48" s="46"/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4">SUM(F48*G48/1000)</f>
        <v>1.7187541239999997</v>
      </c>
      <c r="I48" s="16">
        <v>0</v>
      </c>
      <c r="J48" s="32"/>
      <c r="L48" s="25"/>
      <c r="M48" s="26"/>
      <c r="N48" s="27"/>
    </row>
    <row r="49" spans="1:22" ht="15" hidden="1" customHeight="1">
      <c r="A49" s="46"/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4"/>
        <v>6.0265920000000001E-2</v>
      </c>
      <c r="I49" s="16">
        <v>0</v>
      </c>
      <c r="J49" s="32"/>
      <c r="L49" s="25"/>
      <c r="M49" s="26"/>
      <c r="N49" s="27"/>
    </row>
    <row r="50" spans="1:22" ht="15" hidden="1" customHeight="1">
      <c r="A50" s="46"/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4"/>
        <v>1.4357196480000001</v>
      </c>
      <c r="I50" s="16">
        <v>0</v>
      </c>
      <c r="J50" s="32"/>
      <c r="L50" s="25"/>
      <c r="M50" s="26"/>
      <c r="N50" s="27"/>
    </row>
    <row r="51" spans="1:22" ht="15" hidden="1" customHeight="1">
      <c r="A51" s="46"/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4"/>
        <v>2.1771028954</v>
      </c>
      <c r="I51" s="16">
        <v>0</v>
      </c>
      <c r="J51" s="32"/>
      <c r="L51" s="25"/>
      <c r="M51" s="26"/>
      <c r="N51" s="27"/>
    </row>
    <row r="52" spans="1:22" ht="15" hidden="1" customHeight="1">
      <c r="A52" s="46"/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4"/>
        <v>0.124912836</v>
      </c>
      <c r="I52" s="16">
        <v>0</v>
      </c>
      <c r="J52" s="32"/>
      <c r="L52" s="25"/>
      <c r="M52" s="26"/>
      <c r="N52" s="27"/>
    </row>
    <row r="53" spans="1:22" ht="15" hidden="1" customHeight="1">
      <c r="A53" s="46">
        <v>13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4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hidden="1" customHeight="1">
      <c r="A54" s="46"/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4"/>
        <v>2.1455563999999998</v>
      </c>
      <c r="I54" s="16">
        <v>0</v>
      </c>
      <c r="J54" s="32"/>
      <c r="L54" s="25"/>
      <c r="M54" s="26"/>
      <c r="N54" s="27"/>
    </row>
    <row r="55" spans="1:22" ht="31.5" hidden="1" customHeight="1">
      <c r="A55" s="46"/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4"/>
        <v>1.0921959999999999</v>
      </c>
      <c r="I55" s="16">
        <v>0</v>
      </c>
      <c r="J55" s="32"/>
      <c r="L55" s="25"/>
      <c r="M55" s="26"/>
      <c r="N55" s="27"/>
    </row>
    <row r="56" spans="1:22" ht="15" hidden="1" customHeight="1">
      <c r="A56" s="46"/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4"/>
        <v>0.11304260000000001</v>
      </c>
      <c r="I56" s="16">
        <v>0</v>
      </c>
      <c r="J56" s="32"/>
      <c r="L56" s="25"/>
      <c r="M56" s="26"/>
      <c r="N56" s="27"/>
    </row>
    <row r="57" spans="1:22" ht="15" customHeight="1">
      <c r="A57" s="46">
        <v>10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4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251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hidden="1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hidden="1" customHeight="1">
      <c r="A60" s="46">
        <v>15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11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hidden="1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hidden="1" customHeight="1">
      <c r="A65" s="46"/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80" si="5">SUM(F65*G65/1000)</f>
        <v>4.4480000000000004</v>
      </c>
      <c r="I65" s="16">
        <v>0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46">
        <v>17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5"/>
        <v>#VALUE!</v>
      </c>
      <c r="I66" s="16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46"/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5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hidden="1" customHeight="1">
      <c r="A68" s="46"/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5"/>
        <v>2.08941087</v>
      </c>
      <c r="I68" s="16">
        <f t="shared" ref="I68:I72" si="6">F68*G68</f>
        <v>2089.4108700000002</v>
      </c>
    </row>
    <row r="69" spans="1:21" ht="15" hidden="1" customHeight="1">
      <c r="A69" s="46"/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5"/>
        <v>39.417970000000004</v>
      </c>
      <c r="I69" s="16">
        <f t="shared" si="6"/>
        <v>39417.97</v>
      </c>
    </row>
    <row r="70" spans="1:21" ht="15" hidden="1" customHeight="1">
      <c r="A70" s="46"/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5"/>
        <v>0.48217100000000007</v>
      </c>
      <c r="I70" s="16">
        <f t="shared" si="6"/>
        <v>482.17100000000005</v>
      </c>
    </row>
    <row r="71" spans="1:21" ht="15" hidden="1" customHeight="1">
      <c r="A71" s="46"/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5"/>
        <v>0.44985300000000006</v>
      </c>
      <c r="I71" s="16">
        <f t="shared" si="6"/>
        <v>449.85300000000007</v>
      </c>
    </row>
    <row r="72" spans="1:21" ht="15" hidden="1" customHeight="1">
      <c r="A72" s="46"/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5"/>
        <v>0.29928000000000005</v>
      </c>
      <c r="I72" s="16">
        <f t="shared" si="6"/>
        <v>299.28000000000003</v>
      </c>
    </row>
    <row r="73" spans="1:21" ht="15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customHeight="1">
      <c r="A74" s="46">
        <v>12</v>
      </c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f>G74*0.2</f>
        <v>100.32400000000001</v>
      </c>
    </row>
    <row r="75" spans="1:21" ht="15" hidden="1" customHeight="1">
      <c r="A75" s="46"/>
      <c r="B75" s="18" t="s">
        <v>233</v>
      </c>
      <c r="C75" s="20" t="s">
        <v>37</v>
      </c>
      <c r="D75" s="18"/>
      <c r="E75" s="23">
        <v>2</v>
      </c>
      <c r="F75" s="16">
        <v>2</v>
      </c>
      <c r="G75" s="16">
        <v>99.85</v>
      </c>
      <c r="H75" s="264">
        <v>0.1</v>
      </c>
      <c r="I75" s="16">
        <v>0</v>
      </c>
    </row>
    <row r="76" spans="1:21" ht="15" hidden="1" customHeight="1">
      <c r="A76" s="46"/>
      <c r="B76" s="18" t="s">
        <v>234</v>
      </c>
      <c r="C76" s="20" t="s">
        <v>37</v>
      </c>
      <c r="D76" s="18"/>
      <c r="E76" s="23">
        <v>1</v>
      </c>
      <c r="F76" s="241">
        <v>1</v>
      </c>
      <c r="G76" s="16">
        <v>120.26</v>
      </c>
      <c r="H76" s="264">
        <v>0.12</v>
      </c>
      <c r="I76" s="16">
        <v>0</v>
      </c>
    </row>
    <row r="77" spans="1:21" ht="15" hidden="1" customHeight="1">
      <c r="A77" s="46"/>
      <c r="B77" s="18" t="s">
        <v>134</v>
      </c>
      <c r="C77" s="20" t="s">
        <v>37</v>
      </c>
      <c r="D77" s="18"/>
      <c r="E77" s="23">
        <v>1</v>
      </c>
      <c r="F77" s="250">
        <f>SUM(E77)</f>
        <v>1</v>
      </c>
      <c r="G77" s="16">
        <v>358.51</v>
      </c>
      <c r="H77" s="264">
        <f t="shared" si="5"/>
        <v>0.35851</v>
      </c>
      <c r="I77" s="16">
        <v>0</v>
      </c>
    </row>
    <row r="78" spans="1:21" ht="15" hidden="1" customHeight="1">
      <c r="A78" s="46"/>
      <c r="B78" s="18" t="s">
        <v>97</v>
      </c>
      <c r="C78" s="20" t="s">
        <v>37</v>
      </c>
      <c r="D78" s="18"/>
      <c r="E78" s="23">
        <v>1</v>
      </c>
      <c r="F78" s="16">
        <v>1</v>
      </c>
      <c r="G78" s="16">
        <v>852.99</v>
      </c>
      <c r="H78" s="264">
        <f>F78*G78/1000</f>
        <v>0.85299000000000003</v>
      </c>
      <c r="I78" s="16">
        <v>0</v>
      </c>
    </row>
    <row r="79" spans="1:21" ht="15" hidden="1" customHeight="1">
      <c r="A79" s="46"/>
      <c r="B79" s="266" t="s">
        <v>99</v>
      </c>
      <c r="C79" s="20"/>
      <c r="D79" s="18"/>
      <c r="E79" s="23"/>
      <c r="F79" s="16"/>
      <c r="G79" s="16" t="s">
        <v>224</v>
      </c>
      <c r="H79" s="264" t="s">
        <v>224</v>
      </c>
      <c r="I79" s="16"/>
    </row>
    <row r="80" spans="1:21" ht="15" hidden="1" customHeight="1">
      <c r="A80" s="46"/>
      <c r="B80" s="82" t="s">
        <v>225</v>
      </c>
      <c r="C80" s="20" t="s">
        <v>100</v>
      </c>
      <c r="D80" s="18"/>
      <c r="E80" s="23"/>
      <c r="F80" s="16">
        <v>0.2</v>
      </c>
      <c r="G80" s="16">
        <v>2759.44</v>
      </c>
      <c r="H80" s="264">
        <f t="shared" si="5"/>
        <v>0.55188800000000005</v>
      </c>
      <c r="I80" s="16">
        <v>0</v>
      </c>
    </row>
    <row r="81" spans="1:9" ht="15" hidden="1" customHeight="1">
      <c r="A81" s="46"/>
      <c r="B81" s="254" t="s">
        <v>222</v>
      </c>
      <c r="C81" s="266"/>
      <c r="D81" s="52"/>
      <c r="E81" s="54"/>
      <c r="F81" s="255"/>
      <c r="G81" s="255"/>
      <c r="H81" s="267" t="e">
        <f>SUM(H60:H80)</f>
        <v>#VALUE!</v>
      </c>
      <c r="I81" s="255"/>
    </row>
    <row r="82" spans="1:9" ht="15" hidden="1" customHeight="1">
      <c r="A82" s="46"/>
      <c r="B82" s="247" t="s">
        <v>223</v>
      </c>
      <c r="C82" s="20"/>
      <c r="D82" s="18"/>
      <c r="E82" s="242"/>
      <c r="F82" s="16">
        <v>1</v>
      </c>
      <c r="G82" s="16">
        <v>13437.4</v>
      </c>
      <c r="H82" s="264">
        <f>G82*F82/1000</f>
        <v>13.4374</v>
      </c>
      <c r="I82" s="16">
        <v>0</v>
      </c>
    </row>
    <row r="83" spans="1:9" ht="15.75" customHeight="1">
      <c r="A83" s="238" t="s">
        <v>252</v>
      </c>
      <c r="B83" s="239"/>
      <c r="C83" s="239"/>
      <c r="D83" s="239"/>
      <c r="E83" s="239"/>
      <c r="F83" s="239"/>
      <c r="G83" s="239"/>
      <c r="H83" s="239"/>
      <c r="I83" s="240"/>
    </row>
    <row r="84" spans="1:9" ht="15" customHeight="1">
      <c r="A84" s="46">
        <v>13</v>
      </c>
      <c r="B84" s="247" t="s">
        <v>226</v>
      </c>
      <c r="C84" s="20" t="s">
        <v>72</v>
      </c>
      <c r="D84" s="268" t="s">
        <v>73</v>
      </c>
      <c r="E84" s="16">
        <v>3031.3</v>
      </c>
      <c r="F84" s="16">
        <f>SUM(E84*12)</f>
        <v>36375.600000000006</v>
      </c>
      <c r="G84" s="16">
        <v>2.1</v>
      </c>
      <c r="H84" s="264">
        <f>SUM(F84*G84/1000)</f>
        <v>76.388760000000005</v>
      </c>
      <c r="I84" s="16">
        <f>F84/12*G84</f>
        <v>6365.7300000000014</v>
      </c>
    </row>
    <row r="85" spans="1:9" ht="31.5" customHeight="1">
      <c r="A85" s="46">
        <v>14</v>
      </c>
      <c r="B85" s="18" t="s">
        <v>101</v>
      </c>
      <c r="C85" s="20"/>
      <c r="D85" s="268" t="s">
        <v>73</v>
      </c>
      <c r="E85" s="249">
        <f>E84</f>
        <v>3031.3</v>
      </c>
      <c r="F85" s="16">
        <f>E85*12</f>
        <v>36375.600000000006</v>
      </c>
      <c r="G85" s="16">
        <v>1.63</v>
      </c>
      <c r="H85" s="264">
        <f>F85*G85/1000</f>
        <v>59.292228000000001</v>
      </c>
      <c r="I85" s="16">
        <f>F85/12*G85</f>
        <v>4941.0190000000011</v>
      </c>
    </row>
    <row r="86" spans="1:9" ht="15.75" customHeight="1">
      <c r="A86" s="124"/>
      <c r="B86" s="69" t="s">
        <v>107</v>
      </c>
      <c r="C86" s="71"/>
      <c r="D86" s="19"/>
      <c r="E86" s="19"/>
      <c r="F86" s="19"/>
      <c r="G86" s="23"/>
      <c r="H86" s="23"/>
      <c r="I86" s="54">
        <f>I16+I17+I18+I27+I28+I31+I32+I34+I35+I57+I63+I74+I84+I85</f>
        <v>48884.627954955562</v>
      </c>
    </row>
    <row r="87" spans="1:9" ht="15.75" customHeight="1">
      <c r="A87" s="124"/>
      <c r="B87" s="188" t="s">
        <v>79</v>
      </c>
      <c r="C87" s="188"/>
      <c r="D87" s="188"/>
      <c r="E87" s="188"/>
      <c r="F87" s="188"/>
      <c r="G87" s="188"/>
      <c r="H87" s="188"/>
      <c r="I87" s="188"/>
    </row>
    <row r="88" spans="1:9" ht="15" customHeight="1">
      <c r="A88" s="46">
        <v>15</v>
      </c>
      <c r="B88" s="189" t="s">
        <v>267</v>
      </c>
      <c r="C88" s="193" t="s">
        <v>118</v>
      </c>
      <c r="D88" s="82"/>
      <c r="E88" s="16"/>
      <c r="F88" s="16">
        <v>4</v>
      </c>
      <c r="G88" s="16">
        <v>185.81</v>
      </c>
      <c r="H88" s="264">
        <f t="shared" ref="H88:H90" si="7">G88*F88/1000</f>
        <v>0.74324000000000001</v>
      </c>
      <c r="I88" s="16">
        <f>G88</f>
        <v>185.81</v>
      </c>
    </row>
    <row r="89" spans="1:9" ht="15" customHeight="1">
      <c r="A89" s="46">
        <v>16</v>
      </c>
      <c r="B89" s="189" t="s">
        <v>273</v>
      </c>
      <c r="C89" s="193" t="s">
        <v>274</v>
      </c>
      <c r="D89" s="82"/>
      <c r="E89" s="16"/>
      <c r="F89" s="16">
        <v>1</v>
      </c>
      <c r="G89" s="16">
        <v>195.95</v>
      </c>
      <c r="H89" s="264">
        <f t="shared" si="7"/>
        <v>0.19594999999999999</v>
      </c>
      <c r="I89" s="16">
        <f>G89</f>
        <v>195.95</v>
      </c>
    </row>
    <row r="90" spans="1:9" ht="31.5" customHeight="1">
      <c r="A90" s="46">
        <v>17</v>
      </c>
      <c r="B90" s="189" t="s">
        <v>275</v>
      </c>
      <c r="C90" s="193" t="s">
        <v>177</v>
      </c>
      <c r="D90" s="82"/>
      <c r="E90" s="16"/>
      <c r="F90" s="16">
        <v>1</v>
      </c>
      <c r="G90" s="16">
        <v>122.55</v>
      </c>
      <c r="H90" s="264">
        <f t="shared" si="7"/>
        <v>0.12254999999999999</v>
      </c>
      <c r="I90" s="16">
        <f>G90</f>
        <v>122.55</v>
      </c>
    </row>
    <row r="91" spans="1:9" ht="15.75" customHeight="1">
      <c r="A91" s="46"/>
      <c r="B91" s="76" t="s">
        <v>66</v>
      </c>
      <c r="C91" s="72"/>
      <c r="D91" s="126"/>
      <c r="E91" s="72">
        <v>1</v>
      </c>
      <c r="F91" s="72"/>
      <c r="G91" s="72"/>
      <c r="H91" s="72"/>
      <c r="I91" s="54">
        <f>SUM(I88:I90)</f>
        <v>504.31</v>
      </c>
    </row>
    <row r="92" spans="1:9" ht="15.75" customHeight="1">
      <c r="A92" s="46"/>
      <c r="B92" s="82" t="s">
        <v>102</v>
      </c>
      <c r="C92" s="19"/>
      <c r="D92" s="19"/>
      <c r="E92" s="73"/>
      <c r="F92" s="73"/>
      <c r="G92" s="74"/>
      <c r="H92" s="74"/>
      <c r="I92" s="22">
        <v>0</v>
      </c>
    </row>
    <row r="93" spans="1:9" ht="15.75" customHeight="1">
      <c r="A93" s="127"/>
      <c r="B93" s="77" t="s">
        <v>67</v>
      </c>
      <c r="C93" s="60"/>
      <c r="D93" s="60"/>
      <c r="E93" s="60"/>
      <c r="F93" s="60"/>
      <c r="G93" s="60"/>
      <c r="H93" s="60"/>
      <c r="I93" s="75">
        <f>I86+I91</f>
        <v>49388.93795495556</v>
      </c>
    </row>
    <row r="94" spans="1:9" ht="15.75">
      <c r="A94" s="227" t="s">
        <v>304</v>
      </c>
      <c r="B94" s="227"/>
      <c r="C94" s="227"/>
      <c r="D94" s="227"/>
      <c r="E94" s="227"/>
      <c r="F94" s="227"/>
      <c r="G94" s="227"/>
      <c r="H94" s="227"/>
      <c r="I94" s="227"/>
    </row>
    <row r="95" spans="1:9" ht="15.75">
      <c r="A95" s="204"/>
      <c r="B95" s="228" t="s">
        <v>305</v>
      </c>
      <c r="C95" s="228"/>
      <c r="D95" s="228"/>
      <c r="E95" s="228"/>
      <c r="F95" s="228"/>
      <c r="G95" s="228"/>
      <c r="H95" s="245"/>
      <c r="I95" s="3"/>
    </row>
    <row r="96" spans="1:9">
      <c r="A96" s="200"/>
      <c r="B96" s="216" t="s">
        <v>7</v>
      </c>
      <c r="C96" s="216"/>
      <c r="D96" s="216"/>
      <c r="E96" s="216"/>
      <c r="F96" s="216"/>
      <c r="G96" s="216"/>
      <c r="H96" s="36"/>
      <c r="I96" s="5"/>
    </row>
    <row r="97" spans="1:9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>
      <c r="A98" s="229" t="s">
        <v>8</v>
      </c>
      <c r="B98" s="229"/>
      <c r="C98" s="229"/>
      <c r="D98" s="229"/>
      <c r="E98" s="229"/>
      <c r="F98" s="229"/>
      <c r="G98" s="229"/>
      <c r="H98" s="229"/>
      <c r="I98" s="229"/>
    </row>
    <row r="99" spans="1:9" ht="15.75">
      <c r="A99" s="229" t="s">
        <v>9</v>
      </c>
      <c r="B99" s="229"/>
      <c r="C99" s="229"/>
      <c r="D99" s="229"/>
      <c r="E99" s="229"/>
      <c r="F99" s="229"/>
      <c r="G99" s="229"/>
      <c r="H99" s="229"/>
      <c r="I99" s="229"/>
    </row>
    <row r="100" spans="1:9" ht="15.75">
      <c r="A100" s="225" t="s">
        <v>81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>
      <c r="A101" s="12"/>
    </row>
    <row r="102" spans="1:9" ht="15.75">
      <c r="A102" s="226" t="s">
        <v>11</v>
      </c>
      <c r="B102" s="226"/>
      <c r="C102" s="226"/>
      <c r="D102" s="226"/>
      <c r="E102" s="226"/>
      <c r="F102" s="226"/>
      <c r="G102" s="226"/>
      <c r="H102" s="226"/>
      <c r="I102" s="226"/>
    </row>
    <row r="103" spans="1:9" ht="15.75">
      <c r="A103" s="4"/>
    </row>
    <row r="104" spans="1:9" ht="15.75">
      <c r="B104" s="203" t="s">
        <v>12</v>
      </c>
      <c r="C104" s="218" t="s">
        <v>140</v>
      </c>
      <c r="D104" s="218"/>
      <c r="E104" s="218"/>
      <c r="F104" s="243"/>
      <c r="I104" s="199"/>
    </row>
    <row r="105" spans="1:9">
      <c r="A105" s="200"/>
      <c r="C105" s="216" t="s">
        <v>13</v>
      </c>
      <c r="D105" s="216"/>
      <c r="E105" s="216"/>
      <c r="F105" s="36"/>
      <c r="I105" s="198" t="s">
        <v>14</v>
      </c>
    </row>
    <row r="106" spans="1:9" ht="15.75">
      <c r="A106" s="37"/>
      <c r="C106" s="13"/>
      <c r="D106" s="13"/>
      <c r="G106" s="13"/>
      <c r="H106" s="13"/>
    </row>
    <row r="107" spans="1:9" ht="15.75">
      <c r="B107" s="203" t="s">
        <v>15</v>
      </c>
      <c r="C107" s="217"/>
      <c r="D107" s="217"/>
      <c r="E107" s="217"/>
      <c r="F107" s="244"/>
      <c r="I107" s="199"/>
    </row>
    <row r="108" spans="1:9">
      <c r="A108" s="200"/>
      <c r="C108" s="211" t="s">
        <v>13</v>
      </c>
      <c r="D108" s="211"/>
      <c r="E108" s="211"/>
      <c r="F108" s="200"/>
      <c r="I108" s="198" t="s">
        <v>14</v>
      </c>
    </row>
    <row r="109" spans="1:9" ht="15.75">
      <c r="A109" s="4" t="s">
        <v>16</v>
      </c>
    </row>
    <row r="110" spans="1:9">
      <c r="A110" s="224" t="s">
        <v>17</v>
      </c>
      <c r="B110" s="224"/>
      <c r="C110" s="224"/>
      <c r="D110" s="224"/>
      <c r="E110" s="224"/>
      <c r="F110" s="224"/>
      <c r="G110" s="224"/>
      <c r="H110" s="224"/>
      <c r="I110" s="224"/>
    </row>
    <row r="111" spans="1:9" ht="45" customHeight="1">
      <c r="A111" s="223" t="s">
        <v>18</v>
      </c>
      <c r="B111" s="223"/>
      <c r="C111" s="223"/>
      <c r="D111" s="223"/>
      <c r="E111" s="223"/>
      <c r="F111" s="223"/>
      <c r="G111" s="223"/>
      <c r="H111" s="223"/>
      <c r="I111" s="223"/>
    </row>
    <row r="112" spans="1:9" ht="30" customHeight="1">
      <c r="A112" s="223" t="s">
        <v>19</v>
      </c>
      <c r="B112" s="223"/>
      <c r="C112" s="223"/>
      <c r="D112" s="223"/>
      <c r="E112" s="223"/>
      <c r="F112" s="223"/>
      <c r="G112" s="223"/>
      <c r="H112" s="223"/>
      <c r="I112" s="223"/>
    </row>
    <row r="113" spans="1:9" ht="30" customHeight="1">
      <c r="A113" s="223" t="s">
        <v>24</v>
      </c>
      <c r="B113" s="223"/>
      <c r="C113" s="223"/>
      <c r="D113" s="223"/>
      <c r="E113" s="223"/>
      <c r="F113" s="223"/>
      <c r="G113" s="223"/>
      <c r="H113" s="223"/>
      <c r="I113" s="223"/>
    </row>
    <row r="114" spans="1:9" ht="15.75">
      <c r="A114" s="223" t="s">
        <v>23</v>
      </c>
      <c r="B114" s="223"/>
      <c r="C114" s="223"/>
      <c r="D114" s="223"/>
      <c r="E114" s="223"/>
      <c r="F114" s="223"/>
      <c r="G114" s="223"/>
      <c r="H114" s="223"/>
      <c r="I114" s="223"/>
    </row>
  </sheetData>
  <autoFilter ref="I12:I62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94:I94"/>
    <mergeCell ref="B95:G95"/>
    <mergeCell ref="B96:G96"/>
    <mergeCell ref="A98:I98"/>
    <mergeCell ref="A99:I99"/>
    <mergeCell ref="A100:I100"/>
    <mergeCell ref="A15:I15"/>
    <mergeCell ref="A29:I29"/>
    <mergeCell ref="A47:I47"/>
    <mergeCell ref="A58:I5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126</v>
      </c>
      <c r="I1" s="40"/>
      <c r="J1" s="1"/>
      <c r="K1" s="1"/>
      <c r="L1" s="1"/>
      <c r="M1" s="1"/>
    </row>
    <row r="2" spans="1:13" ht="15.75" customHeight="1">
      <c r="A2" s="42" t="s">
        <v>84</v>
      </c>
      <c r="J2" s="2"/>
      <c r="K2" s="2"/>
      <c r="L2" s="2"/>
      <c r="M2" s="2"/>
    </row>
    <row r="3" spans="1:13" ht="15.75" customHeight="1">
      <c r="A3" s="230" t="s">
        <v>306</v>
      </c>
      <c r="B3" s="230"/>
      <c r="C3" s="230"/>
      <c r="D3" s="230"/>
      <c r="E3" s="230"/>
      <c r="F3" s="230"/>
      <c r="G3" s="230"/>
      <c r="H3" s="230"/>
      <c r="I3" s="230"/>
      <c r="J3" s="3"/>
      <c r="K3" s="3"/>
      <c r="L3" s="3"/>
    </row>
    <row r="4" spans="1:13" ht="31.5" customHeight="1">
      <c r="A4" s="231" t="s">
        <v>227</v>
      </c>
      <c r="B4" s="231"/>
      <c r="C4" s="231"/>
      <c r="D4" s="231"/>
      <c r="E4" s="231"/>
      <c r="F4" s="231"/>
      <c r="G4" s="231"/>
      <c r="H4" s="231"/>
      <c r="I4" s="231"/>
    </row>
    <row r="5" spans="1:13" ht="15.75" customHeight="1">
      <c r="A5" s="230" t="s">
        <v>115</v>
      </c>
      <c r="B5" s="232"/>
      <c r="C5" s="232"/>
      <c r="D5" s="232"/>
      <c r="E5" s="232"/>
      <c r="F5" s="232"/>
      <c r="G5" s="232"/>
      <c r="H5" s="232"/>
      <c r="I5" s="232"/>
      <c r="J5" s="2"/>
      <c r="K5" s="2"/>
      <c r="L5" s="2"/>
      <c r="M5" s="2"/>
    </row>
    <row r="6" spans="1:13" ht="15.75" customHeight="1">
      <c r="A6" s="2"/>
      <c r="B6" s="202"/>
      <c r="C6" s="202"/>
      <c r="D6" s="202"/>
      <c r="E6" s="202"/>
      <c r="F6" s="202"/>
      <c r="G6" s="202"/>
      <c r="H6" s="202"/>
      <c r="I6" s="51">
        <v>42643</v>
      </c>
      <c r="J6" s="2"/>
      <c r="K6" s="2"/>
      <c r="L6" s="2"/>
      <c r="M6" s="2"/>
    </row>
    <row r="7" spans="1:13" ht="15.75" customHeight="1">
      <c r="B7" s="203"/>
      <c r="C7" s="203"/>
      <c r="D7" s="20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9" t="s">
        <v>248</v>
      </c>
      <c r="B8" s="209"/>
      <c r="C8" s="209"/>
      <c r="D8" s="209"/>
      <c r="E8" s="209"/>
      <c r="F8" s="209"/>
      <c r="G8" s="209"/>
      <c r="H8" s="209"/>
      <c r="I8" s="20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0" t="s">
        <v>249</v>
      </c>
      <c r="B10" s="210"/>
      <c r="C10" s="210"/>
      <c r="D10" s="210"/>
      <c r="E10" s="210"/>
      <c r="F10" s="210"/>
      <c r="G10" s="210"/>
      <c r="H10" s="210"/>
      <c r="I10" s="210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3" t="s">
        <v>78</v>
      </c>
      <c r="B14" s="233"/>
      <c r="C14" s="233"/>
      <c r="D14" s="233"/>
      <c r="E14" s="233"/>
      <c r="F14" s="233"/>
      <c r="G14" s="233"/>
      <c r="H14" s="233"/>
      <c r="I14" s="233"/>
      <c r="J14" s="8"/>
      <c r="K14" s="8"/>
      <c r="L14" s="8"/>
      <c r="M14" s="8"/>
    </row>
    <row r="15" spans="1:13" ht="15.75" customHeight="1">
      <c r="A15" s="234" t="s">
        <v>4</v>
      </c>
      <c r="B15" s="234"/>
      <c r="C15" s="234"/>
      <c r="D15" s="234"/>
      <c r="E15" s="234"/>
      <c r="F15" s="234"/>
      <c r="G15" s="234"/>
      <c r="H15" s="234"/>
      <c r="I15" s="234"/>
      <c r="J15" s="8"/>
      <c r="K15" s="8"/>
      <c r="L15" s="8"/>
      <c r="M15" s="8"/>
    </row>
    <row r="16" spans="1:13" ht="15" customHeight="1">
      <c r="A16" s="46">
        <v>1</v>
      </c>
      <c r="B16" s="247" t="s">
        <v>128</v>
      </c>
      <c r="C16" s="248" t="s">
        <v>192</v>
      </c>
      <c r="D16" s="247" t="s">
        <v>193</v>
      </c>
      <c r="E16" s="249">
        <v>59.96</v>
      </c>
      <c r="F16" s="250">
        <f>SUM(E16*156/100)</f>
        <v>93.537599999999998</v>
      </c>
      <c r="G16" s="250">
        <v>175.38</v>
      </c>
      <c r="H16" s="251">
        <f t="shared" ref="H16:H26" si="0">SUM(F16*G16/1000)</f>
        <v>16.404624288000001</v>
      </c>
      <c r="I16" s="16">
        <f>F16/12*G16</f>
        <v>1367.0520239999998</v>
      </c>
      <c r="J16" s="8"/>
      <c r="K16" s="8"/>
      <c r="L16" s="8"/>
      <c r="M16" s="8"/>
    </row>
    <row r="17" spans="1:13" ht="15" customHeight="1">
      <c r="A17" s="46">
        <v>2</v>
      </c>
      <c r="B17" s="247" t="s">
        <v>149</v>
      </c>
      <c r="C17" s="248" t="s">
        <v>192</v>
      </c>
      <c r="D17" s="247" t="s">
        <v>194</v>
      </c>
      <c r="E17" s="249">
        <v>239.84</v>
      </c>
      <c r="F17" s="250">
        <f>SUM(E17*104/100)</f>
        <v>249.43360000000001</v>
      </c>
      <c r="G17" s="250">
        <v>175.38</v>
      </c>
      <c r="H17" s="251">
        <f t="shared" si="0"/>
        <v>43.745664768000005</v>
      </c>
      <c r="I17" s="16">
        <f>F17/12*G17</f>
        <v>3645.4720640000005</v>
      </c>
      <c r="J17" s="31"/>
      <c r="K17" s="8"/>
      <c r="L17" s="8"/>
      <c r="M17" s="8"/>
    </row>
    <row r="18" spans="1:13" ht="15" customHeight="1">
      <c r="A18" s="46">
        <v>3</v>
      </c>
      <c r="B18" s="247" t="s">
        <v>150</v>
      </c>
      <c r="C18" s="248" t="s">
        <v>192</v>
      </c>
      <c r="D18" s="247" t="s">
        <v>195</v>
      </c>
      <c r="E18" s="249">
        <f>SUM(E16+E17)</f>
        <v>299.8</v>
      </c>
      <c r="F18" s="250">
        <f>SUM(E18*24/100)</f>
        <v>71.952000000000012</v>
      </c>
      <c r="G18" s="250">
        <v>504.5</v>
      </c>
      <c r="H18" s="251">
        <f t="shared" si="0"/>
        <v>36.29978400000001</v>
      </c>
      <c r="I18" s="16">
        <f>F18/12*G18</f>
        <v>3024.9820000000009</v>
      </c>
      <c r="J18" s="31"/>
      <c r="K18" s="8"/>
      <c r="L18" s="8"/>
      <c r="M18" s="8"/>
    </row>
    <row r="19" spans="1:13" ht="15" hidden="1" customHeight="1">
      <c r="A19" s="46"/>
      <c r="B19" s="247" t="s">
        <v>196</v>
      </c>
      <c r="C19" s="248" t="s">
        <v>197</v>
      </c>
      <c r="D19" s="247" t="s">
        <v>198</v>
      </c>
      <c r="E19" s="249">
        <v>40.799999999999997</v>
      </c>
      <c r="F19" s="250">
        <f>SUM(E19/10)</f>
        <v>4.08</v>
      </c>
      <c r="G19" s="250">
        <v>170.16</v>
      </c>
      <c r="H19" s="251">
        <f t="shared" si="0"/>
        <v>0.6942528</v>
      </c>
      <c r="I19" s="16">
        <v>0</v>
      </c>
      <c r="J19" s="31"/>
      <c r="K19" s="8"/>
      <c r="L19" s="8"/>
      <c r="M19" s="8"/>
    </row>
    <row r="20" spans="1:13" ht="15" hidden="1" customHeight="1">
      <c r="A20" s="46"/>
      <c r="B20" s="247" t="s">
        <v>162</v>
      </c>
      <c r="C20" s="248" t="s">
        <v>192</v>
      </c>
      <c r="D20" s="247" t="s">
        <v>69</v>
      </c>
      <c r="E20" s="249">
        <v>43.2</v>
      </c>
      <c r="F20" s="250">
        <f>SUM(E20/100)</f>
        <v>0.43200000000000005</v>
      </c>
      <c r="G20" s="250">
        <v>217.88</v>
      </c>
      <c r="H20" s="251">
        <f t="shared" si="0"/>
        <v>9.4124159999999998E-2</v>
      </c>
      <c r="I20" s="16">
        <v>0</v>
      </c>
      <c r="J20" s="31"/>
      <c r="K20" s="8"/>
      <c r="L20" s="8"/>
      <c r="M20" s="8"/>
    </row>
    <row r="21" spans="1:13" ht="15" hidden="1" customHeight="1">
      <c r="A21" s="46"/>
      <c r="B21" s="247" t="s">
        <v>163</v>
      </c>
      <c r="C21" s="248" t="s">
        <v>192</v>
      </c>
      <c r="D21" s="247" t="s">
        <v>69</v>
      </c>
      <c r="E21" s="249">
        <v>10.08</v>
      </c>
      <c r="F21" s="250">
        <f>E21/100</f>
        <v>0.1008</v>
      </c>
      <c r="G21" s="250">
        <v>216.12</v>
      </c>
      <c r="H21" s="251">
        <f>SUM(F21*G21)/1000</f>
        <v>2.1784896000000002E-2</v>
      </c>
      <c r="I21" s="16">
        <v>0</v>
      </c>
      <c r="J21" s="31"/>
      <c r="K21" s="8"/>
      <c r="L21" s="8"/>
      <c r="M21" s="8"/>
    </row>
    <row r="22" spans="1:13" ht="15" hidden="1" customHeight="1">
      <c r="A22" s="46"/>
      <c r="B22" s="247" t="s">
        <v>199</v>
      </c>
      <c r="C22" s="248" t="s">
        <v>68</v>
      </c>
      <c r="D22" s="247" t="s">
        <v>198</v>
      </c>
      <c r="E22" s="249">
        <v>403.84</v>
      </c>
      <c r="F22" s="250">
        <f>SUM(E22/100)</f>
        <v>4.0383999999999993</v>
      </c>
      <c r="G22" s="250">
        <v>269.26</v>
      </c>
      <c r="H22" s="251">
        <f t="shared" si="0"/>
        <v>1.0873795839999998</v>
      </c>
      <c r="I22" s="16">
        <v>0</v>
      </c>
      <c r="J22" s="31"/>
      <c r="K22" s="8"/>
      <c r="L22" s="8"/>
      <c r="M22" s="8"/>
    </row>
    <row r="23" spans="1:13" ht="15" hidden="1" customHeight="1">
      <c r="A23" s="46"/>
      <c r="B23" s="247" t="s">
        <v>200</v>
      </c>
      <c r="C23" s="248" t="s">
        <v>68</v>
      </c>
      <c r="D23" s="247" t="s">
        <v>198</v>
      </c>
      <c r="E23" s="252">
        <v>70.56</v>
      </c>
      <c r="F23" s="250">
        <f>SUM(E23/100)</f>
        <v>0.7056</v>
      </c>
      <c r="G23" s="250">
        <v>44.29</v>
      </c>
      <c r="H23" s="251">
        <f t="shared" si="0"/>
        <v>3.1251024000000002E-2</v>
      </c>
      <c r="I23" s="16">
        <v>0</v>
      </c>
      <c r="J23" s="31"/>
      <c r="K23" s="8"/>
      <c r="L23" s="8"/>
      <c r="M23" s="8"/>
    </row>
    <row r="24" spans="1:13" ht="15" hidden="1" customHeight="1">
      <c r="A24" s="46"/>
      <c r="B24" s="247" t="s">
        <v>174</v>
      </c>
      <c r="C24" s="248" t="s">
        <v>68</v>
      </c>
      <c r="D24" s="247" t="s">
        <v>198</v>
      </c>
      <c r="E24" s="23">
        <v>14.4</v>
      </c>
      <c r="F24" s="253">
        <v>0.14000000000000001</v>
      </c>
      <c r="G24" s="250">
        <v>398.72</v>
      </c>
      <c r="H24" s="251">
        <f>F24*G24/1000</f>
        <v>5.5820800000000011E-2</v>
      </c>
      <c r="I24" s="16">
        <v>0</v>
      </c>
      <c r="J24" s="31"/>
      <c r="K24" s="8"/>
      <c r="L24" s="8"/>
      <c r="M24" s="8"/>
    </row>
    <row r="25" spans="1:13" ht="15" hidden="1" customHeight="1">
      <c r="A25" s="46"/>
      <c r="B25" s="247" t="s">
        <v>201</v>
      </c>
      <c r="C25" s="248" t="s">
        <v>68</v>
      </c>
      <c r="D25" s="247" t="s">
        <v>198</v>
      </c>
      <c r="E25" s="252">
        <v>31.5</v>
      </c>
      <c r="F25" s="250">
        <v>0.32</v>
      </c>
      <c r="G25" s="250">
        <v>216.12</v>
      </c>
      <c r="H25" s="251">
        <f>F25*G25/1000</f>
        <v>6.9158399999999995E-2</v>
      </c>
      <c r="I25" s="16">
        <v>0</v>
      </c>
      <c r="J25" s="31"/>
      <c r="K25" s="8"/>
      <c r="L25" s="8"/>
      <c r="M25" s="8"/>
    </row>
    <row r="26" spans="1:13" ht="15" hidden="1" customHeight="1">
      <c r="A26" s="46"/>
      <c r="B26" s="247" t="s">
        <v>175</v>
      </c>
      <c r="C26" s="248" t="s">
        <v>68</v>
      </c>
      <c r="D26" s="247" t="s">
        <v>198</v>
      </c>
      <c r="E26" s="249">
        <v>28.22</v>
      </c>
      <c r="F26" s="250">
        <f>SUM(E26/100)</f>
        <v>0.28220000000000001</v>
      </c>
      <c r="G26" s="250">
        <v>520.79999999999995</v>
      </c>
      <c r="H26" s="251">
        <f t="shared" si="0"/>
        <v>0.14696975999999998</v>
      </c>
      <c r="I26" s="16">
        <v>0</v>
      </c>
      <c r="J26" s="31"/>
      <c r="K26" s="8"/>
      <c r="L26" s="8"/>
      <c r="M26" s="8"/>
    </row>
    <row r="27" spans="1:13" ht="15" customHeight="1">
      <c r="A27" s="46">
        <v>4</v>
      </c>
      <c r="B27" s="247" t="s">
        <v>86</v>
      </c>
      <c r="C27" s="248" t="s">
        <v>40</v>
      </c>
      <c r="D27" s="247" t="s">
        <v>257</v>
      </c>
      <c r="E27" s="249">
        <v>0.1</v>
      </c>
      <c r="F27" s="250">
        <f>SUM(E27*365)</f>
        <v>36.5</v>
      </c>
      <c r="G27" s="250">
        <v>147.03</v>
      </c>
      <c r="H27" s="251">
        <f>SUM(F27*G27/1000)</f>
        <v>5.3665950000000002</v>
      </c>
      <c r="I27" s="16">
        <f>F27/12*G27</f>
        <v>447.21625</v>
      </c>
      <c r="J27" s="32"/>
    </row>
    <row r="28" spans="1:13" ht="15" customHeight="1">
      <c r="A28" s="46">
        <v>5</v>
      </c>
      <c r="B28" s="257" t="s">
        <v>26</v>
      </c>
      <c r="C28" s="248" t="s">
        <v>27</v>
      </c>
      <c r="D28" s="257" t="s">
        <v>257</v>
      </c>
      <c r="E28" s="249">
        <v>3031.3</v>
      </c>
      <c r="F28" s="250">
        <f>SUM(E28*12)</f>
        <v>36375.600000000006</v>
      </c>
      <c r="G28" s="250">
        <v>5.47</v>
      </c>
      <c r="H28" s="251">
        <f>SUM(F28*G28/1000)</f>
        <v>198.97453200000004</v>
      </c>
      <c r="I28" s="16">
        <f>F28/12*G28</f>
        <v>16581.211000000003</v>
      </c>
      <c r="J28" s="32"/>
    </row>
    <row r="29" spans="1:13" ht="15.75" customHeight="1">
      <c r="A29" s="234" t="s">
        <v>120</v>
      </c>
      <c r="B29" s="234"/>
      <c r="C29" s="234"/>
      <c r="D29" s="234"/>
      <c r="E29" s="234"/>
      <c r="F29" s="234"/>
      <c r="G29" s="234"/>
      <c r="H29" s="234"/>
      <c r="I29" s="234"/>
      <c r="J29" s="31"/>
      <c r="K29" s="8"/>
      <c r="L29" s="8"/>
      <c r="M29" s="8"/>
    </row>
    <row r="30" spans="1:13" ht="15" customHeight="1">
      <c r="A30" s="46"/>
      <c r="B30" s="270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" customHeight="1">
      <c r="A31" s="46">
        <v>6</v>
      </c>
      <c r="B31" s="247" t="s">
        <v>202</v>
      </c>
      <c r="C31" s="248" t="s">
        <v>203</v>
      </c>
      <c r="D31" s="247" t="s">
        <v>204</v>
      </c>
      <c r="E31" s="250">
        <v>709.53</v>
      </c>
      <c r="F31" s="250">
        <f>SUM(E31*52/1000)</f>
        <v>36.895559999999996</v>
      </c>
      <c r="G31" s="250">
        <v>155.88999999999999</v>
      </c>
      <c r="H31" s="251">
        <f t="shared" ref="H31:H37" si="1">SUM(F31*G31/1000)</f>
        <v>5.7516488483999995</v>
      </c>
      <c r="I31" s="16">
        <f>F31/6*G31</f>
        <v>958.60814139999979</v>
      </c>
      <c r="J31" s="31"/>
      <c r="K31" s="8"/>
      <c r="L31" s="8"/>
      <c r="M31" s="8"/>
    </row>
    <row r="32" spans="1:13" ht="31.5" customHeight="1">
      <c r="A32" s="46">
        <v>7</v>
      </c>
      <c r="B32" s="247" t="s">
        <v>279</v>
      </c>
      <c r="C32" s="248" t="s">
        <v>203</v>
      </c>
      <c r="D32" s="247" t="s">
        <v>206</v>
      </c>
      <c r="E32" s="250">
        <v>68</v>
      </c>
      <c r="F32" s="250">
        <f>SUM(E32*78/1000)</f>
        <v>5.3040000000000003</v>
      </c>
      <c r="G32" s="250">
        <v>258.63</v>
      </c>
      <c r="H32" s="251">
        <f t="shared" si="1"/>
        <v>1.3717735199999999</v>
      </c>
      <c r="I32" s="16">
        <f t="shared" ref="I32:I35" si="2">F32/6*G32</f>
        <v>228.62891999999999</v>
      </c>
      <c r="J32" s="31"/>
      <c r="K32" s="8"/>
      <c r="L32" s="8"/>
      <c r="M32" s="8"/>
    </row>
    <row r="33" spans="1:14" ht="15" hidden="1" customHeight="1">
      <c r="A33" s="46">
        <v>16</v>
      </c>
      <c r="B33" s="247" t="s">
        <v>33</v>
      </c>
      <c r="C33" s="248" t="s">
        <v>203</v>
      </c>
      <c r="D33" s="247" t="s">
        <v>69</v>
      </c>
      <c r="E33" s="250">
        <v>709.53</v>
      </c>
      <c r="F33" s="250">
        <f>SUM(E33/1000)</f>
        <v>0.70952999999999999</v>
      </c>
      <c r="G33" s="250">
        <v>3020.33</v>
      </c>
      <c r="H33" s="251">
        <f t="shared" si="1"/>
        <v>2.1430147448999999</v>
      </c>
      <c r="I33" s="16">
        <f>F33*G33</f>
        <v>2143.0147449000001</v>
      </c>
      <c r="J33" s="31"/>
      <c r="K33" s="8"/>
      <c r="L33" s="8"/>
      <c r="M33" s="8"/>
    </row>
    <row r="34" spans="1:14" ht="15" customHeight="1">
      <c r="A34" s="46">
        <v>8</v>
      </c>
      <c r="B34" s="247" t="s">
        <v>255</v>
      </c>
      <c r="C34" s="248" t="s">
        <v>51</v>
      </c>
      <c r="D34" s="247" t="s">
        <v>85</v>
      </c>
      <c r="E34" s="250">
        <v>4</v>
      </c>
      <c r="F34" s="250">
        <v>6.2</v>
      </c>
      <c r="G34" s="250">
        <v>1302.02</v>
      </c>
      <c r="H34" s="251">
        <v>8.0730000000000004</v>
      </c>
      <c r="I34" s="16">
        <f t="shared" si="2"/>
        <v>1345.4206666666669</v>
      </c>
      <c r="J34" s="31"/>
      <c r="K34" s="8"/>
      <c r="L34" s="8"/>
      <c r="M34" s="8"/>
    </row>
    <row r="35" spans="1:14" ht="15" customHeight="1">
      <c r="A35" s="46">
        <v>9</v>
      </c>
      <c r="B35" s="247" t="s">
        <v>256</v>
      </c>
      <c r="C35" s="248" t="s">
        <v>37</v>
      </c>
      <c r="D35" s="247" t="s">
        <v>85</v>
      </c>
      <c r="E35" s="256">
        <v>0.33333333333333331</v>
      </c>
      <c r="F35" s="250">
        <f>155/3</f>
        <v>51.666666666666664</v>
      </c>
      <c r="G35" s="250">
        <v>56.69</v>
      </c>
      <c r="H35" s="251">
        <f>SUM(G35*155/3/1000)</f>
        <v>2.9289833333333331</v>
      </c>
      <c r="I35" s="16">
        <f t="shared" si="2"/>
        <v>488.16388888888883</v>
      </c>
      <c r="J35" s="31"/>
      <c r="K35" s="8"/>
    </row>
    <row r="36" spans="1:14" ht="15" hidden="1" customHeight="1">
      <c r="A36" s="46"/>
      <c r="B36" s="247" t="s">
        <v>87</v>
      </c>
      <c r="C36" s="248" t="s">
        <v>40</v>
      </c>
      <c r="D36" s="247" t="s">
        <v>89</v>
      </c>
      <c r="E36" s="249"/>
      <c r="F36" s="250">
        <v>3</v>
      </c>
      <c r="G36" s="250">
        <v>191.32</v>
      </c>
      <c r="H36" s="251">
        <f t="shared" si="1"/>
        <v>0.57396000000000003</v>
      </c>
      <c r="I36" s="16">
        <v>0</v>
      </c>
      <c r="J36" s="32"/>
    </row>
    <row r="37" spans="1:14" ht="15" hidden="1" customHeight="1">
      <c r="A37" s="46"/>
      <c r="B37" s="247" t="s">
        <v>88</v>
      </c>
      <c r="C37" s="248" t="s">
        <v>39</v>
      </c>
      <c r="D37" s="247" t="s">
        <v>89</v>
      </c>
      <c r="E37" s="249"/>
      <c r="F37" s="250">
        <v>2</v>
      </c>
      <c r="G37" s="250">
        <v>1136.32</v>
      </c>
      <c r="H37" s="251">
        <f t="shared" si="1"/>
        <v>2.27264</v>
      </c>
      <c r="I37" s="16">
        <v>0</v>
      </c>
      <c r="J37" s="32"/>
    </row>
    <row r="38" spans="1:14" ht="15" hidden="1" customHeight="1">
      <c r="A38" s="46"/>
      <c r="B38" s="270" t="s">
        <v>5</v>
      </c>
      <c r="C38" s="248"/>
      <c r="D38" s="247"/>
      <c r="E38" s="249"/>
      <c r="F38" s="250"/>
      <c r="G38" s="250"/>
      <c r="H38" s="251" t="s">
        <v>224</v>
      </c>
      <c r="I38" s="16"/>
      <c r="J38" s="32"/>
    </row>
    <row r="39" spans="1:14" ht="15" hidden="1" customHeight="1">
      <c r="A39" s="46">
        <v>6</v>
      </c>
      <c r="B39" s="247" t="s">
        <v>31</v>
      </c>
      <c r="C39" s="248" t="s">
        <v>39</v>
      </c>
      <c r="D39" s="247"/>
      <c r="E39" s="249"/>
      <c r="F39" s="250">
        <v>6</v>
      </c>
      <c r="G39" s="250">
        <v>1527.22</v>
      </c>
      <c r="H39" s="251">
        <f t="shared" ref="H39:H46" si="3">SUM(F39*G39/1000)</f>
        <v>9.1633200000000006</v>
      </c>
      <c r="I39" s="16">
        <f>F39/6*G39</f>
        <v>1527.22</v>
      </c>
      <c r="J39" s="32"/>
    </row>
    <row r="40" spans="1:14" ht="15" hidden="1" customHeight="1">
      <c r="A40" s="46">
        <v>7</v>
      </c>
      <c r="B40" s="247" t="s">
        <v>180</v>
      </c>
      <c r="C40" s="248" t="s">
        <v>35</v>
      </c>
      <c r="D40" s="247" t="s">
        <v>229</v>
      </c>
      <c r="E40" s="250">
        <v>429.8</v>
      </c>
      <c r="F40" s="250">
        <f>SUM(E40*12/1000)</f>
        <v>5.1576000000000004</v>
      </c>
      <c r="G40" s="250">
        <v>2102.71</v>
      </c>
      <c r="H40" s="251">
        <f t="shared" si="3"/>
        <v>10.844937096000001</v>
      </c>
      <c r="I40" s="16">
        <f>F40/6*G40</f>
        <v>1807.4895160000001</v>
      </c>
      <c r="J40" s="32"/>
      <c r="L40" s="25"/>
      <c r="M40" s="26"/>
      <c r="N40" s="27"/>
    </row>
    <row r="41" spans="1:14" ht="15" hidden="1" customHeight="1">
      <c r="A41" s="46">
        <v>8</v>
      </c>
      <c r="B41" s="247" t="s">
        <v>230</v>
      </c>
      <c r="C41" s="248" t="s">
        <v>35</v>
      </c>
      <c r="D41" s="247" t="s">
        <v>209</v>
      </c>
      <c r="E41" s="250">
        <v>68</v>
      </c>
      <c r="F41" s="250">
        <f>SUM(E41*30/1000)</f>
        <v>2.04</v>
      </c>
      <c r="G41" s="250">
        <v>2102.71</v>
      </c>
      <c r="H41" s="251">
        <f>SUM(F41*G41/1000)</f>
        <v>4.2895284</v>
      </c>
      <c r="I41" s="16">
        <f>F41/6*G41</f>
        <v>714.92140000000006</v>
      </c>
      <c r="J41" s="32"/>
      <c r="L41" s="25"/>
      <c r="M41" s="26"/>
      <c r="N41" s="27"/>
    </row>
    <row r="42" spans="1:14" ht="15" hidden="1" customHeight="1">
      <c r="A42" s="46"/>
      <c r="B42" s="247" t="s">
        <v>154</v>
      </c>
      <c r="C42" s="248" t="s">
        <v>210</v>
      </c>
      <c r="D42" s="247" t="s">
        <v>258</v>
      </c>
      <c r="E42" s="249"/>
      <c r="F42" s="250">
        <v>50</v>
      </c>
      <c r="G42" s="250">
        <v>199.44</v>
      </c>
      <c r="H42" s="251">
        <f>SUM(F42*G42/1000)</f>
        <v>9.9719999999999995</v>
      </c>
      <c r="I42" s="16">
        <v>0</v>
      </c>
      <c r="J42" s="32"/>
      <c r="L42" s="25"/>
      <c r="M42" s="26"/>
      <c r="N42" s="27"/>
    </row>
    <row r="43" spans="1:14" ht="15" hidden="1" customHeight="1">
      <c r="A43" s="46">
        <v>9</v>
      </c>
      <c r="B43" s="247" t="s">
        <v>90</v>
      </c>
      <c r="C43" s="248" t="s">
        <v>35</v>
      </c>
      <c r="D43" s="247" t="s">
        <v>211</v>
      </c>
      <c r="E43" s="250">
        <v>68</v>
      </c>
      <c r="F43" s="250">
        <f>SUM(E43*155/1000)</f>
        <v>10.54</v>
      </c>
      <c r="G43" s="250">
        <v>350.75</v>
      </c>
      <c r="H43" s="251">
        <f t="shared" si="3"/>
        <v>3.6969049999999997</v>
      </c>
      <c r="I43" s="16">
        <f>F43/6*G43</f>
        <v>616.15083333333325</v>
      </c>
      <c r="J43" s="32"/>
      <c r="L43" s="25"/>
      <c r="M43" s="26"/>
      <c r="N43" s="27"/>
    </row>
    <row r="44" spans="1:14" ht="47.25" hidden="1" customHeight="1">
      <c r="A44" s="46">
        <v>10</v>
      </c>
      <c r="B44" s="247" t="s">
        <v>117</v>
      </c>
      <c r="C44" s="248" t="s">
        <v>203</v>
      </c>
      <c r="D44" s="247" t="s">
        <v>231</v>
      </c>
      <c r="E44" s="250">
        <v>68</v>
      </c>
      <c r="F44" s="250">
        <f>SUM(E44*24/1000)</f>
        <v>1.6319999999999999</v>
      </c>
      <c r="G44" s="250">
        <v>5803.28</v>
      </c>
      <c r="H44" s="251">
        <f t="shared" si="3"/>
        <v>9.4709529599999982</v>
      </c>
      <c r="I44" s="16">
        <f>F44/6*G44</f>
        <v>1578.4921599999998</v>
      </c>
      <c r="J44" s="32"/>
      <c r="L44" s="25"/>
      <c r="M44" s="26"/>
      <c r="N44" s="27"/>
    </row>
    <row r="45" spans="1:14" ht="15" hidden="1" customHeight="1">
      <c r="A45" s="46">
        <v>11</v>
      </c>
      <c r="B45" s="247" t="s">
        <v>212</v>
      </c>
      <c r="C45" s="248" t="s">
        <v>203</v>
      </c>
      <c r="D45" s="247" t="s">
        <v>91</v>
      </c>
      <c r="E45" s="250">
        <v>68</v>
      </c>
      <c r="F45" s="250">
        <f>SUM(E45*45/1000)</f>
        <v>3.06</v>
      </c>
      <c r="G45" s="250">
        <v>428.7</v>
      </c>
      <c r="H45" s="251">
        <f t="shared" si="3"/>
        <v>1.3118219999999998</v>
      </c>
      <c r="I45" s="16">
        <f>F45/6*G45</f>
        <v>218.637</v>
      </c>
      <c r="J45" s="32"/>
      <c r="L45" s="25"/>
      <c r="M45" s="26"/>
      <c r="N45" s="27"/>
    </row>
    <row r="46" spans="1:14" ht="15" hidden="1" customHeight="1">
      <c r="A46" s="46">
        <v>12</v>
      </c>
      <c r="B46" s="247" t="s">
        <v>92</v>
      </c>
      <c r="C46" s="248" t="s">
        <v>40</v>
      </c>
      <c r="D46" s="247"/>
      <c r="E46" s="249"/>
      <c r="F46" s="250">
        <v>0.9</v>
      </c>
      <c r="G46" s="250">
        <v>798</v>
      </c>
      <c r="H46" s="251">
        <f t="shared" si="3"/>
        <v>0.71820000000000006</v>
      </c>
      <c r="I46" s="16">
        <f>F46/6*G46</f>
        <v>119.69999999999999</v>
      </c>
      <c r="J46" s="32"/>
      <c r="L46" s="25"/>
      <c r="M46" s="26"/>
      <c r="N46" s="27"/>
    </row>
    <row r="47" spans="1:14" ht="15.75" customHeight="1">
      <c r="A47" s="235" t="s">
        <v>250</v>
      </c>
      <c r="B47" s="236"/>
      <c r="C47" s="236"/>
      <c r="D47" s="236"/>
      <c r="E47" s="236"/>
      <c r="F47" s="236"/>
      <c r="G47" s="236"/>
      <c r="H47" s="236"/>
      <c r="I47" s="237"/>
      <c r="J47" s="32"/>
      <c r="L47" s="25"/>
      <c r="M47" s="26"/>
      <c r="N47" s="27"/>
    </row>
    <row r="48" spans="1:14" ht="15" customHeight="1">
      <c r="A48" s="46">
        <v>10</v>
      </c>
      <c r="B48" s="247" t="s">
        <v>232</v>
      </c>
      <c r="C48" s="248" t="s">
        <v>203</v>
      </c>
      <c r="D48" s="247" t="s">
        <v>55</v>
      </c>
      <c r="E48" s="249">
        <v>1061.3</v>
      </c>
      <c r="F48" s="250">
        <f>SUM(E48*2/1000)</f>
        <v>2.1225999999999998</v>
      </c>
      <c r="G48" s="16">
        <v>809.74</v>
      </c>
      <c r="H48" s="251">
        <f t="shared" ref="H48:H57" si="4">SUM(F48*G48/1000)</f>
        <v>1.7187541239999997</v>
      </c>
      <c r="I48" s="16">
        <f t="shared" ref="I48:I51" si="5">F48/2*G48</f>
        <v>859.37706199999991</v>
      </c>
      <c r="J48" s="32"/>
      <c r="L48" s="25"/>
      <c r="M48" s="26"/>
      <c r="N48" s="27"/>
    </row>
    <row r="49" spans="1:22" ht="15" customHeight="1">
      <c r="A49" s="46">
        <v>11</v>
      </c>
      <c r="B49" s="247" t="s">
        <v>44</v>
      </c>
      <c r="C49" s="248" t="s">
        <v>203</v>
      </c>
      <c r="D49" s="247" t="s">
        <v>55</v>
      </c>
      <c r="E49" s="249">
        <v>52</v>
      </c>
      <c r="F49" s="250">
        <f>SUM(E49*2/1000)</f>
        <v>0.104</v>
      </c>
      <c r="G49" s="16">
        <v>579.48</v>
      </c>
      <c r="H49" s="251">
        <f t="shared" si="4"/>
        <v>6.0265920000000001E-2</v>
      </c>
      <c r="I49" s="16">
        <f t="shared" si="5"/>
        <v>30.132960000000001</v>
      </c>
      <c r="J49" s="32"/>
      <c r="L49" s="25"/>
      <c r="M49" s="26"/>
      <c r="N49" s="27"/>
    </row>
    <row r="50" spans="1:22" ht="15" customHeight="1">
      <c r="A50" s="46">
        <v>12</v>
      </c>
      <c r="B50" s="247" t="s">
        <v>45</v>
      </c>
      <c r="C50" s="248" t="s">
        <v>203</v>
      </c>
      <c r="D50" s="247" t="s">
        <v>55</v>
      </c>
      <c r="E50" s="249">
        <v>1238.8</v>
      </c>
      <c r="F50" s="250">
        <f>SUM(E50*2/1000)</f>
        <v>2.4775999999999998</v>
      </c>
      <c r="G50" s="16">
        <v>579.48</v>
      </c>
      <c r="H50" s="251">
        <f t="shared" si="4"/>
        <v>1.4357196480000001</v>
      </c>
      <c r="I50" s="16">
        <f t="shared" si="5"/>
        <v>717.859824</v>
      </c>
      <c r="J50" s="32"/>
      <c r="L50" s="25"/>
      <c r="M50" s="26"/>
      <c r="N50" s="27"/>
    </row>
    <row r="51" spans="1:22" ht="15" customHeight="1">
      <c r="A51" s="46">
        <v>13</v>
      </c>
      <c r="B51" s="247" t="s">
        <v>46</v>
      </c>
      <c r="C51" s="248" t="s">
        <v>203</v>
      </c>
      <c r="D51" s="247" t="s">
        <v>55</v>
      </c>
      <c r="E51" s="249">
        <v>1794.01</v>
      </c>
      <c r="F51" s="250">
        <f>SUM(E51*2/1000)</f>
        <v>3.5880199999999998</v>
      </c>
      <c r="G51" s="16">
        <v>606.77</v>
      </c>
      <c r="H51" s="251">
        <f t="shared" si="4"/>
        <v>2.1771028954</v>
      </c>
      <c r="I51" s="16">
        <f t="shared" si="5"/>
        <v>1088.5514476999999</v>
      </c>
      <c r="J51" s="32"/>
      <c r="L51" s="25"/>
      <c r="M51" s="26"/>
      <c r="N51" s="27"/>
    </row>
    <row r="52" spans="1:22" ht="15" customHeight="1">
      <c r="A52" s="46">
        <v>14</v>
      </c>
      <c r="B52" s="247" t="s">
        <v>42</v>
      </c>
      <c r="C52" s="248" t="s">
        <v>43</v>
      </c>
      <c r="D52" s="247" t="s">
        <v>259</v>
      </c>
      <c r="E52" s="249">
        <v>85.78</v>
      </c>
      <c r="F52" s="250">
        <f>SUM(E52*2/100)</f>
        <v>1.7156</v>
      </c>
      <c r="G52" s="16">
        <v>72.81</v>
      </c>
      <c r="H52" s="251">
        <f t="shared" si="4"/>
        <v>0.124912836</v>
      </c>
      <c r="I52" s="16">
        <f>F52/2*G52</f>
        <v>62.456417999999999</v>
      </c>
      <c r="J52" s="32"/>
      <c r="L52" s="25"/>
      <c r="M52" s="26"/>
      <c r="N52" s="27"/>
    </row>
    <row r="53" spans="1:22" ht="15" customHeight="1">
      <c r="A53" s="46">
        <v>15</v>
      </c>
      <c r="B53" s="247" t="s">
        <v>75</v>
      </c>
      <c r="C53" s="248" t="s">
        <v>203</v>
      </c>
      <c r="D53" s="247" t="s">
        <v>280</v>
      </c>
      <c r="E53" s="249">
        <v>884</v>
      </c>
      <c r="F53" s="250">
        <f>SUM(E53*5/1000)</f>
        <v>4.42</v>
      </c>
      <c r="G53" s="16">
        <v>1213.55</v>
      </c>
      <c r="H53" s="251">
        <f t="shared" si="4"/>
        <v>5.3638909999999997</v>
      </c>
      <c r="I53" s="16">
        <f>F53/5*G53</f>
        <v>1072.7782</v>
      </c>
      <c r="J53" s="32"/>
      <c r="L53" s="25"/>
      <c r="M53" s="26"/>
      <c r="N53" s="27"/>
    </row>
    <row r="54" spans="1:22" ht="31.5" hidden="1" customHeight="1">
      <c r="A54" s="46"/>
      <c r="B54" s="247" t="s">
        <v>214</v>
      </c>
      <c r="C54" s="248" t="s">
        <v>203</v>
      </c>
      <c r="D54" s="247" t="s">
        <v>55</v>
      </c>
      <c r="E54" s="249">
        <v>884</v>
      </c>
      <c r="F54" s="250">
        <f>SUM(E54*2/1000)</f>
        <v>1.768</v>
      </c>
      <c r="G54" s="16">
        <v>1213.55</v>
      </c>
      <c r="H54" s="251">
        <f t="shared" si="4"/>
        <v>2.1455563999999998</v>
      </c>
      <c r="I54" s="16">
        <v>0</v>
      </c>
      <c r="J54" s="32"/>
      <c r="L54" s="25"/>
      <c r="M54" s="26"/>
      <c r="N54" s="27"/>
    </row>
    <row r="55" spans="1:22" ht="31.5" hidden="1" customHeight="1">
      <c r="A55" s="46"/>
      <c r="B55" s="247" t="s">
        <v>215</v>
      </c>
      <c r="C55" s="248" t="s">
        <v>49</v>
      </c>
      <c r="D55" s="247" t="s">
        <v>55</v>
      </c>
      <c r="E55" s="249">
        <v>20</v>
      </c>
      <c r="F55" s="250">
        <f>SUM(E55*2/100)</f>
        <v>0.4</v>
      </c>
      <c r="G55" s="16">
        <v>2730.49</v>
      </c>
      <c r="H55" s="251">
        <f t="shared" si="4"/>
        <v>1.0921959999999999</v>
      </c>
      <c r="I55" s="16">
        <v>0</v>
      </c>
      <c r="J55" s="32"/>
      <c r="L55" s="25"/>
      <c r="M55" s="26"/>
      <c r="N55" s="27"/>
    </row>
    <row r="56" spans="1:22" ht="15" hidden="1" customHeight="1">
      <c r="A56" s="46"/>
      <c r="B56" s="247" t="s">
        <v>50</v>
      </c>
      <c r="C56" s="248" t="s">
        <v>51</v>
      </c>
      <c r="D56" s="247" t="s">
        <v>55</v>
      </c>
      <c r="E56" s="249">
        <v>1</v>
      </c>
      <c r="F56" s="250">
        <v>0.02</v>
      </c>
      <c r="G56" s="16">
        <v>5652.13</v>
      </c>
      <c r="H56" s="251">
        <f t="shared" si="4"/>
        <v>0.11304260000000001</v>
      </c>
      <c r="I56" s="16">
        <v>0</v>
      </c>
      <c r="J56" s="32"/>
      <c r="L56" s="25"/>
      <c r="M56" s="26"/>
      <c r="N56" s="27"/>
    </row>
    <row r="57" spans="1:22" ht="15" hidden="1" customHeight="1">
      <c r="A57" s="46">
        <v>14</v>
      </c>
      <c r="B57" s="247" t="s">
        <v>54</v>
      </c>
      <c r="C57" s="248" t="s">
        <v>37</v>
      </c>
      <c r="D57" s="247" t="s">
        <v>93</v>
      </c>
      <c r="E57" s="249">
        <v>136</v>
      </c>
      <c r="F57" s="250">
        <f>SUM(E57)*3</f>
        <v>408</v>
      </c>
      <c r="G57" s="16">
        <v>65.67</v>
      </c>
      <c r="H57" s="251">
        <f t="shared" si="4"/>
        <v>26.79336</v>
      </c>
      <c r="I57" s="16">
        <f>E57*G57</f>
        <v>8931.1200000000008</v>
      </c>
      <c r="J57" s="32"/>
      <c r="L57" s="25"/>
      <c r="M57" s="26"/>
      <c r="N57" s="27"/>
    </row>
    <row r="58" spans="1:22" ht="15.75" customHeight="1">
      <c r="A58" s="235" t="s">
        <v>251</v>
      </c>
      <c r="B58" s="236"/>
      <c r="C58" s="236"/>
      <c r="D58" s="236"/>
      <c r="E58" s="236"/>
      <c r="F58" s="236"/>
      <c r="G58" s="236"/>
      <c r="H58" s="236"/>
      <c r="I58" s="237"/>
      <c r="J58" s="32"/>
      <c r="L58" s="25"/>
      <c r="M58" s="26"/>
      <c r="N58" s="27"/>
    </row>
    <row r="59" spans="1:22" ht="15" hidden="1" customHeight="1">
      <c r="A59" s="46"/>
      <c r="B59" s="270" t="s">
        <v>56</v>
      </c>
      <c r="C59" s="248"/>
      <c r="D59" s="247"/>
      <c r="E59" s="249"/>
      <c r="F59" s="250"/>
      <c r="G59" s="250"/>
      <c r="H59" s="251"/>
      <c r="I59" s="16"/>
      <c r="J59" s="32"/>
      <c r="L59" s="25"/>
      <c r="M59" s="26"/>
      <c r="N59" s="27"/>
    </row>
    <row r="60" spans="1:22" ht="31.5" hidden="1" customHeight="1">
      <c r="A60" s="46">
        <v>15</v>
      </c>
      <c r="B60" s="247" t="s">
        <v>217</v>
      </c>
      <c r="C60" s="248" t="s">
        <v>167</v>
      </c>
      <c r="D60" s="247" t="s">
        <v>94</v>
      </c>
      <c r="E60" s="249">
        <v>106.13</v>
      </c>
      <c r="F60" s="250">
        <f>E60*6/100</f>
        <v>6.3677999999999999</v>
      </c>
      <c r="G60" s="258">
        <v>1547.28</v>
      </c>
      <c r="H60" s="251">
        <f>F60*G60/1000</f>
        <v>9.8527695839999989</v>
      </c>
      <c r="I60" s="16">
        <f>F60/6*G60</f>
        <v>1642.1282639999999</v>
      </c>
      <c r="J60" s="32"/>
      <c r="L60" s="25"/>
    </row>
    <row r="61" spans="1:22" ht="15" customHeight="1">
      <c r="A61" s="46"/>
      <c r="B61" s="271" t="s">
        <v>57</v>
      </c>
      <c r="C61" s="259"/>
      <c r="D61" s="260"/>
      <c r="E61" s="261"/>
      <c r="F61" s="262"/>
      <c r="G61" s="263"/>
      <c r="H61" s="272"/>
      <c r="I61" s="16"/>
    </row>
    <row r="62" spans="1:22" ht="15" hidden="1" customHeight="1">
      <c r="A62" s="46"/>
      <c r="B62" s="260" t="s">
        <v>58</v>
      </c>
      <c r="C62" s="259" t="s">
        <v>68</v>
      </c>
      <c r="D62" s="260" t="s">
        <v>69</v>
      </c>
      <c r="E62" s="261">
        <v>884</v>
      </c>
      <c r="F62" s="262">
        <f>E62/100</f>
        <v>8.84</v>
      </c>
      <c r="G62" s="250">
        <v>793.61</v>
      </c>
      <c r="H62" s="272">
        <f>G62*F62/1000</f>
        <v>7.0155123999999995</v>
      </c>
      <c r="I62" s="16">
        <v>0</v>
      </c>
    </row>
    <row r="63" spans="1:22" ht="15" customHeight="1">
      <c r="A63" s="46">
        <v>16</v>
      </c>
      <c r="B63" s="260" t="s">
        <v>157</v>
      </c>
      <c r="C63" s="259" t="s">
        <v>29</v>
      </c>
      <c r="D63" s="260"/>
      <c r="E63" s="261">
        <v>176.8</v>
      </c>
      <c r="F63" s="262">
        <f>E63*12</f>
        <v>2121.6000000000004</v>
      </c>
      <c r="G63" s="250">
        <v>2.6</v>
      </c>
      <c r="H63" s="272">
        <f>G63*F63</f>
        <v>5516.1600000000008</v>
      </c>
      <c r="I63" s="16">
        <f>F63/12*G63</f>
        <v>459.68000000000012</v>
      </c>
    </row>
    <row r="64" spans="1:22" ht="15" customHeight="1">
      <c r="A64" s="46"/>
      <c r="B64" s="271" t="s">
        <v>59</v>
      </c>
      <c r="C64" s="259"/>
      <c r="D64" s="260"/>
      <c r="E64" s="261"/>
      <c r="F64" s="262"/>
      <c r="G64" s="250"/>
      <c r="H64" s="272" t="s">
        <v>224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" hidden="1" customHeight="1">
      <c r="A65" s="46"/>
      <c r="B65" s="18" t="s">
        <v>60</v>
      </c>
      <c r="C65" s="20" t="s">
        <v>216</v>
      </c>
      <c r="D65" s="18" t="s">
        <v>89</v>
      </c>
      <c r="E65" s="23">
        <v>20</v>
      </c>
      <c r="F65" s="250">
        <v>20</v>
      </c>
      <c r="G65" s="274">
        <v>222.4</v>
      </c>
      <c r="H65" s="273">
        <f t="shared" ref="H65:H80" si="6">SUM(F65*G65/1000)</f>
        <v>4.4480000000000004</v>
      </c>
      <c r="I65" s="16">
        <v>0</v>
      </c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" hidden="1" customHeight="1">
      <c r="A66" s="46">
        <v>17</v>
      </c>
      <c r="B66" s="18" t="s">
        <v>61</v>
      </c>
      <c r="C66" s="20" t="s">
        <v>216</v>
      </c>
      <c r="D66" s="18" t="s">
        <v>89</v>
      </c>
      <c r="E66" s="18" t="s">
        <v>89</v>
      </c>
      <c r="F66" s="18" t="s">
        <v>89</v>
      </c>
      <c r="G66" s="16">
        <v>76.25</v>
      </c>
      <c r="H66" s="264" t="e">
        <f t="shared" si="6"/>
        <v>#VALUE!</v>
      </c>
      <c r="I66" s="16">
        <f>G66</f>
        <v>76.25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" hidden="1" customHeight="1">
      <c r="A67" s="46"/>
      <c r="B67" s="18" t="s">
        <v>62</v>
      </c>
      <c r="C67" s="20" t="s">
        <v>218</v>
      </c>
      <c r="D67" s="18" t="s">
        <v>69</v>
      </c>
      <c r="E67" s="249">
        <v>12647</v>
      </c>
      <c r="F67" s="16">
        <f>SUM(E67/100)</f>
        <v>126.47</v>
      </c>
      <c r="G67" s="16">
        <v>212.15</v>
      </c>
      <c r="H67" s="264">
        <f t="shared" si="6"/>
        <v>26.830610499999999</v>
      </c>
      <c r="I67" s="16">
        <f>F67*G67</f>
        <v>26830.610499999999</v>
      </c>
      <c r="J67" s="5"/>
      <c r="K67" s="5"/>
      <c r="L67" s="5"/>
      <c r="M67" s="5"/>
      <c r="N67" s="5"/>
      <c r="O67" s="5"/>
      <c r="P67" s="5"/>
      <c r="Q67" s="5"/>
      <c r="R67" s="211"/>
      <c r="S67" s="211"/>
      <c r="T67" s="211"/>
      <c r="U67" s="211"/>
    </row>
    <row r="68" spans="1:21" ht="15" hidden="1" customHeight="1">
      <c r="A68" s="46"/>
      <c r="B68" s="18" t="s">
        <v>63</v>
      </c>
      <c r="C68" s="20" t="s">
        <v>219</v>
      </c>
      <c r="D68" s="18"/>
      <c r="E68" s="249">
        <v>12647</v>
      </c>
      <c r="F68" s="16">
        <f>SUM(E68/1000)</f>
        <v>12.647</v>
      </c>
      <c r="G68" s="16">
        <v>165.21</v>
      </c>
      <c r="H68" s="264">
        <f t="shared" si="6"/>
        <v>2.08941087</v>
      </c>
      <c r="I68" s="16">
        <f t="shared" ref="I68:I72" si="7">F68*G68</f>
        <v>2089.4108700000002</v>
      </c>
    </row>
    <row r="69" spans="1:21" ht="15" hidden="1" customHeight="1">
      <c r="A69" s="46"/>
      <c r="B69" s="18" t="s">
        <v>64</v>
      </c>
      <c r="C69" s="20" t="s">
        <v>100</v>
      </c>
      <c r="D69" s="18" t="s">
        <v>69</v>
      </c>
      <c r="E69" s="249">
        <v>1900</v>
      </c>
      <c r="F69" s="16">
        <f>SUM(E69/100)</f>
        <v>19</v>
      </c>
      <c r="G69" s="16">
        <v>2074.63</v>
      </c>
      <c r="H69" s="264">
        <f t="shared" si="6"/>
        <v>39.417970000000004</v>
      </c>
      <c r="I69" s="16">
        <f t="shared" si="7"/>
        <v>39417.97</v>
      </c>
    </row>
    <row r="70" spans="1:21" ht="15" hidden="1" customHeight="1">
      <c r="A70" s="46"/>
      <c r="B70" s="265" t="s">
        <v>220</v>
      </c>
      <c r="C70" s="20" t="s">
        <v>40</v>
      </c>
      <c r="D70" s="18"/>
      <c r="E70" s="249">
        <v>11.3</v>
      </c>
      <c r="F70" s="16">
        <f>SUM(E70)</f>
        <v>11.3</v>
      </c>
      <c r="G70" s="16">
        <v>42.67</v>
      </c>
      <c r="H70" s="264">
        <f t="shared" si="6"/>
        <v>0.48217100000000007</v>
      </c>
      <c r="I70" s="16">
        <f t="shared" si="7"/>
        <v>482.17100000000005</v>
      </c>
    </row>
    <row r="71" spans="1:21" ht="15" hidden="1" customHeight="1">
      <c r="A71" s="46"/>
      <c r="B71" s="265" t="s">
        <v>221</v>
      </c>
      <c r="C71" s="20" t="s">
        <v>40</v>
      </c>
      <c r="D71" s="18"/>
      <c r="E71" s="249">
        <v>11.3</v>
      </c>
      <c r="F71" s="16">
        <f>SUM(E71)</f>
        <v>11.3</v>
      </c>
      <c r="G71" s="16">
        <v>39.81</v>
      </c>
      <c r="H71" s="264">
        <f t="shared" si="6"/>
        <v>0.44985300000000006</v>
      </c>
      <c r="I71" s="16">
        <f t="shared" si="7"/>
        <v>449.85300000000007</v>
      </c>
    </row>
    <row r="72" spans="1:21" ht="15" customHeight="1">
      <c r="A72" s="46">
        <v>17</v>
      </c>
      <c r="B72" s="18" t="s">
        <v>76</v>
      </c>
      <c r="C72" s="20" t="s">
        <v>77</v>
      </c>
      <c r="D72" s="18" t="s">
        <v>69</v>
      </c>
      <c r="E72" s="23">
        <v>6</v>
      </c>
      <c r="F72" s="250">
        <f>SUM(E72)</f>
        <v>6</v>
      </c>
      <c r="G72" s="16">
        <v>49.88</v>
      </c>
      <c r="H72" s="264">
        <f t="shared" si="6"/>
        <v>0.29928000000000005</v>
      </c>
      <c r="I72" s="16">
        <f t="shared" si="7"/>
        <v>299.28000000000003</v>
      </c>
    </row>
    <row r="73" spans="1:21" ht="15" hidden="1" customHeight="1">
      <c r="A73" s="46"/>
      <c r="B73" s="201" t="s">
        <v>95</v>
      </c>
      <c r="C73" s="20"/>
      <c r="D73" s="18"/>
      <c r="E73" s="23"/>
      <c r="F73" s="16"/>
      <c r="G73" s="16"/>
      <c r="H73" s="264" t="s">
        <v>224</v>
      </c>
      <c r="I73" s="16"/>
    </row>
    <row r="74" spans="1:21" ht="15" hidden="1" customHeight="1">
      <c r="A74" s="46"/>
      <c r="B74" s="18" t="s">
        <v>96</v>
      </c>
      <c r="C74" s="20" t="s">
        <v>38</v>
      </c>
      <c r="D74" s="18"/>
      <c r="E74" s="23">
        <v>5</v>
      </c>
      <c r="F74" s="241">
        <v>0.5</v>
      </c>
      <c r="G74" s="16">
        <v>501.62</v>
      </c>
      <c r="H74" s="264">
        <v>0.251</v>
      </c>
      <c r="I74" s="16">
        <v>0</v>
      </c>
    </row>
    <row r="75" spans="1:21" ht="15" hidden="1" customHeight="1">
      <c r="A75" s="46"/>
      <c r="B75" s="18" t="s">
        <v>233</v>
      </c>
      <c r="C75" s="20" t="s">
        <v>37</v>
      </c>
      <c r="D75" s="18"/>
      <c r="E75" s="23">
        <v>2</v>
      </c>
      <c r="F75" s="16">
        <v>2</v>
      </c>
      <c r="G75" s="16">
        <v>99.85</v>
      </c>
      <c r="H75" s="264">
        <v>0.1</v>
      </c>
      <c r="I75" s="16">
        <v>0</v>
      </c>
    </row>
    <row r="76" spans="1:21" ht="15" hidden="1" customHeight="1">
      <c r="A76" s="46"/>
      <c r="B76" s="18" t="s">
        <v>234</v>
      </c>
      <c r="C76" s="20" t="s">
        <v>37</v>
      </c>
      <c r="D76" s="18"/>
      <c r="E76" s="23">
        <v>1</v>
      </c>
      <c r="F76" s="241">
        <v>1</v>
      </c>
      <c r="G76" s="16">
        <v>120.26</v>
      </c>
      <c r="H76" s="264">
        <v>0.12</v>
      </c>
      <c r="I76" s="16">
        <v>0</v>
      </c>
    </row>
    <row r="77" spans="1:21" ht="15" hidden="1" customHeight="1">
      <c r="A77" s="46"/>
      <c r="B77" s="18" t="s">
        <v>134</v>
      </c>
      <c r="C77" s="20" t="s">
        <v>37</v>
      </c>
      <c r="D77" s="18"/>
      <c r="E77" s="23">
        <v>1</v>
      </c>
      <c r="F77" s="250">
        <f>SUM(E77)</f>
        <v>1</v>
      </c>
      <c r="G77" s="16">
        <v>358.51</v>
      </c>
      <c r="H77" s="264">
        <f t="shared" si="6"/>
        <v>0.35851</v>
      </c>
      <c r="I77" s="16">
        <v>0</v>
      </c>
    </row>
    <row r="78" spans="1:21" ht="15" hidden="1" customHeight="1">
      <c r="A78" s="46"/>
      <c r="B78" s="18" t="s">
        <v>97</v>
      </c>
      <c r="C78" s="20" t="s">
        <v>37</v>
      </c>
      <c r="D78" s="18"/>
      <c r="E78" s="23">
        <v>1</v>
      </c>
      <c r="F78" s="16">
        <v>1</v>
      </c>
      <c r="G78" s="16">
        <v>852.99</v>
      </c>
      <c r="H78" s="264">
        <f>F78*G78/1000</f>
        <v>0.85299000000000003</v>
      </c>
      <c r="I78" s="16">
        <v>0</v>
      </c>
    </row>
    <row r="79" spans="1:21" ht="15" hidden="1" customHeight="1">
      <c r="A79" s="46"/>
      <c r="B79" s="266" t="s">
        <v>99</v>
      </c>
      <c r="C79" s="20"/>
      <c r="D79" s="18"/>
      <c r="E79" s="23"/>
      <c r="F79" s="16"/>
      <c r="G79" s="16" t="s">
        <v>224</v>
      </c>
      <c r="H79" s="264" t="s">
        <v>224</v>
      </c>
      <c r="I79" s="16"/>
    </row>
    <row r="80" spans="1:21" ht="15" hidden="1" customHeight="1">
      <c r="A80" s="46"/>
      <c r="B80" s="82" t="s">
        <v>225</v>
      </c>
      <c r="C80" s="20" t="s">
        <v>100</v>
      </c>
      <c r="D80" s="18"/>
      <c r="E80" s="23"/>
      <c r="F80" s="16">
        <v>0.2</v>
      </c>
      <c r="G80" s="16">
        <v>2759.44</v>
      </c>
      <c r="H80" s="264">
        <f t="shared" si="6"/>
        <v>0.55188800000000005</v>
      </c>
      <c r="I80" s="16">
        <v>0</v>
      </c>
    </row>
    <row r="81" spans="1:9" ht="15" hidden="1" customHeight="1">
      <c r="A81" s="46"/>
      <c r="B81" s="254" t="s">
        <v>222</v>
      </c>
      <c r="C81" s="266"/>
      <c r="D81" s="52"/>
      <c r="E81" s="54"/>
      <c r="F81" s="255"/>
      <c r="G81" s="255"/>
      <c r="H81" s="267" t="e">
        <f>SUM(H60:H80)</f>
        <v>#VALUE!</v>
      </c>
      <c r="I81" s="255"/>
    </row>
    <row r="82" spans="1:9" ht="15" hidden="1" customHeight="1">
      <c r="A82" s="46"/>
      <c r="B82" s="247" t="s">
        <v>223</v>
      </c>
      <c r="C82" s="20"/>
      <c r="D82" s="18"/>
      <c r="E82" s="242"/>
      <c r="F82" s="16">
        <v>1</v>
      </c>
      <c r="G82" s="16">
        <v>13437.4</v>
      </c>
      <c r="H82" s="264">
        <f>G82*F82/1000</f>
        <v>13.4374</v>
      </c>
      <c r="I82" s="16">
        <v>0</v>
      </c>
    </row>
    <row r="83" spans="1:9" ht="15.75" customHeight="1">
      <c r="A83" s="238" t="s">
        <v>252</v>
      </c>
      <c r="B83" s="239"/>
      <c r="C83" s="239"/>
      <c r="D83" s="239"/>
      <c r="E83" s="239"/>
      <c r="F83" s="239"/>
      <c r="G83" s="239"/>
      <c r="H83" s="239"/>
      <c r="I83" s="240"/>
    </row>
    <row r="84" spans="1:9" ht="15" customHeight="1">
      <c r="A84" s="46">
        <v>18</v>
      </c>
      <c r="B84" s="247" t="s">
        <v>226</v>
      </c>
      <c r="C84" s="20" t="s">
        <v>72</v>
      </c>
      <c r="D84" s="268" t="s">
        <v>73</v>
      </c>
      <c r="E84" s="16">
        <v>3031.3</v>
      </c>
      <c r="F84" s="16">
        <f>SUM(E84*12)</f>
        <v>36375.600000000006</v>
      </c>
      <c r="G84" s="16">
        <v>2.1</v>
      </c>
      <c r="H84" s="264">
        <f>SUM(F84*G84/1000)</f>
        <v>76.388760000000005</v>
      </c>
      <c r="I84" s="16">
        <f>F84/12*G84</f>
        <v>6365.7300000000014</v>
      </c>
    </row>
    <row r="85" spans="1:9" ht="31.5" customHeight="1">
      <c r="A85" s="46">
        <v>19</v>
      </c>
      <c r="B85" s="18" t="s">
        <v>101</v>
      </c>
      <c r="C85" s="20"/>
      <c r="D85" s="268" t="s">
        <v>73</v>
      </c>
      <c r="E85" s="249">
        <f>E84</f>
        <v>3031.3</v>
      </c>
      <c r="F85" s="16">
        <f>E85*12</f>
        <v>36375.600000000006</v>
      </c>
      <c r="G85" s="16">
        <v>1.63</v>
      </c>
      <c r="H85" s="264">
        <f>F85*G85/1000</f>
        <v>59.292228000000001</v>
      </c>
      <c r="I85" s="16">
        <f>F85/12*G85</f>
        <v>4941.0190000000011</v>
      </c>
    </row>
    <row r="86" spans="1:9" ht="15.75" customHeight="1">
      <c r="A86" s="124"/>
      <c r="B86" s="69" t="s">
        <v>107</v>
      </c>
      <c r="C86" s="71"/>
      <c r="D86" s="19"/>
      <c r="E86" s="19"/>
      <c r="F86" s="19"/>
      <c r="G86" s="23"/>
      <c r="H86" s="23"/>
      <c r="I86" s="54">
        <f>I16+I17+I18+I27+I28+I31+I32+I34+I35+I48+I49+I50+I51+I52+I53+I63+I72+I84+I85</f>
        <v>43983.619866655557</v>
      </c>
    </row>
    <row r="87" spans="1:9" ht="15.75" customHeight="1">
      <c r="A87" s="124"/>
      <c r="B87" s="188" t="s">
        <v>79</v>
      </c>
      <c r="C87" s="188"/>
      <c r="D87" s="188"/>
      <c r="E87" s="188"/>
      <c r="F87" s="188"/>
      <c r="G87" s="188"/>
      <c r="H87" s="188"/>
      <c r="I87" s="188"/>
    </row>
    <row r="88" spans="1:9" ht="31.5" customHeight="1">
      <c r="A88" s="46">
        <v>20</v>
      </c>
      <c r="B88" s="189" t="s">
        <v>106</v>
      </c>
      <c r="C88" s="193" t="s">
        <v>216</v>
      </c>
      <c r="D88" s="82"/>
      <c r="E88" s="16"/>
      <c r="F88" s="16">
        <v>8</v>
      </c>
      <c r="G88" s="16">
        <v>79.09</v>
      </c>
      <c r="H88" s="264">
        <f t="shared" ref="H88" si="8">G88*F88/1000</f>
        <v>0.63272000000000006</v>
      </c>
      <c r="I88" s="16">
        <f>G88</f>
        <v>79.09</v>
      </c>
    </row>
    <row r="89" spans="1:9" ht="15" customHeight="1">
      <c r="A89" s="46">
        <v>21</v>
      </c>
      <c r="B89" s="189" t="s">
        <v>143</v>
      </c>
      <c r="C89" s="193" t="s">
        <v>144</v>
      </c>
      <c r="D89" s="82"/>
      <c r="E89" s="16"/>
      <c r="F89" s="16">
        <f>45/3</f>
        <v>15</v>
      </c>
      <c r="G89" s="16">
        <v>1063.47</v>
      </c>
      <c r="H89" s="264">
        <f>G89*F89/1000</f>
        <v>15.952050000000002</v>
      </c>
      <c r="I89" s="16">
        <f>G89*6</f>
        <v>6380.82</v>
      </c>
    </row>
    <row r="90" spans="1:9" ht="15.75" customHeight="1">
      <c r="A90" s="46"/>
      <c r="B90" s="76" t="s">
        <v>66</v>
      </c>
      <c r="C90" s="72"/>
      <c r="D90" s="126"/>
      <c r="E90" s="72">
        <v>1</v>
      </c>
      <c r="F90" s="72"/>
      <c r="G90" s="72"/>
      <c r="H90" s="72"/>
      <c r="I90" s="54">
        <f>SUM(I88:I89)</f>
        <v>6459.91</v>
      </c>
    </row>
    <row r="91" spans="1:9" ht="15.75" customHeight="1">
      <c r="A91" s="46"/>
      <c r="B91" s="82" t="s">
        <v>102</v>
      </c>
      <c r="C91" s="19"/>
      <c r="D91" s="19"/>
      <c r="E91" s="73"/>
      <c r="F91" s="73"/>
      <c r="G91" s="74"/>
      <c r="H91" s="74"/>
      <c r="I91" s="22">
        <v>0</v>
      </c>
    </row>
    <row r="92" spans="1:9" ht="15.75" customHeight="1">
      <c r="A92" s="127"/>
      <c r="B92" s="77" t="s">
        <v>67</v>
      </c>
      <c r="C92" s="60"/>
      <c r="D92" s="60"/>
      <c r="E92" s="60"/>
      <c r="F92" s="60"/>
      <c r="G92" s="60"/>
      <c r="H92" s="60"/>
      <c r="I92" s="75">
        <f>I86+I90</f>
        <v>50443.529866655561</v>
      </c>
    </row>
    <row r="93" spans="1:9" ht="15.75">
      <c r="A93" s="227" t="s">
        <v>307</v>
      </c>
      <c r="B93" s="227"/>
      <c r="C93" s="227"/>
      <c r="D93" s="227"/>
      <c r="E93" s="227"/>
      <c r="F93" s="227"/>
      <c r="G93" s="227"/>
      <c r="H93" s="227"/>
      <c r="I93" s="227"/>
    </row>
    <row r="94" spans="1:9" ht="15.75">
      <c r="A94" s="204"/>
      <c r="B94" s="228" t="s">
        <v>308</v>
      </c>
      <c r="C94" s="228"/>
      <c r="D94" s="228"/>
      <c r="E94" s="228"/>
      <c r="F94" s="228"/>
      <c r="G94" s="228"/>
      <c r="H94" s="245"/>
      <c r="I94" s="3"/>
    </row>
    <row r="95" spans="1:9">
      <c r="A95" s="200"/>
      <c r="B95" s="216" t="s">
        <v>7</v>
      </c>
      <c r="C95" s="216"/>
      <c r="D95" s="216"/>
      <c r="E95" s="216"/>
      <c r="F95" s="216"/>
      <c r="G95" s="216"/>
      <c r="H95" s="36"/>
      <c r="I95" s="5"/>
    </row>
    <row r="96" spans="1:9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.75">
      <c r="A97" s="229" t="s">
        <v>8</v>
      </c>
      <c r="B97" s="229"/>
      <c r="C97" s="229"/>
      <c r="D97" s="229"/>
      <c r="E97" s="229"/>
      <c r="F97" s="229"/>
      <c r="G97" s="229"/>
      <c r="H97" s="229"/>
      <c r="I97" s="229"/>
    </row>
    <row r="98" spans="1:9" ht="15.75">
      <c r="A98" s="229" t="s">
        <v>9</v>
      </c>
      <c r="B98" s="229"/>
      <c r="C98" s="229"/>
      <c r="D98" s="229"/>
      <c r="E98" s="229"/>
      <c r="F98" s="229"/>
      <c r="G98" s="229"/>
      <c r="H98" s="229"/>
      <c r="I98" s="229"/>
    </row>
    <row r="99" spans="1:9" ht="15.75">
      <c r="A99" s="225" t="s">
        <v>81</v>
      </c>
      <c r="B99" s="225"/>
      <c r="C99" s="225"/>
      <c r="D99" s="225"/>
      <c r="E99" s="225"/>
      <c r="F99" s="225"/>
      <c r="G99" s="225"/>
      <c r="H99" s="225"/>
      <c r="I99" s="225"/>
    </row>
    <row r="100" spans="1:9" ht="15.75">
      <c r="A100" s="12"/>
    </row>
    <row r="101" spans="1:9" ht="15.75">
      <c r="A101" s="226" t="s">
        <v>11</v>
      </c>
      <c r="B101" s="226"/>
      <c r="C101" s="226"/>
      <c r="D101" s="226"/>
      <c r="E101" s="226"/>
      <c r="F101" s="226"/>
      <c r="G101" s="226"/>
      <c r="H101" s="226"/>
      <c r="I101" s="226"/>
    </row>
    <row r="102" spans="1:9" ht="15.75">
      <c r="A102" s="4"/>
    </row>
    <row r="103" spans="1:9" ht="15.75">
      <c r="B103" s="203" t="s">
        <v>12</v>
      </c>
      <c r="C103" s="218" t="s">
        <v>140</v>
      </c>
      <c r="D103" s="218"/>
      <c r="E103" s="218"/>
      <c r="F103" s="243"/>
      <c r="I103" s="199"/>
    </row>
    <row r="104" spans="1:9">
      <c r="A104" s="200"/>
      <c r="C104" s="216" t="s">
        <v>13</v>
      </c>
      <c r="D104" s="216"/>
      <c r="E104" s="216"/>
      <c r="F104" s="36"/>
      <c r="I104" s="198" t="s">
        <v>14</v>
      </c>
    </row>
    <row r="105" spans="1:9" ht="15.75">
      <c r="A105" s="37"/>
      <c r="C105" s="13"/>
      <c r="D105" s="13"/>
      <c r="G105" s="13"/>
      <c r="H105" s="13"/>
    </row>
    <row r="106" spans="1:9" ht="15.75">
      <c r="B106" s="203" t="s">
        <v>15</v>
      </c>
      <c r="C106" s="217"/>
      <c r="D106" s="217"/>
      <c r="E106" s="217"/>
      <c r="F106" s="244"/>
      <c r="I106" s="199"/>
    </row>
    <row r="107" spans="1:9">
      <c r="A107" s="200"/>
      <c r="C107" s="211" t="s">
        <v>13</v>
      </c>
      <c r="D107" s="211"/>
      <c r="E107" s="211"/>
      <c r="F107" s="200"/>
      <c r="I107" s="198" t="s">
        <v>14</v>
      </c>
    </row>
    <row r="108" spans="1:9" ht="15.75">
      <c r="A108" s="4" t="s">
        <v>16</v>
      </c>
    </row>
    <row r="109" spans="1:9">
      <c r="A109" s="224" t="s">
        <v>17</v>
      </c>
      <c r="B109" s="224"/>
      <c r="C109" s="224"/>
      <c r="D109" s="224"/>
      <c r="E109" s="224"/>
      <c r="F109" s="224"/>
      <c r="G109" s="224"/>
      <c r="H109" s="224"/>
      <c r="I109" s="224"/>
    </row>
    <row r="110" spans="1:9" ht="45" customHeight="1">
      <c r="A110" s="223" t="s">
        <v>18</v>
      </c>
      <c r="B110" s="223"/>
      <c r="C110" s="223"/>
      <c r="D110" s="223"/>
      <c r="E110" s="223"/>
      <c r="F110" s="223"/>
      <c r="G110" s="223"/>
      <c r="H110" s="223"/>
      <c r="I110" s="223"/>
    </row>
    <row r="111" spans="1:9" ht="30" customHeight="1">
      <c r="A111" s="223" t="s">
        <v>19</v>
      </c>
      <c r="B111" s="223"/>
      <c r="C111" s="223"/>
      <c r="D111" s="223"/>
      <c r="E111" s="223"/>
      <c r="F111" s="223"/>
      <c r="G111" s="223"/>
      <c r="H111" s="223"/>
      <c r="I111" s="223"/>
    </row>
    <row r="112" spans="1:9" ht="30" customHeight="1">
      <c r="A112" s="223" t="s">
        <v>24</v>
      </c>
      <c r="B112" s="223"/>
      <c r="C112" s="223"/>
      <c r="D112" s="223"/>
      <c r="E112" s="223"/>
      <c r="F112" s="223"/>
      <c r="G112" s="223"/>
      <c r="H112" s="223"/>
      <c r="I112" s="223"/>
    </row>
    <row r="113" spans="1:9" ht="15.75">
      <c r="A113" s="223" t="s">
        <v>23</v>
      </c>
      <c r="B113" s="223"/>
      <c r="C113" s="223"/>
      <c r="D113" s="223"/>
      <c r="E113" s="223"/>
      <c r="F113" s="223"/>
      <c r="G113" s="223"/>
      <c r="H113" s="223"/>
      <c r="I113" s="223"/>
    </row>
  </sheetData>
  <autoFilter ref="I12:I62"/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3:I93"/>
    <mergeCell ref="B94:G94"/>
    <mergeCell ref="B95:G95"/>
    <mergeCell ref="A97:I97"/>
    <mergeCell ref="A98:I98"/>
    <mergeCell ref="A99:I99"/>
    <mergeCell ref="A15:I15"/>
    <mergeCell ref="A29:I29"/>
    <mergeCell ref="A47:I47"/>
    <mergeCell ref="A58:I58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'11.16'!Заголовки_для_печати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2017-05-23T08:44:36Z</cp:lastPrinted>
  <dcterms:created xsi:type="dcterms:W3CDTF">2016-03-25T08:33:47Z</dcterms:created>
  <dcterms:modified xsi:type="dcterms:W3CDTF">2017-05-23T10:52:52Z</dcterms:modified>
</cp:coreProperties>
</file>