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Косм.,1" sheetId="1" r:id="rId1"/>
  </sheets>
  <definedNames>
    <definedName name="_xlnm.Print_Area" localSheetId="0">'Косм.,1'!$A$1:$U$131</definedName>
  </definedNames>
  <calcPr calcId="124519"/>
</workbook>
</file>

<file path=xl/calcChain.xml><?xml version="1.0" encoding="utf-8"?>
<calcChain xmlns="http://schemas.openxmlformats.org/spreadsheetml/2006/main">
  <c r="L38" i="1"/>
  <c r="K38"/>
  <c r="F97"/>
  <c r="S97"/>
  <c r="H97"/>
  <c r="H119" s="1"/>
  <c r="U97"/>
  <c r="U119"/>
  <c r="U107"/>
  <c r="U108"/>
  <c r="U109"/>
  <c r="U110"/>
  <c r="F118"/>
  <c r="H118" s="1"/>
  <c r="F108"/>
  <c r="N108" s="1"/>
  <c r="R97"/>
  <c r="P97"/>
  <c r="Q97"/>
  <c r="C129"/>
  <c r="C126"/>
  <c r="F115"/>
  <c r="S115"/>
  <c r="U115" s="1"/>
  <c r="H115"/>
  <c r="S114"/>
  <c r="U114" s="1"/>
  <c r="H114"/>
  <c r="S104"/>
  <c r="S113"/>
  <c r="U113" s="1"/>
  <c r="S112"/>
  <c r="U112" s="1"/>
  <c r="F113"/>
  <c r="F112"/>
  <c r="T118" l="1"/>
  <c r="U118" s="1"/>
  <c r="H108"/>
  <c r="H112"/>
  <c r="H113"/>
  <c r="T117" l="1"/>
  <c r="U117" s="1"/>
  <c r="T116"/>
  <c r="U116" s="1"/>
  <c r="H111"/>
  <c r="S59"/>
  <c r="R59"/>
  <c r="R111"/>
  <c r="U111" s="1"/>
  <c r="U57"/>
  <c r="U60"/>
  <c r="U69"/>
  <c r="U70"/>
  <c r="U72"/>
  <c r="U73"/>
  <c r="U75"/>
  <c r="U28"/>
  <c r="U29"/>
  <c r="Q110"/>
  <c r="Q109"/>
  <c r="H109"/>
  <c r="Q99"/>
  <c r="Q100"/>
  <c r="Q49"/>
  <c r="U59" l="1"/>
  <c r="O55"/>
  <c r="O105"/>
  <c r="F105"/>
  <c r="N107" l="1"/>
  <c r="M55"/>
  <c r="M105"/>
  <c r="U105" s="1"/>
  <c r="M106"/>
  <c r="U106" s="1"/>
  <c r="F106"/>
  <c r="H106" s="1"/>
  <c r="H105"/>
  <c r="M104"/>
  <c r="U104" s="1"/>
  <c r="M103"/>
  <c r="U103" s="1"/>
  <c r="H103"/>
  <c r="M102"/>
  <c r="U102" s="1"/>
  <c r="F102"/>
  <c r="H102" s="1"/>
  <c r="M101"/>
  <c r="U101" s="1"/>
  <c r="F101"/>
  <c r="H101" s="1"/>
  <c r="M92"/>
  <c r="L97"/>
  <c r="L100"/>
  <c r="U100" s="1"/>
  <c r="H100"/>
  <c r="K97" l="1"/>
  <c r="K99"/>
  <c r="U99" s="1"/>
  <c r="L35"/>
  <c r="U35" s="1"/>
  <c r="F98"/>
  <c r="H98" s="1"/>
  <c r="J92"/>
  <c r="J97"/>
  <c r="H96"/>
  <c r="J95"/>
  <c r="U95" s="1"/>
  <c r="H95"/>
  <c r="H94"/>
  <c r="J94"/>
  <c r="U94" s="1"/>
  <c r="J96"/>
  <c r="U96" s="1"/>
  <c r="J93"/>
  <c r="U93" s="1"/>
  <c r="H93"/>
  <c r="J98" l="1"/>
  <c r="U98" s="1"/>
  <c r="M77"/>
  <c r="U77" s="1"/>
  <c r="I89" l="1"/>
  <c r="U89" s="1"/>
  <c r="I88"/>
  <c r="U88" s="1"/>
  <c r="H88"/>
  <c r="I55" l="1"/>
  <c r="U55" s="1"/>
  <c r="I92"/>
  <c r="U92" s="1"/>
  <c r="I71"/>
  <c r="U71" s="1"/>
  <c r="F87"/>
  <c r="I87"/>
  <c r="U87" s="1"/>
  <c r="H89"/>
  <c r="I91"/>
  <c r="U91" s="1"/>
  <c r="H91"/>
  <c r="I90"/>
  <c r="U90" s="1"/>
  <c r="H90"/>
  <c r="C128" l="1"/>
  <c r="H99" l="1"/>
  <c r="H107"/>
  <c r="H70" l="1"/>
  <c r="F69"/>
  <c r="H69" s="1"/>
  <c r="F67" l="1"/>
  <c r="F66"/>
  <c r="F60"/>
  <c r="F59"/>
  <c r="F57"/>
  <c r="H55"/>
  <c r="F43"/>
  <c r="F38"/>
  <c r="F34"/>
  <c r="F26"/>
  <c r="H26" s="1"/>
  <c r="E26"/>
  <c r="P67" l="1"/>
  <c r="N67"/>
  <c r="Q67"/>
  <c r="O67"/>
  <c r="M67"/>
  <c r="K67"/>
  <c r="I67"/>
  <c r="L67"/>
  <c r="J67"/>
  <c r="H67"/>
  <c r="S67"/>
  <c r="T67"/>
  <c r="R67"/>
  <c r="F16"/>
  <c r="F15"/>
  <c r="M15" l="1"/>
  <c r="Q15"/>
  <c r="M16"/>
  <c r="Q16"/>
  <c r="U67"/>
  <c r="H110"/>
  <c r="H87"/>
  <c r="U16" l="1"/>
  <c r="U15"/>
  <c r="H104"/>
  <c r="M51"/>
  <c r="M50"/>
  <c r="I51"/>
  <c r="I50"/>
  <c r="H116"/>
  <c r="F117"/>
  <c r="H117" s="1"/>
  <c r="F50" l="1"/>
  <c r="H50" s="1"/>
  <c r="T39"/>
  <c r="S39"/>
  <c r="T33"/>
  <c r="S33"/>
  <c r="Q66"/>
  <c r="U66" s="1"/>
  <c r="Q51"/>
  <c r="U51" s="1"/>
  <c r="Q50"/>
  <c r="U50" s="1"/>
  <c r="Q26"/>
  <c r="L39"/>
  <c r="L33"/>
  <c r="K39"/>
  <c r="K33"/>
  <c r="H77"/>
  <c r="M26" l="1"/>
  <c r="P26"/>
  <c r="R26"/>
  <c r="N26"/>
  <c r="O26"/>
  <c r="K49"/>
  <c r="U49" s="1"/>
  <c r="J39"/>
  <c r="J33"/>
  <c r="U26" l="1"/>
  <c r="F51"/>
  <c r="I39"/>
  <c r="U39" s="1"/>
  <c r="I33"/>
  <c r="U33" s="1"/>
  <c r="F45" l="1"/>
  <c r="H45" s="1"/>
  <c r="H92"/>
  <c r="M45" l="1"/>
  <c r="Q45"/>
  <c r="F19"/>
  <c r="M19" s="1"/>
  <c r="U19" s="1"/>
  <c r="U45" l="1"/>
  <c r="H19"/>
  <c r="F37"/>
  <c r="H57"/>
  <c r="I37" l="1"/>
  <c r="S37"/>
  <c r="L37"/>
  <c r="K37"/>
  <c r="T37"/>
  <c r="J37"/>
  <c r="S34"/>
  <c r="T34"/>
  <c r="L34"/>
  <c r="K34"/>
  <c r="J34"/>
  <c r="H34"/>
  <c r="I34"/>
  <c r="U34" l="1"/>
  <c r="U37"/>
  <c r="H35"/>
  <c r="H73" l="1"/>
  <c r="H72" l="1"/>
  <c r="F14" l="1"/>
  <c r="M14" s="1"/>
  <c r="U14" s="1"/>
  <c r="F17"/>
  <c r="M17" s="1"/>
  <c r="U17" s="1"/>
  <c r="F18"/>
  <c r="M18" s="1"/>
  <c r="U18" s="1"/>
  <c r="F122" l="1"/>
  <c r="H121"/>
  <c r="E80"/>
  <c r="H83" s="1"/>
  <c r="F78"/>
  <c r="H75"/>
  <c r="H71"/>
  <c r="H66"/>
  <c r="F65"/>
  <c r="F64"/>
  <c r="F63"/>
  <c r="F62"/>
  <c r="F61"/>
  <c r="H60"/>
  <c r="H59"/>
  <c r="F54"/>
  <c r="H51"/>
  <c r="H49"/>
  <c r="F48"/>
  <c r="Q48" s="1"/>
  <c r="F47"/>
  <c r="F46"/>
  <c r="F44"/>
  <c r="F42"/>
  <c r="H39"/>
  <c r="H37"/>
  <c r="F36"/>
  <c r="H33"/>
  <c r="F30"/>
  <c r="H29"/>
  <c r="H28"/>
  <c r="F27"/>
  <c r="F25"/>
  <c r="F24"/>
  <c r="F23"/>
  <c r="F20"/>
  <c r="M20" s="1"/>
  <c r="U20" s="1"/>
  <c r="H18"/>
  <c r="H17"/>
  <c r="H14"/>
  <c r="E13"/>
  <c r="F13" s="1"/>
  <c r="F12"/>
  <c r="F11"/>
  <c r="Q47" l="1"/>
  <c r="K47"/>
  <c r="U47" s="1"/>
  <c r="M44"/>
  <c r="Q44"/>
  <c r="M42"/>
  <c r="Q42"/>
  <c r="M43"/>
  <c r="Q43"/>
  <c r="I13"/>
  <c r="S13"/>
  <c r="Q13"/>
  <c r="O13"/>
  <c r="M13"/>
  <c r="T13"/>
  <c r="R13"/>
  <c r="P13"/>
  <c r="N13"/>
  <c r="L13"/>
  <c r="K13"/>
  <c r="J13"/>
  <c r="I12"/>
  <c r="S12"/>
  <c r="R12"/>
  <c r="P12"/>
  <c r="N12"/>
  <c r="L12"/>
  <c r="K12"/>
  <c r="T12"/>
  <c r="Q12"/>
  <c r="O12"/>
  <c r="M12"/>
  <c r="J12"/>
  <c r="H23"/>
  <c r="Q23"/>
  <c r="O23"/>
  <c r="R23"/>
  <c r="P23"/>
  <c r="N23"/>
  <c r="M23"/>
  <c r="H25"/>
  <c r="M25"/>
  <c r="U25" s="1"/>
  <c r="I27"/>
  <c r="S27"/>
  <c r="R27"/>
  <c r="P27"/>
  <c r="N27"/>
  <c r="M27"/>
  <c r="L27"/>
  <c r="K27"/>
  <c r="T27"/>
  <c r="Q27"/>
  <c r="O27"/>
  <c r="J27"/>
  <c r="H44"/>
  <c r="H47"/>
  <c r="S54"/>
  <c r="L54"/>
  <c r="T54"/>
  <c r="K54"/>
  <c r="J54"/>
  <c r="H62"/>
  <c r="M62"/>
  <c r="U62" s="1"/>
  <c r="H64"/>
  <c r="M64"/>
  <c r="U64" s="1"/>
  <c r="I11"/>
  <c r="S11"/>
  <c r="Q11"/>
  <c r="O11"/>
  <c r="M11"/>
  <c r="T11"/>
  <c r="R11"/>
  <c r="P11"/>
  <c r="N11"/>
  <c r="L11"/>
  <c r="K11"/>
  <c r="J11"/>
  <c r="H20"/>
  <c r="H24"/>
  <c r="R24"/>
  <c r="P24"/>
  <c r="N24"/>
  <c r="M24"/>
  <c r="Q24"/>
  <c r="O24"/>
  <c r="S30"/>
  <c r="Q30"/>
  <c r="O30"/>
  <c r="T30"/>
  <c r="R30"/>
  <c r="P30"/>
  <c r="N30"/>
  <c r="M30"/>
  <c r="L30"/>
  <c r="K30"/>
  <c r="J30"/>
  <c r="S36"/>
  <c r="T36"/>
  <c r="L36"/>
  <c r="K36"/>
  <c r="J36"/>
  <c r="H42"/>
  <c r="H43"/>
  <c r="I46"/>
  <c r="T46"/>
  <c r="Q46"/>
  <c r="M46"/>
  <c r="J46"/>
  <c r="H48"/>
  <c r="K48"/>
  <c r="U48" s="1"/>
  <c r="H61"/>
  <c r="M61"/>
  <c r="U61" s="1"/>
  <c r="H63"/>
  <c r="M63"/>
  <c r="U63" s="1"/>
  <c r="H65"/>
  <c r="M65"/>
  <c r="U65" s="1"/>
  <c r="I78"/>
  <c r="S78"/>
  <c r="R78"/>
  <c r="P78"/>
  <c r="N78"/>
  <c r="K78"/>
  <c r="T78"/>
  <c r="Q78"/>
  <c r="O78"/>
  <c r="M78"/>
  <c r="L78"/>
  <c r="J78"/>
  <c r="H54"/>
  <c r="H76" s="1"/>
  <c r="I54"/>
  <c r="U54" s="1"/>
  <c r="H30"/>
  <c r="I30"/>
  <c r="U30" s="1"/>
  <c r="H36"/>
  <c r="I36"/>
  <c r="U36" s="1"/>
  <c r="H38"/>
  <c r="U38"/>
  <c r="H78"/>
  <c r="H79" s="1"/>
  <c r="H27"/>
  <c r="H46"/>
  <c r="H11"/>
  <c r="H12"/>
  <c r="H16"/>
  <c r="H13"/>
  <c r="H15"/>
  <c r="F80"/>
  <c r="H52" l="1"/>
  <c r="U78"/>
  <c r="U11"/>
  <c r="U23"/>
  <c r="U12"/>
  <c r="U13"/>
  <c r="U43"/>
  <c r="U42"/>
  <c r="U44"/>
  <c r="U46"/>
  <c r="U24"/>
  <c r="U27"/>
  <c r="H40"/>
  <c r="I80"/>
  <c r="S80"/>
  <c r="S122" s="1"/>
  <c r="Q80"/>
  <c r="O80"/>
  <c r="M80"/>
  <c r="M122" s="1"/>
  <c r="L80"/>
  <c r="L122" s="1"/>
  <c r="T80"/>
  <c r="R80"/>
  <c r="P80"/>
  <c r="N80"/>
  <c r="N122" s="1"/>
  <c r="K80"/>
  <c r="J80"/>
  <c r="U76"/>
  <c r="U79"/>
  <c r="K122"/>
  <c r="Q122"/>
  <c r="J122"/>
  <c r="P122"/>
  <c r="T122"/>
  <c r="O122"/>
  <c r="H31"/>
  <c r="U40"/>
  <c r="H80"/>
  <c r="H81" s="1"/>
  <c r="H21"/>
  <c r="U31" l="1"/>
  <c r="U80"/>
  <c r="U81" s="1"/>
  <c r="I122"/>
  <c r="R122"/>
  <c r="U21"/>
  <c r="U52"/>
  <c r="H82"/>
  <c r="H84" s="1"/>
  <c r="G122" s="1"/>
  <c r="H122" s="1"/>
  <c r="U82" l="1"/>
  <c r="U122" s="1"/>
  <c r="C127" s="1"/>
  <c r="C131" s="1"/>
</calcChain>
</file>

<file path=xl/sharedStrings.xml><?xml version="1.0" encoding="utf-8"?>
<sst xmlns="http://schemas.openxmlformats.org/spreadsheetml/2006/main" count="364" uniqueCount="260">
  <si>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</si>
  <si>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</si>
  <si>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</si>
  <si>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</si>
  <si>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</si>
  <si>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</si>
  <si>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</si>
  <si>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</si>
  <si>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</si>
  <si>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</si>
  <si>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</si>
  <si>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</si>
  <si>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</si>
  <si>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</si>
  <si>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</si>
  <si>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</si>
  <si>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</si>
  <si>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</si>
  <si>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</si>
  <si>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</si>
  <si>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</si>
  <si>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</si>
  <si>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</si>
  <si>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</si>
  <si>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1000м2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</si>
  <si>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</si>
  <si>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</si>
  <si>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</si>
  <si>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</si>
  <si>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</si>
  <si>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</si>
  <si>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</si>
  <si>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</si>
  <si>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</si>
  <si>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</si>
  <si>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</si>
  <si>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</si>
  <si>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</si>
  <si>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</si>
  <si>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</si>
  <si>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</si>
  <si>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</si>
  <si>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</si>
  <si>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</si>
  <si>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</si>
  <si>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</si>
  <si>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</si>
  <si>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</si>
  <si>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</si>
  <si>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</si>
  <si>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</si>
  <si>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</si>
  <si>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</si>
  <si>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</si>
  <si>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</si>
  <si>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</si>
  <si>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</si>
  <si>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</si>
  <si>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</si>
  <si>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</si>
  <si>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</si>
  <si>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</si>
  <si>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</si>
  <si>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</si>
  <si>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</si>
  <si>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</si>
  <si>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</si>
  <si>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</si>
  <si>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</si>
  <si>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</si>
  <si>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</si>
  <si>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</si>
  <si>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</si>
  <si>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</si>
  <si>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</si>
  <si>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</si>
  <si>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</si>
  <si>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</si>
  <si>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</si>
  <si>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</si>
  <si>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</si>
  <si>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</si>
  <si>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</si>
  <si>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</si>
  <si>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</si>
  <si>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</si>
  <si>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</si>
  <si>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</si>
  <si>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</si>
  <si>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</si>
  <si>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</si>
  <si>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</si>
  <si>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</si>
  <si>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</si>
  <si>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</si>
  <si>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</si>
  <si>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Сдвигание снега в дни снегопада (проезд)</t>
  </si>
  <si>
    <t>24 раза за сезон</t>
  </si>
  <si>
    <t>2-1-1а</t>
  </si>
  <si>
    <t>Проверка дымоходов</t>
  </si>
  <si>
    <t>Очистка  от мусора</t>
  </si>
  <si>
    <t>Ремонт групповых щитков на лестничной клетке без ремонта автоматов</t>
  </si>
  <si>
    <t>Влажное подметание лестничных клеток 2-4 этажа</t>
  </si>
  <si>
    <t>Мытье лестничных  площадок и маршей 1-4 этаж.</t>
  </si>
  <si>
    <t>Влажная протирка подоконников</t>
  </si>
  <si>
    <t>Осмотр шиферной кровли</t>
  </si>
  <si>
    <t>Подключение и отключение сварочного аппарата</t>
  </si>
  <si>
    <t>Осмотр деревянных конструкций стропил</t>
  </si>
  <si>
    <t>100 м3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</si>
  <si>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</si>
  <si>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</si>
  <si>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</si>
  <si>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</si>
  <si>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</si>
  <si>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</si>
  <si>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</si>
  <si>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</si>
  <si>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</si>
  <si>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</si>
  <si>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</si>
  <si>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</si>
  <si>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1 м</t>
  </si>
  <si>
    <t>калькуляция</t>
  </si>
  <si>
    <t>Работа автовышки</t>
  </si>
  <si>
    <t>4 этажа, 4 подъезда</t>
  </si>
  <si>
    <t>Стоимость (руб.)</t>
  </si>
  <si>
    <t>договор</t>
  </si>
  <si>
    <t>ТО внутридомового газ.оборудования</t>
  </si>
  <si>
    <t>Выполне ние      май</t>
  </si>
  <si>
    <t>смета</t>
  </si>
  <si>
    <t>1 шт</t>
  </si>
  <si>
    <t>Внеплановый осмотр электросетей, армазуры и электрооборудования на лестничных клетках</t>
  </si>
  <si>
    <t>100шт</t>
  </si>
  <si>
    <t>Внеплановый осмотр вводных электрических щитков</t>
  </si>
  <si>
    <t xml:space="preserve">Погрузка травы, ветвей </t>
  </si>
  <si>
    <t xml:space="preserve"> - Подметание территории с усовершенствованным покрытием асф.: крыльца, контейнерн пл., проезд, тротуар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</si>
  <si>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</si>
  <si>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</si>
  <si>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</si>
  <si>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</si>
  <si>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3м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</si>
  <si>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</si>
  <si>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</si>
  <si>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</si>
  <si>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</si>
  <si>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</si>
  <si>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</si>
  <si>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</si>
  <si>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</si>
  <si>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</si>
  <si>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</si>
  <si>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</si>
  <si>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</si>
  <si>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</si>
  <si>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</si>
  <si>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</si>
  <si>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</si>
  <si>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</si>
  <si>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</si>
  <si>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</si>
  <si>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</si>
  <si>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</si>
  <si>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</si>
  <si>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</si>
  <si>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</si>
  <si>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</si>
  <si>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</si>
  <si>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</si>
  <si>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</si>
  <si>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</si>
  <si>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</si>
  <si>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</si>
  <si>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</si>
  <si>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</si>
  <si>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</si>
  <si>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</si>
  <si>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</si>
  <si>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</si>
  <si>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</si>
  <si>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33-030</t>
  </si>
  <si>
    <t>ТЕР 2-1-1б</t>
  </si>
  <si>
    <t>156 раз в год</t>
  </si>
  <si>
    <t>104 раза в год</t>
  </si>
  <si>
    <t xml:space="preserve">24 раза в год </t>
  </si>
  <si>
    <t xml:space="preserve"> - Уборка газонов, грунта</t>
  </si>
  <si>
    <t>52 раза в сезон</t>
  </si>
  <si>
    <t>78 раз за сезон</t>
  </si>
  <si>
    <t>24 раз за сезон</t>
  </si>
  <si>
    <t xml:space="preserve">Подметание снега с вход.площадок, конт. площадок </t>
  </si>
  <si>
    <t>18 раз за сезон</t>
  </si>
  <si>
    <t>1 раз в месяц (5 раз за год)</t>
  </si>
  <si>
    <t>ТО внутренних сетей водопровода и канализации</t>
  </si>
  <si>
    <t>руб/м2 в мес</t>
  </si>
  <si>
    <t>пр.ТЕР 33-024</t>
  </si>
  <si>
    <t>1 шт.</t>
  </si>
  <si>
    <t>Смена светодиодных светильников в.о.</t>
  </si>
  <si>
    <t>счёт</t>
  </si>
  <si>
    <t>Стоимость светодиодного светильника</t>
  </si>
  <si>
    <t>руб.</t>
  </si>
  <si>
    <t>Смена арматуры - вентилей и клапанов обратных муфтовых диаметром до 20 мм</t>
  </si>
  <si>
    <t>ТЕР 32-027</t>
  </si>
  <si>
    <t>ТЕР 33-060</t>
  </si>
  <si>
    <t>Баланс выполненных работ на 01.01.2017 г. ( -долг за предприятием, +долг за населением)</t>
  </si>
  <si>
    <t>пр.ТЕР 32-101</t>
  </si>
  <si>
    <t>Прогрев XВC</t>
  </si>
  <si>
    <t>Смена арматуры - вентилей и клапанов обратных муфтовых диаметром до 32 мм</t>
  </si>
  <si>
    <t>ТЕР 32-028</t>
  </si>
  <si>
    <t>Смена сгонов у трубопроводов диаметром до 32 мм</t>
  </si>
  <si>
    <t>1 сгон</t>
  </si>
  <si>
    <t xml:space="preserve">ТЕР 31-010 </t>
  </si>
  <si>
    <t>пр.ТЕР 31-057</t>
  </si>
  <si>
    <t>Утепление трубопроводов минеральной ватой</t>
  </si>
  <si>
    <t>1 м3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</si>
  <si>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</si>
  <si>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</si>
  <si>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</si>
  <si>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</si>
  <si>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Космонавтов, 1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</si>
  <si>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пр.ТЕР 32-098</t>
  </si>
  <si>
    <t>Устройство хомута диаметром до 50 мм</t>
  </si>
  <si>
    <t>место</t>
  </si>
  <si>
    <t>пр.ТЕР 32-083</t>
  </si>
  <si>
    <t>Смена полиэтиленовых канализационных труб 110×2000 мм</t>
  </si>
  <si>
    <t xml:space="preserve">Переход чугун-пластик Ду 110 </t>
  </si>
  <si>
    <t>Патрубок компенсацинный ПП Ду 110</t>
  </si>
  <si>
    <t>Манжета 110</t>
  </si>
  <si>
    <t>Прочистка засоров канализации</t>
  </si>
  <si>
    <t>Ремонт поверхности кирпичных стен при глубине заделки в 1 кирпич площадью в одном месте до 1 м2</t>
  </si>
  <si>
    <t>ТЕР 12-001</t>
  </si>
  <si>
    <t>Смена трубопроводов на полипропиленовые трубы PN25 диаметром 25мм</t>
  </si>
  <si>
    <t>Дезинфекция подвала</t>
  </si>
  <si>
    <t>Осмотр элекгросетей, арматуры и электрооборудования на чердаках и подвалах</t>
  </si>
  <si>
    <t>100 мест</t>
  </si>
  <si>
    <t>пр.ТЕР 58-16-3</t>
  </si>
  <si>
    <t xml:space="preserve">Ремонт цементной стяжки </t>
  </si>
  <si>
    <t>пр.ТЕР 16-026</t>
  </si>
  <si>
    <t>Устройство (смена) оснований под покрытие пола из фанеры плошадью, м2 до 20</t>
  </si>
  <si>
    <t>Внеплановая проверка вентканалов</t>
  </si>
  <si>
    <t>Ремонт отдельных мест покрытия из асбоцементных листов обыкновенного профиля</t>
  </si>
  <si>
    <t>10 м2</t>
  </si>
  <si>
    <t>ТЕР 17-006</t>
  </si>
  <si>
    <t>Смена обделок из листовой стали, примыканий к каменным стенам</t>
  </si>
  <si>
    <t>10 м</t>
  </si>
  <si>
    <t>ТЕР 17-058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</si>
  <si>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</si>
  <si>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</si>
  <si>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2-2-1-2-7</t>
  </si>
  <si>
    <t>Смена трубопроводов на полипропиленовые трубы PN25 диаметром 20мм</t>
  </si>
  <si>
    <t>ТЕР 12-048</t>
  </si>
  <si>
    <t>Разборка короба для работ ВДИС</t>
  </si>
  <si>
    <t>ТЕР 10-01-012-1</t>
  </si>
  <si>
    <t>Восстановление короба после работ ВДИС</t>
  </si>
  <si>
    <t>ТЕР 2-1-1а</t>
  </si>
  <si>
    <t>Внеплановая проверка дымоходов</t>
  </si>
  <si>
    <t>ТЕР 11-01-033-2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</si>
  <si>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</si>
  <si>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</si>
  <si>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Устройство дощатого люка у под.№1</t>
  </si>
  <si>
    <t>Сверхнормативы по ОДП за 1 полугодие</t>
  </si>
  <si>
    <t>Сверхнормативы по ОДП за 2 полугодие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</si>
</sst>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4" fontId="1" fillId="4" borderId="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4" fontId="1" fillId="8" borderId="1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8" fillId="0" borderId="0" xfId="0" applyFont="1" applyAlignment="1"/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21" xfId="0" applyFont="1" applyBorder="1"/>
    <xf numFmtId="0" fontId="1" fillId="5" borderId="21" xfId="0" applyFont="1" applyFill="1" applyBorder="1"/>
    <xf numFmtId="0" fontId="1" fillId="4" borderId="22" xfId="0" applyFont="1" applyFill="1" applyBorder="1" applyAlignment="1">
      <alignment horizontal="center" vertical="center"/>
    </xf>
    <xf numFmtId="0" fontId="1" fillId="0" borderId="3" xfId="0" applyFont="1" applyBorder="1"/>
    <xf numFmtId="4" fontId="1" fillId="2" borderId="23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1" fillId="4" borderId="3" xfId="0" applyNumberFormat="1" applyFont="1" applyFill="1" applyBorder="1" applyAlignment="1">
      <alignment horizontal="left" vertical="center"/>
    </xf>
    <xf numFmtId="4" fontId="1" fillId="4" borderId="24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U135"/>
  <sheetViews>
    <sheetView tabSelected="1" view="pageBreakPreview" zoomScaleNormal="75" zoomScaleSheetLayoutView="100" workbookViewId="0">
      <pane ySplit="7" topLeftCell="A127" activePane="bottomLeft" state="frozen"/>
      <selection activeCell="B1" sqref="B1"/>
      <selection pane="bottomLeft" activeCell="B132" sqref="B132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5" width="9.85546875" customWidth="1"/>
    <col min="6" max="8" width="10.140625" customWidth="1"/>
    <col min="9" max="12" width="9.85546875" customWidth="1"/>
    <col min="13" max="13" width="10.7109375" customWidth="1"/>
    <col min="14" max="20" width="9.85546875" customWidth="1"/>
    <col min="21" max="21" width="12.28515625" customWidth="1"/>
  </cols>
  <sheetData>
    <row r="1" spans="1:21" ht="14.25" customHeight="1">
      <c r="A1" s="141"/>
    </row>
    <row r="3" spans="1:21" ht="18">
      <c r="A3" s="122"/>
      <c r="B3" s="180" t="s">
        <v>0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69"/>
      <c r="N3" s="69"/>
      <c r="O3" s="69"/>
      <c r="P3" s="69"/>
      <c r="Q3" s="69"/>
      <c r="R3" s="69"/>
      <c r="S3" s="69"/>
      <c r="T3" s="69"/>
      <c r="U3" s="69"/>
    </row>
    <row r="4" spans="1:21" ht="33" customHeight="1">
      <c r="A4" s="69"/>
      <c r="B4" s="181" t="s">
        <v>1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69"/>
      <c r="N4" s="69"/>
      <c r="O4" s="69"/>
      <c r="P4" s="69"/>
      <c r="Q4" s="69"/>
      <c r="R4" s="69"/>
      <c r="S4" s="69"/>
      <c r="T4" s="69"/>
      <c r="U4" s="69"/>
    </row>
    <row r="5" spans="1:21" ht="18">
      <c r="A5" s="69"/>
      <c r="B5" s="181" t="s">
        <v>217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69"/>
      <c r="N5" s="69"/>
      <c r="O5" s="69"/>
      <c r="P5" s="69"/>
      <c r="Q5" s="69"/>
      <c r="R5" s="69"/>
      <c r="S5" s="69"/>
      <c r="T5" s="69"/>
      <c r="U5" s="69"/>
    </row>
    <row r="6" spans="1:21" ht="14.25">
      <c r="A6" s="69"/>
      <c r="B6" s="182" t="s">
        <v>124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69"/>
      <c r="N6" s="69"/>
      <c r="O6" s="69"/>
      <c r="P6" s="69"/>
      <c r="Q6" s="69"/>
      <c r="R6" s="69"/>
      <c r="S6" s="69"/>
      <c r="T6" s="69"/>
      <c r="U6" s="69"/>
    </row>
    <row r="7" spans="1:21" ht="54.75" customHeight="1">
      <c r="A7" s="129" t="s">
        <v>2</v>
      </c>
      <c r="B7" s="130" t="s">
        <v>3</v>
      </c>
      <c r="C7" s="130" t="s">
        <v>4</v>
      </c>
      <c r="D7" s="130" t="s">
        <v>5</v>
      </c>
      <c r="E7" s="130" t="s">
        <v>6</v>
      </c>
      <c r="F7" s="130" t="s">
        <v>7</v>
      </c>
      <c r="G7" s="130" t="s">
        <v>8</v>
      </c>
      <c r="H7" s="131" t="s">
        <v>9</v>
      </c>
      <c r="I7" s="25" t="s">
        <v>109</v>
      </c>
      <c r="J7" s="25" t="s">
        <v>110</v>
      </c>
      <c r="K7" s="25" t="s">
        <v>111</v>
      </c>
      <c r="L7" s="25" t="s">
        <v>112</v>
      </c>
      <c r="M7" s="25" t="s">
        <v>128</v>
      </c>
      <c r="N7" s="25" t="s">
        <v>113</v>
      </c>
      <c r="O7" s="25" t="s">
        <v>114</v>
      </c>
      <c r="P7" s="25" t="s">
        <v>115</v>
      </c>
      <c r="Q7" s="25" t="s">
        <v>116</v>
      </c>
      <c r="R7" s="25" t="s">
        <v>117</v>
      </c>
      <c r="S7" s="25" t="s">
        <v>118</v>
      </c>
      <c r="T7" s="25" t="s">
        <v>119</v>
      </c>
      <c r="U7" s="25" t="s">
        <v>125</v>
      </c>
    </row>
    <row r="8" spans="1:21">
      <c r="A8" s="132">
        <v>1</v>
      </c>
      <c r="B8" s="7">
        <v>2</v>
      </c>
      <c r="C8" s="26">
        <v>3</v>
      </c>
      <c r="D8" s="7">
        <v>4</v>
      </c>
      <c r="E8" s="7">
        <v>5</v>
      </c>
      <c r="F8" s="26">
        <v>6</v>
      </c>
      <c r="G8" s="26">
        <v>7</v>
      </c>
      <c r="H8" s="27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</row>
    <row r="9" spans="1:21" ht="38.25">
      <c r="A9" s="132"/>
      <c r="B9" s="9" t="s">
        <v>10</v>
      </c>
      <c r="C9" s="26"/>
      <c r="D9" s="10"/>
      <c r="E9" s="10"/>
      <c r="F9" s="26"/>
      <c r="G9" s="26"/>
      <c r="H9" s="29"/>
      <c r="I9" s="30"/>
      <c r="J9" s="30"/>
      <c r="K9" s="30"/>
      <c r="L9" s="30"/>
      <c r="M9" s="31"/>
      <c r="N9" s="32"/>
      <c r="O9" s="32"/>
      <c r="P9" s="32"/>
      <c r="Q9" s="32"/>
      <c r="R9" s="32"/>
      <c r="S9" s="32"/>
      <c r="T9" s="32"/>
      <c r="U9" s="32"/>
    </row>
    <row r="10" spans="1:21">
      <c r="A10" s="132"/>
      <c r="B10" s="9" t="s">
        <v>11</v>
      </c>
      <c r="C10" s="26"/>
      <c r="D10" s="10"/>
      <c r="E10" s="10"/>
      <c r="F10" s="26"/>
      <c r="G10" s="26"/>
      <c r="H10" s="29"/>
      <c r="I10" s="30"/>
      <c r="J10" s="30"/>
      <c r="K10" s="30"/>
      <c r="L10" s="30"/>
      <c r="M10" s="31"/>
      <c r="N10" s="32"/>
      <c r="O10" s="32"/>
      <c r="P10" s="32"/>
      <c r="Q10" s="32"/>
      <c r="R10" s="32"/>
      <c r="S10" s="32"/>
      <c r="T10" s="32"/>
      <c r="U10" s="32"/>
    </row>
    <row r="11" spans="1:21" ht="12.75" customHeight="1">
      <c r="A11" s="132" t="s">
        <v>141</v>
      </c>
      <c r="B11" s="10" t="s">
        <v>12</v>
      </c>
      <c r="C11" s="26" t="s">
        <v>13</v>
      </c>
      <c r="D11" s="10" t="s">
        <v>181</v>
      </c>
      <c r="E11" s="33">
        <v>70.900000000000006</v>
      </c>
      <c r="F11" s="34">
        <f>SUM(E11*156/100)</f>
        <v>110.60400000000001</v>
      </c>
      <c r="G11" s="34">
        <v>218.21</v>
      </c>
      <c r="H11" s="35">
        <f t="shared" ref="H11:H20" si="0">SUM(F11*G11/1000)</f>
        <v>24.134898840000005</v>
      </c>
      <c r="I11" s="36">
        <f>F11/12*G11</f>
        <v>2011.2415700000001</v>
      </c>
      <c r="J11" s="36">
        <f>F11/12*G11</f>
        <v>2011.2415700000001</v>
      </c>
      <c r="K11" s="36">
        <f>F11/12*G11</f>
        <v>2011.2415700000001</v>
      </c>
      <c r="L11" s="36">
        <f>F11/12*G11</f>
        <v>2011.2415700000001</v>
      </c>
      <c r="M11" s="36">
        <f>F11/12*G11</f>
        <v>2011.2415700000001</v>
      </c>
      <c r="N11" s="36">
        <f>F11/12*G11</f>
        <v>2011.2415700000001</v>
      </c>
      <c r="O11" s="36">
        <f>F11/12*G11</f>
        <v>2011.2415700000001</v>
      </c>
      <c r="P11" s="36">
        <f>F11/12*G11</f>
        <v>2011.2415700000001</v>
      </c>
      <c r="Q11" s="36">
        <f>F11/12*G11</f>
        <v>2011.2415700000001</v>
      </c>
      <c r="R11" s="36">
        <f>F11/12*G11</f>
        <v>2011.2415700000001</v>
      </c>
      <c r="S11" s="36">
        <f>F11/12*G11</f>
        <v>2011.2415700000001</v>
      </c>
      <c r="T11" s="36">
        <f>F11/12*G11</f>
        <v>2011.2415700000001</v>
      </c>
      <c r="U11" s="36">
        <f>SUM(I11:T11)</f>
        <v>24134.898839999994</v>
      </c>
    </row>
    <row r="12" spans="1:21" ht="25.5">
      <c r="A12" s="132" t="s">
        <v>141</v>
      </c>
      <c r="B12" s="10" t="s">
        <v>102</v>
      </c>
      <c r="C12" s="26" t="s">
        <v>13</v>
      </c>
      <c r="D12" s="10" t="s">
        <v>182</v>
      </c>
      <c r="E12" s="33">
        <v>212.7</v>
      </c>
      <c r="F12" s="34">
        <f>SUM(E12*104/100)</f>
        <v>221.208</v>
      </c>
      <c r="G12" s="34">
        <v>218.21</v>
      </c>
      <c r="H12" s="35">
        <f t="shared" si="0"/>
        <v>48.269797680000003</v>
      </c>
      <c r="I12" s="36">
        <f>F12/12*G12</f>
        <v>4022.4831400000003</v>
      </c>
      <c r="J12" s="36">
        <f>F12/12*G12</f>
        <v>4022.4831400000003</v>
      </c>
      <c r="K12" s="36">
        <f>F12/12*G12</f>
        <v>4022.4831400000003</v>
      </c>
      <c r="L12" s="36">
        <f>F12/12*G12</f>
        <v>4022.4831400000003</v>
      </c>
      <c r="M12" s="36">
        <f>F12/12*G12</f>
        <v>4022.4831400000003</v>
      </c>
      <c r="N12" s="36">
        <f>F12/12*G12</f>
        <v>4022.4831400000003</v>
      </c>
      <c r="O12" s="36">
        <f>F12/12*G12</f>
        <v>4022.4831400000003</v>
      </c>
      <c r="P12" s="36">
        <f>F12/12*G12</f>
        <v>4022.4831400000003</v>
      </c>
      <c r="Q12" s="36">
        <f>F12/12*G12</f>
        <v>4022.4831400000003</v>
      </c>
      <c r="R12" s="36">
        <f>F12/12*G12</f>
        <v>4022.4831400000003</v>
      </c>
      <c r="S12" s="36">
        <f>F12/12*G12</f>
        <v>4022.4831400000003</v>
      </c>
      <c r="T12" s="36">
        <f>F12/12*G12</f>
        <v>4022.4831400000003</v>
      </c>
      <c r="U12" s="36">
        <f t="shared" ref="U12:U20" si="1">SUM(I12:T12)</f>
        <v>48269.797679999989</v>
      </c>
    </row>
    <row r="13" spans="1:21" ht="25.5">
      <c r="A13" s="132" t="s">
        <v>142</v>
      </c>
      <c r="B13" s="10" t="s">
        <v>103</v>
      </c>
      <c r="C13" s="26" t="s">
        <v>13</v>
      </c>
      <c r="D13" s="10" t="s">
        <v>183</v>
      </c>
      <c r="E13" s="33">
        <f>SUM(E11+E12)</f>
        <v>283.60000000000002</v>
      </c>
      <c r="F13" s="34">
        <f>SUM(E13*24/100)</f>
        <v>68.064000000000007</v>
      </c>
      <c r="G13" s="34">
        <v>627.77</v>
      </c>
      <c r="H13" s="35">
        <f t="shared" si="0"/>
        <v>42.728537280000005</v>
      </c>
      <c r="I13" s="36">
        <f>F13/12*G13</f>
        <v>3560.7114400000005</v>
      </c>
      <c r="J13" s="36">
        <f>F13/12*G13</f>
        <v>3560.7114400000005</v>
      </c>
      <c r="K13" s="36">
        <f>F13/12*G13</f>
        <v>3560.7114400000005</v>
      </c>
      <c r="L13" s="36">
        <f>F13/12*G13</f>
        <v>3560.7114400000005</v>
      </c>
      <c r="M13" s="36">
        <f>F13/12*G13</f>
        <v>3560.7114400000005</v>
      </c>
      <c r="N13" s="36">
        <f>F13/12*G13</f>
        <v>3560.7114400000005</v>
      </c>
      <c r="O13" s="36">
        <f>F13/12*G13</f>
        <v>3560.7114400000005</v>
      </c>
      <c r="P13" s="36">
        <f>F13/12*G13</f>
        <v>3560.7114400000005</v>
      </c>
      <c r="Q13" s="36">
        <f>F13/12*G13</f>
        <v>3560.7114400000005</v>
      </c>
      <c r="R13" s="36">
        <f>F13/12*G13</f>
        <v>3560.7114400000005</v>
      </c>
      <c r="S13" s="36">
        <f>F13/12*G13</f>
        <v>3560.7114400000005</v>
      </c>
      <c r="T13" s="36">
        <f>F13/12*G13</f>
        <v>3560.7114400000005</v>
      </c>
      <c r="U13" s="36">
        <f t="shared" si="1"/>
        <v>42728.537279999997</v>
      </c>
    </row>
    <row r="14" spans="1:21">
      <c r="A14" s="132" t="s">
        <v>143</v>
      </c>
      <c r="B14" s="10" t="s">
        <v>14</v>
      </c>
      <c r="C14" s="26" t="s">
        <v>15</v>
      </c>
      <c r="D14" s="10" t="s">
        <v>89</v>
      </c>
      <c r="E14" s="33">
        <v>40</v>
      </c>
      <c r="F14" s="34">
        <f>SUM(E14/10)</f>
        <v>4</v>
      </c>
      <c r="G14" s="34">
        <v>211.74</v>
      </c>
      <c r="H14" s="35">
        <f t="shared" si="0"/>
        <v>0.84696000000000005</v>
      </c>
      <c r="I14" s="36">
        <v>0</v>
      </c>
      <c r="J14" s="36">
        <v>0</v>
      </c>
      <c r="K14" s="36">
        <v>0</v>
      </c>
      <c r="L14" s="36">
        <v>0</v>
      </c>
      <c r="M14" s="36">
        <f>F14/2*G14</f>
        <v>423.48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f t="shared" si="1"/>
        <v>423.48</v>
      </c>
    </row>
    <row r="15" spans="1:21">
      <c r="A15" s="132" t="s">
        <v>144</v>
      </c>
      <c r="B15" s="10" t="s">
        <v>16</v>
      </c>
      <c r="C15" s="26" t="s">
        <v>13</v>
      </c>
      <c r="D15" s="10" t="s">
        <v>44</v>
      </c>
      <c r="E15" s="33">
        <v>10.5</v>
      </c>
      <c r="F15" s="34">
        <f>SUM(E15*2/100)</f>
        <v>0.21</v>
      </c>
      <c r="G15" s="34">
        <v>271.12</v>
      </c>
      <c r="H15" s="35">
        <f t="shared" si="0"/>
        <v>5.6935200000000005E-2</v>
      </c>
      <c r="I15" s="36">
        <v>0</v>
      </c>
      <c r="J15" s="36">
        <v>0</v>
      </c>
      <c r="K15" s="36">
        <v>0</v>
      </c>
      <c r="L15" s="36">
        <v>0</v>
      </c>
      <c r="M15" s="36">
        <f>F15/2*G15</f>
        <v>28.467600000000001</v>
      </c>
      <c r="N15" s="36">
        <v>0</v>
      </c>
      <c r="O15" s="36">
        <v>0</v>
      </c>
      <c r="P15" s="36">
        <v>0</v>
      </c>
      <c r="Q15" s="36">
        <f>F15/2*G15</f>
        <v>28.467600000000001</v>
      </c>
      <c r="R15" s="36">
        <v>0</v>
      </c>
      <c r="S15" s="36">
        <v>0</v>
      </c>
      <c r="T15" s="36">
        <v>0</v>
      </c>
      <c r="U15" s="36">
        <f t="shared" si="1"/>
        <v>56.935200000000002</v>
      </c>
    </row>
    <row r="16" spans="1:21">
      <c r="A16" s="132" t="s">
        <v>145</v>
      </c>
      <c r="B16" s="10" t="s">
        <v>17</v>
      </c>
      <c r="C16" s="26" t="s">
        <v>13</v>
      </c>
      <c r="D16" s="10" t="s">
        <v>44</v>
      </c>
      <c r="E16" s="33">
        <v>2.7</v>
      </c>
      <c r="F16" s="34">
        <f>SUM(E16*2/100)</f>
        <v>5.4000000000000006E-2</v>
      </c>
      <c r="G16" s="34">
        <v>268.92</v>
      </c>
      <c r="H16" s="35">
        <f t="shared" si="0"/>
        <v>1.4521680000000002E-2</v>
      </c>
      <c r="I16" s="36">
        <v>0</v>
      </c>
      <c r="J16" s="36">
        <v>0</v>
      </c>
      <c r="K16" s="36">
        <v>0</v>
      </c>
      <c r="L16" s="36">
        <v>0</v>
      </c>
      <c r="M16" s="36">
        <f>F16/2*G16</f>
        <v>7.2608400000000008</v>
      </c>
      <c r="N16" s="36">
        <v>0</v>
      </c>
      <c r="O16" s="36">
        <v>0</v>
      </c>
      <c r="P16" s="36">
        <v>0</v>
      </c>
      <c r="Q16" s="36">
        <f>F16/2*G16</f>
        <v>7.2608400000000008</v>
      </c>
      <c r="R16" s="36">
        <v>0</v>
      </c>
      <c r="S16" s="36">
        <v>0</v>
      </c>
      <c r="T16" s="36">
        <v>0</v>
      </c>
      <c r="U16" s="36">
        <f t="shared" si="1"/>
        <v>14.521680000000002</v>
      </c>
    </row>
    <row r="17" spans="1:21">
      <c r="A17" s="132" t="s">
        <v>146</v>
      </c>
      <c r="B17" s="10" t="s">
        <v>18</v>
      </c>
      <c r="C17" s="26" t="s">
        <v>19</v>
      </c>
      <c r="D17" s="10" t="s">
        <v>89</v>
      </c>
      <c r="E17" s="33">
        <v>357</v>
      </c>
      <c r="F17" s="34">
        <f t="shared" ref="F17:F20" si="2">SUM(E17/100)</f>
        <v>3.57</v>
      </c>
      <c r="G17" s="34">
        <v>335.05</v>
      </c>
      <c r="H17" s="35">
        <f t="shared" si="0"/>
        <v>1.1961284999999999</v>
      </c>
      <c r="I17" s="36">
        <v>0</v>
      </c>
      <c r="J17" s="36">
        <v>0</v>
      </c>
      <c r="K17" s="36">
        <v>0</v>
      </c>
      <c r="L17" s="36">
        <v>0</v>
      </c>
      <c r="M17" s="36">
        <f t="shared" ref="M17:M20" si="3">F17*G17</f>
        <v>1196.1285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f t="shared" si="1"/>
        <v>1196.1285</v>
      </c>
    </row>
    <row r="18" spans="1:21">
      <c r="A18" s="132" t="s">
        <v>147</v>
      </c>
      <c r="B18" s="10" t="s">
        <v>20</v>
      </c>
      <c r="C18" s="26" t="s">
        <v>19</v>
      </c>
      <c r="D18" s="10" t="s">
        <v>89</v>
      </c>
      <c r="E18" s="38">
        <v>38.64</v>
      </c>
      <c r="F18" s="34">
        <f t="shared" si="2"/>
        <v>0.38640000000000002</v>
      </c>
      <c r="G18" s="34">
        <v>55.1</v>
      </c>
      <c r="H18" s="35">
        <f t="shared" si="0"/>
        <v>2.1290640000000003E-2</v>
      </c>
      <c r="I18" s="36">
        <v>0</v>
      </c>
      <c r="J18" s="36">
        <v>0</v>
      </c>
      <c r="K18" s="36">
        <v>0</v>
      </c>
      <c r="L18" s="36">
        <v>0</v>
      </c>
      <c r="M18" s="36">
        <f t="shared" si="3"/>
        <v>21.290640000000003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f t="shared" si="1"/>
        <v>21.290640000000003</v>
      </c>
    </row>
    <row r="19" spans="1:21">
      <c r="A19" s="132" t="s">
        <v>148</v>
      </c>
      <c r="B19" s="10" t="s">
        <v>104</v>
      </c>
      <c r="C19" s="26" t="s">
        <v>19</v>
      </c>
      <c r="D19" s="39" t="s">
        <v>89</v>
      </c>
      <c r="E19" s="40">
        <v>15</v>
      </c>
      <c r="F19" s="41">
        <f t="shared" si="2"/>
        <v>0.15</v>
      </c>
      <c r="G19" s="34">
        <v>484.94</v>
      </c>
      <c r="H19" s="35">
        <f t="shared" si="0"/>
        <v>7.2741E-2</v>
      </c>
      <c r="I19" s="36">
        <v>0</v>
      </c>
      <c r="J19" s="36">
        <v>0</v>
      </c>
      <c r="K19" s="36">
        <v>0</v>
      </c>
      <c r="L19" s="36">
        <v>0</v>
      </c>
      <c r="M19" s="36">
        <f t="shared" si="3"/>
        <v>72.741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f t="shared" si="1"/>
        <v>72.741</v>
      </c>
    </row>
    <row r="20" spans="1:21">
      <c r="A20" s="132" t="s">
        <v>149</v>
      </c>
      <c r="B20" s="10" t="s">
        <v>21</v>
      </c>
      <c r="C20" s="26" t="s">
        <v>19</v>
      </c>
      <c r="D20" s="10" t="s">
        <v>89</v>
      </c>
      <c r="E20" s="42">
        <v>6.38</v>
      </c>
      <c r="F20" s="34">
        <f t="shared" si="2"/>
        <v>6.3799999999999996E-2</v>
      </c>
      <c r="G20" s="34">
        <v>684.05</v>
      </c>
      <c r="H20" s="35">
        <f t="shared" si="0"/>
        <v>4.3642389999999989E-2</v>
      </c>
      <c r="I20" s="36">
        <v>0</v>
      </c>
      <c r="J20" s="36">
        <v>0</v>
      </c>
      <c r="K20" s="36">
        <v>0</v>
      </c>
      <c r="L20" s="36">
        <v>0</v>
      </c>
      <c r="M20" s="36">
        <f t="shared" si="3"/>
        <v>43.642389999999992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f t="shared" si="1"/>
        <v>43.642389999999992</v>
      </c>
    </row>
    <row r="21" spans="1:21" s="18" customFormat="1">
      <c r="A21" s="133"/>
      <c r="B21" s="19" t="s">
        <v>22</v>
      </c>
      <c r="C21" s="43"/>
      <c r="D21" s="19"/>
      <c r="E21" s="44"/>
      <c r="F21" s="45"/>
      <c r="G21" s="45"/>
      <c r="H21" s="46">
        <f>SUM(H11:H20)</f>
        <v>117.38545321000002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>
        <f>SUM(U11:U20)</f>
        <v>116961.97321</v>
      </c>
    </row>
    <row r="22" spans="1:21">
      <c r="A22" s="132"/>
      <c r="B22" s="11" t="s">
        <v>23</v>
      </c>
      <c r="C22" s="26"/>
      <c r="D22" s="10"/>
      <c r="E22" s="33"/>
      <c r="F22" s="34"/>
      <c r="G22" s="34"/>
      <c r="H22" s="35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ht="12.75" customHeight="1">
      <c r="A23" s="132" t="s">
        <v>150</v>
      </c>
      <c r="B23" s="10" t="s">
        <v>184</v>
      </c>
      <c r="C23" s="26" t="s">
        <v>24</v>
      </c>
      <c r="D23" s="10" t="s">
        <v>185</v>
      </c>
      <c r="E23" s="34">
        <v>65.099999999999994</v>
      </c>
      <c r="F23" s="34">
        <f>SUM(E23*52/1000)</f>
        <v>3.3851999999999998</v>
      </c>
      <c r="G23" s="34">
        <v>193.97</v>
      </c>
      <c r="H23" s="35">
        <f t="shared" ref="H23:H30" si="4">SUM(F23*G23/1000)</f>
        <v>0.65662724399999994</v>
      </c>
      <c r="I23" s="36">
        <v>0</v>
      </c>
      <c r="J23" s="36">
        <v>0</v>
      </c>
      <c r="K23" s="36">
        <v>0</v>
      </c>
      <c r="L23" s="36">
        <v>0</v>
      </c>
      <c r="M23" s="36">
        <f>F23/6*G23</f>
        <v>109.43787399999998</v>
      </c>
      <c r="N23" s="36">
        <f>F23/6*G23</f>
        <v>109.43787399999998</v>
      </c>
      <c r="O23" s="36">
        <f>F23/6*G23</f>
        <v>109.43787399999998</v>
      </c>
      <c r="P23" s="36">
        <f>F23/6*G23</f>
        <v>109.43787399999998</v>
      </c>
      <c r="Q23" s="36">
        <f>F23/6*G23</f>
        <v>109.43787399999998</v>
      </c>
      <c r="R23" s="36">
        <f>F23/6*G23</f>
        <v>109.43787399999998</v>
      </c>
      <c r="S23" s="36">
        <v>0</v>
      </c>
      <c r="T23" s="36">
        <v>0</v>
      </c>
      <c r="U23" s="36">
        <f t="shared" ref="U23:U30" si="5">SUM(I23:T23)</f>
        <v>656.62724399999991</v>
      </c>
    </row>
    <row r="24" spans="1:21" ht="38.25" customHeight="1">
      <c r="A24" s="132" t="s">
        <v>151</v>
      </c>
      <c r="B24" s="10" t="s">
        <v>135</v>
      </c>
      <c r="C24" s="26" t="s">
        <v>24</v>
      </c>
      <c r="D24" s="10" t="s">
        <v>186</v>
      </c>
      <c r="E24" s="34">
        <v>65.099999999999994</v>
      </c>
      <c r="F24" s="34">
        <f>SUM(E24*78/1000)</f>
        <v>5.077799999999999</v>
      </c>
      <c r="G24" s="34">
        <v>321.82</v>
      </c>
      <c r="H24" s="35">
        <f t="shared" si="4"/>
        <v>1.6341375959999995</v>
      </c>
      <c r="I24" s="36">
        <v>0</v>
      </c>
      <c r="J24" s="36">
        <v>0</v>
      </c>
      <c r="K24" s="36">
        <v>0</v>
      </c>
      <c r="L24" s="36">
        <v>0</v>
      </c>
      <c r="M24" s="36">
        <f>F24/6*G24</f>
        <v>272.35626599999995</v>
      </c>
      <c r="N24" s="36">
        <f>F24/6*G24</f>
        <v>272.35626599999995</v>
      </c>
      <c r="O24" s="36">
        <f>F24/6*G24</f>
        <v>272.35626599999995</v>
      </c>
      <c r="P24" s="36">
        <f>F24/6*G24</f>
        <v>272.35626599999995</v>
      </c>
      <c r="Q24" s="36">
        <f>F24/6*G24</f>
        <v>272.35626599999995</v>
      </c>
      <c r="R24" s="36">
        <f>F24/6*G24</f>
        <v>272.35626599999995</v>
      </c>
      <c r="S24" s="36">
        <v>0</v>
      </c>
      <c r="T24" s="36">
        <v>0</v>
      </c>
      <c r="U24" s="36">
        <f t="shared" si="5"/>
        <v>1634.1375959999998</v>
      </c>
    </row>
    <row r="25" spans="1:21">
      <c r="A25" s="132" t="s">
        <v>152</v>
      </c>
      <c r="B25" s="10" t="s">
        <v>25</v>
      </c>
      <c r="C25" s="26" t="s">
        <v>24</v>
      </c>
      <c r="D25" s="10" t="s">
        <v>26</v>
      </c>
      <c r="E25" s="34">
        <v>65.099999999999994</v>
      </c>
      <c r="F25" s="34">
        <f>SUM(E25/1000)</f>
        <v>6.5099999999999991E-2</v>
      </c>
      <c r="G25" s="34">
        <v>3758.28</v>
      </c>
      <c r="H25" s="35">
        <f t="shared" si="4"/>
        <v>0.24466402799999998</v>
      </c>
      <c r="I25" s="36">
        <v>0</v>
      </c>
      <c r="J25" s="36">
        <v>0</v>
      </c>
      <c r="K25" s="36">
        <v>0</v>
      </c>
      <c r="L25" s="36">
        <v>0</v>
      </c>
      <c r="M25" s="36">
        <f>F25*G25</f>
        <v>244.66402799999997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f t="shared" si="5"/>
        <v>244.66402799999997</v>
      </c>
    </row>
    <row r="26" spans="1:21">
      <c r="A26" s="132" t="s">
        <v>153</v>
      </c>
      <c r="B26" s="10" t="s">
        <v>27</v>
      </c>
      <c r="C26" s="26" t="s">
        <v>28</v>
      </c>
      <c r="D26" s="10" t="s">
        <v>29</v>
      </c>
      <c r="E26" s="49">
        <f>1/6</f>
        <v>0.16666666666666666</v>
      </c>
      <c r="F26" s="34">
        <f>155/6</f>
        <v>25.833333333333332</v>
      </c>
      <c r="G26" s="34">
        <v>70.540000000000006</v>
      </c>
      <c r="H26" s="35">
        <f t="shared" si="4"/>
        <v>1.8222833333333333</v>
      </c>
      <c r="I26" s="36">
        <v>0</v>
      </c>
      <c r="J26" s="36">
        <v>0</v>
      </c>
      <c r="K26" s="36">
        <v>0</v>
      </c>
      <c r="L26" s="36">
        <v>0</v>
      </c>
      <c r="M26" s="36">
        <f>F26/6*G26</f>
        <v>303.7138888888889</v>
      </c>
      <c r="N26" s="36">
        <f>F26/6*G26</f>
        <v>303.7138888888889</v>
      </c>
      <c r="O26" s="36">
        <f>F26/6*G26</f>
        <v>303.7138888888889</v>
      </c>
      <c r="P26" s="36">
        <f>F26/6*G26</f>
        <v>303.7138888888889</v>
      </c>
      <c r="Q26" s="36">
        <f>F26/6*G26</f>
        <v>303.7138888888889</v>
      </c>
      <c r="R26" s="36">
        <f>F26/6*G26</f>
        <v>303.7138888888889</v>
      </c>
      <c r="S26" s="36">
        <v>0</v>
      </c>
      <c r="T26" s="36">
        <v>0</v>
      </c>
      <c r="U26" s="36">
        <f t="shared" si="5"/>
        <v>1822.2833333333335</v>
      </c>
    </row>
    <row r="27" spans="1:21" ht="12.75" customHeight="1">
      <c r="A27" s="132" t="s">
        <v>154</v>
      </c>
      <c r="B27" s="10" t="s">
        <v>30</v>
      </c>
      <c r="C27" s="26" t="s">
        <v>31</v>
      </c>
      <c r="D27" s="10" t="s">
        <v>32</v>
      </c>
      <c r="E27" s="50">
        <v>0.05</v>
      </c>
      <c r="F27" s="34">
        <f>SUM(E27*365)</f>
        <v>18.25</v>
      </c>
      <c r="G27" s="34">
        <v>182.96</v>
      </c>
      <c r="H27" s="35">
        <f t="shared" si="4"/>
        <v>3.3390200000000001</v>
      </c>
      <c r="I27" s="36">
        <f>F27/12*G27</f>
        <v>278.25166666666667</v>
      </c>
      <c r="J27" s="36">
        <f>F27/12*G27</f>
        <v>278.25166666666667</v>
      </c>
      <c r="K27" s="36">
        <f>F27/12*G27</f>
        <v>278.25166666666667</v>
      </c>
      <c r="L27" s="36">
        <f>F27/12*G27</f>
        <v>278.25166666666667</v>
      </c>
      <c r="M27" s="36">
        <f>F27/12*G27</f>
        <v>278.25166666666667</v>
      </c>
      <c r="N27" s="36">
        <f>F27/12*G27</f>
        <v>278.25166666666667</v>
      </c>
      <c r="O27" s="36">
        <f>F27/12*G27</f>
        <v>278.25166666666667</v>
      </c>
      <c r="P27" s="36">
        <f>F27/12*G27</f>
        <v>278.25166666666667</v>
      </c>
      <c r="Q27" s="36">
        <f>F27/12*G27</f>
        <v>278.25166666666667</v>
      </c>
      <c r="R27" s="36">
        <f>F27/12*G27</f>
        <v>278.25166666666667</v>
      </c>
      <c r="S27" s="36">
        <f>F27/12*G27</f>
        <v>278.25166666666667</v>
      </c>
      <c r="T27" s="36">
        <f>F27/12*G27</f>
        <v>278.25166666666667</v>
      </c>
      <c r="U27" s="36">
        <f t="shared" si="5"/>
        <v>3339.0199999999991</v>
      </c>
    </row>
    <row r="28" spans="1:21" ht="12.75" customHeight="1">
      <c r="A28" s="132" t="s">
        <v>155</v>
      </c>
      <c r="B28" s="10" t="s">
        <v>134</v>
      </c>
      <c r="C28" s="26" t="s">
        <v>31</v>
      </c>
      <c r="D28" s="10" t="s">
        <v>33</v>
      </c>
      <c r="E28" s="33"/>
      <c r="F28" s="34">
        <v>1</v>
      </c>
      <c r="G28" s="34">
        <v>238.07</v>
      </c>
      <c r="H28" s="35">
        <f t="shared" si="4"/>
        <v>0.23807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f t="shared" si="5"/>
        <v>0</v>
      </c>
    </row>
    <row r="29" spans="1:21" ht="12.75" customHeight="1">
      <c r="A29" s="132" t="s">
        <v>122</v>
      </c>
      <c r="B29" s="10" t="s">
        <v>34</v>
      </c>
      <c r="C29" s="26" t="s">
        <v>35</v>
      </c>
      <c r="D29" s="10" t="s">
        <v>33</v>
      </c>
      <c r="E29" s="33"/>
      <c r="F29" s="34">
        <v>1</v>
      </c>
      <c r="G29" s="34">
        <v>1413.96</v>
      </c>
      <c r="H29" s="35">
        <f t="shared" si="4"/>
        <v>1.4139600000000001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f t="shared" si="5"/>
        <v>0</v>
      </c>
    </row>
    <row r="30" spans="1:21">
      <c r="A30" s="132"/>
      <c r="B30" s="51" t="s">
        <v>36</v>
      </c>
      <c r="C30" s="26" t="s">
        <v>37</v>
      </c>
      <c r="D30" s="51" t="s">
        <v>38</v>
      </c>
      <c r="E30" s="33">
        <v>2549.5</v>
      </c>
      <c r="F30" s="34">
        <f>SUM(E30*12)</f>
        <v>30594</v>
      </c>
      <c r="G30" s="34">
        <v>4.24</v>
      </c>
      <c r="H30" s="35">
        <f t="shared" si="4"/>
        <v>129.71856000000002</v>
      </c>
      <c r="I30" s="36">
        <f>F30/12*G30</f>
        <v>10809.880000000001</v>
      </c>
      <c r="J30" s="36">
        <f>F30/12*G30</f>
        <v>10809.880000000001</v>
      </c>
      <c r="K30" s="36">
        <f>F30/12*G30</f>
        <v>10809.880000000001</v>
      </c>
      <c r="L30" s="36">
        <f>F30/12*G30</f>
        <v>10809.880000000001</v>
      </c>
      <c r="M30" s="36">
        <f>F30/12*G30</f>
        <v>10809.880000000001</v>
      </c>
      <c r="N30" s="36">
        <f>F30/12*G30</f>
        <v>10809.880000000001</v>
      </c>
      <c r="O30" s="36">
        <f>F30/12*G30</f>
        <v>10809.880000000001</v>
      </c>
      <c r="P30" s="36">
        <f>F30/12*G30</f>
        <v>10809.880000000001</v>
      </c>
      <c r="Q30" s="36">
        <f>F30/12*G30</f>
        <v>10809.880000000001</v>
      </c>
      <c r="R30" s="36">
        <f>F30/12*G30</f>
        <v>10809.880000000001</v>
      </c>
      <c r="S30" s="36">
        <f>F30/12*G30</f>
        <v>10809.880000000001</v>
      </c>
      <c r="T30" s="36">
        <f>F30/12*G30</f>
        <v>10809.880000000001</v>
      </c>
      <c r="U30" s="36">
        <f t="shared" si="5"/>
        <v>129718.56000000004</v>
      </c>
    </row>
    <row r="31" spans="1:21" s="18" customFormat="1">
      <c r="A31" s="133"/>
      <c r="B31" s="19" t="s">
        <v>22</v>
      </c>
      <c r="C31" s="43"/>
      <c r="D31" s="19"/>
      <c r="E31" s="44"/>
      <c r="F31" s="45"/>
      <c r="G31" s="45"/>
      <c r="H31" s="52">
        <f>SUM(H23:H30)</f>
        <v>139.06732220133335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>
        <f>SUM(U23:U30)</f>
        <v>137415.29220133339</v>
      </c>
    </row>
    <row r="32" spans="1:21">
      <c r="A32" s="132"/>
      <c r="B32" s="11" t="s">
        <v>39</v>
      </c>
      <c r="C32" s="26"/>
      <c r="D32" s="10"/>
      <c r="E32" s="33"/>
      <c r="F32" s="34"/>
      <c r="G32" s="34"/>
      <c r="H32" s="35" t="s">
        <v>38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ht="12.75" customHeight="1">
      <c r="A33" s="132" t="s">
        <v>122</v>
      </c>
      <c r="B33" s="12" t="s">
        <v>40</v>
      </c>
      <c r="C33" s="26" t="s">
        <v>35</v>
      </c>
      <c r="D33" s="10"/>
      <c r="E33" s="33"/>
      <c r="F33" s="34">
        <v>2</v>
      </c>
      <c r="G33" s="34">
        <v>1900.37</v>
      </c>
      <c r="H33" s="35">
        <f t="shared" ref="H33:H39" si="6">SUM(F33*G33/1000)</f>
        <v>3.8007399999999998</v>
      </c>
      <c r="I33" s="36">
        <f>F33/6*G33</f>
        <v>633.45666666666659</v>
      </c>
      <c r="J33" s="36">
        <f>F33/6*G33</f>
        <v>633.45666666666659</v>
      </c>
      <c r="K33" s="36">
        <f>F33/6*G33</f>
        <v>633.45666666666659</v>
      </c>
      <c r="L33" s="36">
        <f>F33/6*G33</f>
        <v>633.45666666666659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f>F33/6*G33</f>
        <v>633.45666666666659</v>
      </c>
      <c r="T33" s="36">
        <f>F33/6*G33</f>
        <v>633.45666666666659</v>
      </c>
      <c r="U33" s="36">
        <f t="shared" ref="U33:U39" si="7">SUM(I33:T33)</f>
        <v>3800.7399999999993</v>
      </c>
    </row>
    <row r="34" spans="1:21">
      <c r="A34" s="134" t="s">
        <v>156</v>
      </c>
      <c r="B34" s="12" t="s">
        <v>96</v>
      </c>
      <c r="C34" s="54" t="s">
        <v>41</v>
      </c>
      <c r="D34" s="10" t="s">
        <v>187</v>
      </c>
      <c r="E34" s="33">
        <v>65.099999999999994</v>
      </c>
      <c r="F34" s="53">
        <f>E34*24/1000</f>
        <v>1.5623999999999998</v>
      </c>
      <c r="G34" s="34">
        <v>2616.4899999999998</v>
      </c>
      <c r="H34" s="35">
        <f>G34*F34/1000</f>
        <v>4.0880039759999987</v>
      </c>
      <c r="I34" s="36">
        <f>F34/6*G34</f>
        <v>681.33399599999984</v>
      </c>
      <c r="J34" s="36">
        <f>F34/6*G34</f>
        <v>681.33399599999984</v>
      </c>
      <c r="K34" s="36">
        <f>F34/6*G34</f>
        <v>681.33399599999984</v>
      </c>
      <c r="L34" s="36">
        <f>F34/6*G34</f>
        <v>681.33399599999984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f>F34/6*G34</f>
        <v>681.33399599999984</v>
      </c>
      <c r="T34" s="36">
        <f>F34/6*G34</f>
        <v>681.33399599999984</v>
      </c>
      <c r="U34" s="36">
        <f t="shared" si="7"/>
        <v>4088.0039759999991</v>
      </c>
    </row>
    <row r="35" spans="1:21">
      <c r="A35" s="132" t="s">
        <v>122</v>
      </c>
      <c r="B35" s="10" t="s">
        <v>95</v>
      </c>
      <c r="C35" s="26" t="s">
        <v>59</v>
      </c>
      <c r="D35" s="10" t="s">
        <v>33</v>
      </c>
      <c r="E35" s="33"/>
      <c r="F35" s="53">
        <v>13</v>
      </c>
      <c r="G35" s="34">
        <v>226.84</v>
      </c>
      <c r="H35" s="35">
        <f>G35*F35/1000</f>
        <v>2.9489200000000002</v>
      </c>
      <c r="I35" s="36">
        <v>0</v>
      </c>
      <c r="J35" s="36">
        <v>0</v>
      </c>
      <c r="K35" s="36">
        <v>0</v>
      </c>
      <c r="L35" s="36">
        <f>G35*26</f>
        <v>5897.84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f t="shared" si="7"/>
        <v>5897.84</v>
      </c>
    </row>
    <row r="36" spans="1:21" ht="24.75" customHeight="1">
      <c r="A36" s="132" t="s">
        <v>157</v>
      </c>
      <c r="B36" s="10" t="s">
        <v>188</v>
      </c>
      <c r="C36" s="26" t="s">
        <v>41</v>
      </c>
      <c r="D36" s="10" t="s">
        <v>42</v>
      </c>
      <c r="E36" s="34">
        <v>65.099999999999994</v>
      </c>
      <c r="F36" s="53">
        <f>SUM(E36*155/1000)</f>
        <v>10.0905</v>
      </c>
      <c r="G36" s="34">
        <v>436.45</v>
      </c>
      <c r="H36" s="35">
        <f t="shared" si="6"/>
        <v>4.4039987250000001</v>
      </c>
      <c r="I36" s="36">
        <f>F36/6*G36</f>
        <v>733.99978750000002</v>
      </c>
      <c r="J36" s="36">
        <f>F36/6*G36</f>
        <v>733.99978750000002</v>
      </c>
      <c r="K36" s="36">
        <f>F36/6*G36</f>
        <v>733.99978750000002</v>
      </c>
      <c r="L36" s="36">
        <f>F36/6*G36</f>
        <v>733.99978750000002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f>F36/6*G36</f>
        <v>733.99978750000002</v>
      </c>
      <c r="T36" s="36">
        <f>F36/6*G36</f>
        <v>733.99978750000002</v>
      </c>
      <c r="U36" s="36">
        <f t="shared" si="7"/>
        <v>4403.9987250000004</v>
      </c>
    </row>
    <row r="37" spans="1:21" ht="51" customHeight="1">
      <c r="A37" s="132" t="s">
        <v>158</v>
      </c>
      <c r="B37" s="10" t="s">
        <v>136</v>
      </c>
      <c r="C37" s="26" t="s">
        <v>24</v>
      </c>
      <c r="D37" s="10" t="s">
        <v>97</v>
      </c>
      <c r="E37" s="34">
        <v>65.099999999999994</v>
      </c>
      <c r="F37" s="53">
        <f>SUM(E37*24/1000)</f>
        <v>1.5623999999999998</v>
      </c>
      <c r="G37" s="34">
        <v>7221.21</v>
      </c>
      <c r="H37" s="35">
        <f t="shared" si="6"/>
        <v>11.282418503999999</v>
      </c>
      <c r="I37" s="36">
        <f>F37/6*G37</f>
        <v>1880.4030839999998</v>
      </c>
      <c r="J37" s="36">
        <f>F37/6*G37</f>
        <v>1880.4030839999998</v>
      </c>
      <c r="K37" s="36">
        <f>F37/6*G37</f>
        <v>1880.4030839999998</v>
      </c>
      <c r="L37" s="36">
        <f>F37/6*G37</f>
        <v>1880.4030839999998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f>F37/6*G37</f>
        <v>1880.4030839999998</v>
      </c>
      <c r="T37" s="36">
        <f>F37/6*G37</f>
        <v>1880.4030839999998</v>
      </c>
      <c r="U37" s="36">
        <f t="shared" si="7"/>
        <v>11282.418503999999</v>
      </c>
    </row>
    <row r="38" spans="1:21" ht="12.75" customHeight="1">
      <c r="A38" s="132" t="s">
        <v>159</v>
      </c>
      <c r="B38" s="10" t="s">
        <v>137</v>
      </c>
      <c r="C38" s="26" t="s">
        <v>24</v>
      </c>
      <c r="D38" s="10" t="s">
        <v>189</v>
      </c>
      <c r="E38" s="34">
        <v>65.099999999999994</v>
      </c>
      <c r="F38" s="53">
        <f>SUM(E38*18/1000)</f>
        <v>1.1718</v>
      </c>
      <c r="G38" s="34">
        <v>533.45000000000005</v>
      </c>
      <c r="H38" s="35">
        <f t="shared" si="6"/>
        <v>0.62509671</v>
      </c>
      <c r="I38" s="36">
        <v>0</v>
      </c>
      <c r="J38" s="36">
        <v>0</v>
      </c>
      <c r="K38" s="36">
        <f>F38/2*G38</f>
        <v>312.54835500000002</v>
      </c>
      <c r="L38" s="36">
        <f>F38/2*G38</f>
        <v>312.54835500000002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f t="shared" si="7"/>
        <v>625.09671000000003</v>
      </c>
    </row>
    <row r="39" spans="1:21" s="1" customFormat="1">
      <c r="A39" s="134"/>
      <c r="B39" s="12" t="s">
        <v>138</v>
      </c>
      <c r="C39" s="54" t="s">
        <v>31</v>
      </c>
      <c r="D39" s="12"/>
      <c r="E39" s="50"/>
      <c r="F39" s="53">
        <v>0.4</v>
      </c>
      <c r="G39" s="53">
        <v>992.97</v>
      </c>
      <c r="H39" s="35">
        <f t="shared" si="6"/>
        <v>0.39718800000000004</v>
      </c>
      <c r="I39" s="55">
        <f>F39/6*G39</f>
        <v>66.198000000000008</v>
      </c>
      <c r="J39" s="55">
        <f>F39/6*G39</f>
        <v>66.198000000000008</v>
      </c>
      <c r="K39" s="55">
        <f>F39/6*G39</f>
        <v>66.198000000000008</v>
      </c>
      <c r="L39" s="55">
        <f>F39/6*G39</f>
        <v>66.198000000000008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f>F39/6*G39</f>
        <v>66.198000000000008</v>
      </c>
      <c r="T39" s="55">
        <f>F39/6*G39</f>
        <v>66.198000000000008</v>
      </c>
      <c r="U39" s="36">
        <f t="shared" si="7"/>
        <v>397.18799999999999</v>
      </c>
    </row>
    <row r="40" spans="1:21" s="18" customFormat="1">
      <c r="A40" s="133"/>
      <c r="B40" s="19" t="s">
        <v>22</v>
      </c>
      <c r="C40" s="43"/>
      <c r="D40" s="19"/>
      <c r="E40" s="44"/>
      <c r="F40" s="45" t="s">
        <v>38</v>
      </c>
      <c r="G40" s="45"/>
      <c r="H40" s="52">
        <f>SUM(H33:H39)</f>
        <v>27.546365914999999</v>
      </c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>
        <f>SUM(U33:U39)</f>
        <v>30495.285915</v>
      </c>
    </row>
    <row r="41" spans="1:21">
      <c r="A41" s="132"/>
      <c r="B41" s="13" t="s">
        <v>43</v>
      </c>
      <c r="C41" s="26"/>
      <c r="D41" s="10"/>
      <c r="E41" s="33"/>
      <c r="F41" s="34"/>
      <c r="G41" s="34"/>
      <c r="H41" s="35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>
      <c r="A42" s="132" t="s">
        <v>160</v>
      </c>
      <c r="B42" s="10" t="s">
        <v>105</v>
      </c>
      <c r="C42" s="26" t="s">
        <v>24</v>
      </c>
      <c r="D42" s="10" t="s">
        <v>44</v>
      </c>
      <c r="E42" s="33">
        <v>1060.4000000000001</v>
      </c>
      <c r="F42" s="34">
        <f>SUM(E42*2/1000)</f>
        <v>2.1208</v>
      </c>
      <c r="G42" s="56">
        <v>1283.46</v>
      </c>
      <c r="H42" s="35">
        <f t="shared" ref="H42:H51" si="8">SUM(F42*G42/1000)</f>
        <v>2.721961968</v>
      </c>
      <c r="I42" s="36">
        <v>0</v>
      </c>
      <c r="J42" s="36">
        <v>0</v>
      </c>
      <c r="K42" s="36">
        <v>0</v>
      </c>
      <c r="L42" s="36">
        <v>0</v>
      </c>
      <c r="M42" s="36">
        <f>F42/2*G42</f>
        <v>1360.980984</v>
      </c>
      <c r="N42" s="36">
        <v>0</v>
      </c>
      <c r="O42" s="36">
        <v>0</v>
      </c>
      <c r="P42" s="36">
        <v>0</v>
      </c>
      <c r="Q42" s="36">
        <f>F42/2*G42</f>
        <v>1360.980984</v>
      </c>
      <c r="R42" s="36">
        <v>0</v>
      </c>
      <c r="S42" s="36">
        <v>0</v>
      </c>
      <c r="T42" s="36">
        <v>0</v>
      </c>
      <c r="U42" s="36">
        <f t="shared" ref="U42:U51" si="9">SUM(I42:T42)</f>
        <v>2721.9619680000001</v>
      </c>
    </row>
    <row r="43" spans="1:21" ht="12.75" customHeight="1">
      <c r="A43" s="132" t="s">
        <v>161</v>
      </c>
      <c r="B43" s="10" t="s">
        <v>45</v>
      </c>
      <c r="C43" s="26" t="s">
        <v>24</v>
      </c>
      <c r="D43" s="10" t="s">
        <v>44</v>
      </c>
      <c r="E43" s="33">
        <v>1251.6199999999999</v>
      </c>
      <c r="F43" s="34">
        <f>SUM(E43*2/1000)</f>
        <v>2.5032399999999999</v>
      </c>
      <c r="G43" s="56">
        <v>1712.28</v>
      </c>
      <c r="H43" s="35">
        <f t="shared" si="8"/>
        <v>4.2862477871999998</v>
      </c>
      <c r="I43" s="36">
        <v>0</v>
      </c>
      <c r="J43" s="36">
        <v>0</v>
      </c>
      <c r="K43" s="36">
        <v>0</v>
      </c>
      <c r="L43" s="36">
        <v>0</v>
      </c>
      <c r="M43" s="36">
        <f t="shared" ref="M43:M45" si="10">F43/2*G43</f>
        <v>2143.1238936</v>
      </c>
      <c r="N43" s="36">
        <v>0</v>
      </c>
      <c r="O43" s="36">
        <v>0</v>
      </c>
      <c r="P43" s="36">
        <v>0</v>
      </c>
      <c r="Q43" s="36">
        <f t="shared" ref="Q43:Q45" si="11">F43/2*G43</f>
        <v>2143.1238936</v>
      </c>
      <c r="R43" s="36">
        <v>0</v>
      </c>
      <c r="S43" s="36">
        <v>0</v>
      </c>
      <c r="T43" s="36">
        <v>0</v>
      </c>
      <c r="U43" s="36">
        <f t="shared" si="9"/>
        <v>4286.2477871999999</v>
      </c>
    </row>
    <row r="44" spans="1:21">
      <c r="A44" s="132" t="s">
        <v>162</v>
      </c>
      <c r="B44" s="10" t="s">
        <v>46</v>
      </c>
      <c r="C44" s="26" t="s">
        <v>24</v>
      </c>
      <c r="D44" s="10" t="s">
        <v>44</v>
      </c>
      <c r="E44" s="33">
        <v>1295.68</v>
      </c>
      <c r="F44" s="34">
        <f>SUM(E44*2/1000)</f>
        <v>2.5913600000000003</v>
      </c>
      <c r="G44" s="56">
        <v>1179.73</v>
      </c>
      <c r="H44" s="35">
        <f t="shared" si="8"/>
        <v>3.0571051328000003</v>
      </c>
      <c r="I44" s="36">
        <v>0</v>
      </c>
      <c r="J44" s="36">
        <v>0</v>
      </c>
      <c r="K44" s="36">
        <v>0</v>
      </c>
      <c r="L44" s="36">
        <v>0</v>
      </c>
      <c r="M44" s="36">
        <f t="shared" si="10"/>
        <v>1528.5525664000002</v>
      </c>
      <c r="N44" s="36">
        <v>0</v>
      </c>
      <c r="O44" s="36">
        <v>0</v>
      </c>
      <c r="P44" s="36">
        <v>0</v>
      </c>
      <c r="Q44" s="36">
        <f t="shared" si="11"/>
        <v>1528.5525664000002</v>
      </c>
      <c r="R44" s="36">
        <v>0</v>
      </c>
      <c r="S44" s="36">
        <v>0</v>
      </c>
      <c r="T44" s="36">
        <v>0</v>
      </c>
      <c r="U44" s="36">
        <f t="shared" si="9"/>
        <v>3057.1051328000003</v>
      </c>
    </row>
    <row r="45" spans="1:21" s="148" customFormat="1">
      <c r="A45" s="142" t="s">
        <v>163</v>
      </c>
      <c r="B45" s="143" t="s">
        <v>107</v>
      </c>
      <c r="C45" s="144" t="s">
        <v>108</v>
      </c>
      <c r="D45" s="143" t="s">
        <v>44</v>
      </c>
      <c r="E45" s="145">
        <v>85.84</v>
      </c>
      <c r="F45" s="146">
        <f>E45*2/100</f>
        <v>1.7168000000000001</v>
      </c>
      <c r="G45" s="147">
        <v>90.61</v>
      </c>
      <c r="H45" s="35">
        <f t="shared" si="8"/>
        <v>0.15555924799999998</v>
      </c>
      <c r="I45" s="36">
        <v>0</v>
      </c>
      <c r="J45" s="36">
        <v>0</v>
      </c>
      <c r="K45" s="36">
        <v>0</v>
      </c>
      <c r="L45" s="36">
        <v>0</v>
      </c>
      <c r="M45" s="36">
        <f t="shared" si="10"/>
        <v>77.779623999999998</v>
      </c>
      <c r="N45" s="36">
        <v>0</v>
      </c>
      <c r="O45" s="36">
        <v>0</v>
      </c>
      <c r="P45" s="36">
        <v>0</v>
      </c>
      <c r="Q45" s="36">
        <f t="shared" si="11"/>
        <v>77.779623999999998</v>
      </c>
      <c r="R45" s="36">
        <v>0</v>
      </c>
      <c r="S45" s="36">
        <v>0</v>
      </c>
      <c r="T45" s="36">
        <v>0</v>
      </c>
      <c r="U45" s="36">
        <f t="shared" si="9"/>
        <v>155.559248</v>
      </c>
    </row>
    <row r="46" spans="1:21" ht="25.5">
      <c r="A46" s="132" t="s">
        <v>164</v>
      </c>
      <c r="B46" s="10" t="s">
        <v>47</v>
      </c>
      <c r="C46" s="26" t="s">
        <v>24</v>
      </c>
      <c r="D46" s="10" t="s">
        <v>190</v>
      </c>
      <c r="E46" s="33">
        <v>2549.5</v>
      </c>
      <c r="F46" s="34">
        <f>SUM(E46*5/1000)</f>
        <v>12.7475</v>
      </c>
      <c r="G46" s="56">
        <v>1711.28</v>
      </c>
      <c r="H46" s="35">
        <f t="shared" si="8"/>
        <v>21.814541800000001</v>
      </c>
      <c r="I46" s="36">
        <f>F46/5*G46</f>
        <v>4362.9083600000004</v>
      </c>
      <c r="J46" s="36">
        <f>F46/5*G46</f>
        <v>4362.9083600000004</v>
      </c>
      <c r="K46" s="36">
        <v>0</v>
      </c>
      <c r="L46" s="36">
        <v>0</v>
      </c>
      <c r="M46" s="36">
        <f>F46/5*G46</f>
        <v>4362.9083600000004</v>
      </c>
      <c r="N46" s="36">
        <v>0</v>
      </c>
      <c r="O46" s="36">
        <v>0</v>
      </c>
      <c r="P46" s="36">
        <v>0</v>
      </c>
      <c r="Q46" s="36">
        <f>F46/5*G46</f>
        <v>4362.9083600000004</v>
      </c>
      <c r="R46" s="36">
        <v>0</v>
      </c>
      <c r="S46" s="36">
        <v>0</v>
      </c>
      <c r="T46" s="36">
        <f>F46/5*G46</f>
        <v>4362.9083600000004</v>
      </c>
      <c r="U46" s="36">
        <f t="shared" si="9"/>
        <v>21814.541800000003</v>
      </c>
    </row>
    <row r="47" spans="1:21" ht="38.25" customHeight="1">
      <c r="A47" s="132" t="s">
        <v>165</v>
      </c>
      <c r="B47" s="10" t="s">
        <v>48</v>
      </c>
      <c r="C47" s="26" t="s">
        <v>24</v>
      </c>
      <c r="D47" s="10" t="s">
        <v>44</v>
      </c>
      <c r="E47" s="33">
        <v>2549.5</v>
      </c>
      <c r="F47" s="34">
        <f>SUM(E47*2/1000)</f>
        <v>5.0990000000000002</v>
      </c>
      <c r="G47" s="56">
        <v>1510.06</v>
      </c>
      <c r="H47" s="35">
        <f t="shared" si="8"/>
        <v>7.6997959399999996</v>
      </c>
      <c r="I47" s="36">
        <v>0</v>
      </c>
      <c r="J47" s="36">
        <v>0</v>
      </c>
      <c r="K47" s="36">
        <f>F47/2*G47</f>
        <v>3849.89797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f>F47/2*G47</f>
        <v>3849.89797</v>
      </c>
      <c r="R47" s="36">
        <v>0</v>
      </c>
      <c r="S47" s="36">
        <v>0</v>
      </c>
      <c r="T47" s="36">
        <v>0</v>
      </c>
      <c r="U47" s="36">
        <f t="shared" si="9"/>
        <v>7699.79594</v>
      </c>
    </row>
    <row r="48" spans="1:21" ht="26.25" customHeight="1">
      <c r="A48" s="132" t="s">
        <v>166</v>
      </c>
      <c r="B48" s="10" t="s">
        <v>49</v>
      </c>
      <c r="C48" s="26" t="s">
        <v>50</v>
      </c>
      <c r="D48" s="10" t="s">
        <v>44</v>
      </c>
      <c r="E48" s="33">
        <v>16</v>
      </c>
      <c r="F48" s="34">
        <f>SUM(E48*2/100)</f>
        <v>0.32</v>
      </c>
      <c r="G48" s="56">
        <v>3850.4</v>
      </c>
      <c r="H48" s="35">
        <f t="shared" si="8"/>
        <v>1.2321280000000001</v>
      </c>
      <c r="I48" s="36">
        <v>0</v>
      </c>
      <c r="J48" s="36">
        <v>0</v>
      </c>
      <c r="K48" s="36">
        <f>F48/2*G48</f>
        <v>616.06400000000008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f t="shared" ref="Q48:Q49" si="12">F48/2*G48</f>
        <v>616.06400000000008</v>
      </c>
      <c r="R48" s="36">
        <v>0</v>
      </c>
      <c r="S48" s="36">
        <v>0</v>
      </c>
      <c r="T48" s="36">
        <v>0</v>
      </c>
      <c r="U48" s="36">
        <f t="shared" si="9"/>
        <v>1232.1280000000002</v>
      </c>
    </row>
    <row r="49" spans="1:21">
      <c r="A49" s="132" t="s">
        <v>167</v>
      </c>
      <c r="B49" s="10" t="s">
        <v>51</v>
      </c>
      <c r="C49" s="26" t="s">
        <v>52</v>
      </c>
      <c r="D49" s="10" t="s">
        <v>44</v>
      </c>
      <c r="E49" s="33">
        <v>1</v>
      </c>
      <c r="F49" s="34">
        <v>0.02</v>
      </c>
      <c r="G49" s="56">
        <v>7033.13</v>
      </c>
      <c r="H49" s="35">
        <f t="shared" si="8"/>
        <v>0.1406626</v>
      </c>
      <c r="I49" s="36">
        <v>0</v>
      </c>
      <c r="J49" s="36">
        <v>0</v>
      </c>
      <c r="K49" s="36">
        <f>F49/2*G49</f>
        <v>70.331299999999999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f t="shared" si="12"/>
        <v>70.331299999999999</v>
      </c>
      <c r="R49" s="36">
        <v>0</v>
      </c>
      <c r="S49" s="36">
        <v>0</v>
      </c>
      <c r="T49" s="36">
        <v>0</v>
      </c>
      <c r="U49" s="36">
        <f t="shared" si="9"/>
        <v>140.6626</v>
      </c>
    </row>
    <row r="50" spans="1:21">
      <c r="A50" s="132" t="s">
        <v>98</v>
      </c>
      <c r="B50" s="10" t="s">
        <v>99</v>
      </c>
      <c r="C50" s="26" t="s">
        <v>53</v>
      </c>
      <c r="D50" s="10" t="s">
        <v>120</v>
      </c>
      <c r="E50" s="33">
        <v>64</v>
      </c>
      <c r="F50" s="34">
        <f>E50*3</f>
        <v>192</v>
      </c>
      <c r="G50" s="56">
        <v>175.6</v>
      </c>
      <c r="H50" s="35">
        <f t="shared" si="8"/>
        <v>33.715199999999996</v>
      </c>
      <c r="I50" s="36">
        <f>E50*G50</f>
        <v>11238.4</v>
      </c>
      <c r="J50" s="36">
        <v>0</v>
      </c>
      <c r="K50" s="36">
        <v>0</v>
      </c>
      <c r="L50" s="36">
        <v>0</v>
      </c>
      <c r="M50" s="36">
        <f>G50*E50</f>
        <v>11238.4</v>
      </c>
      <c r="N50" s="36">
        <v>0</v>
      </c>
      <c r="O50" s="36">
        <v>0</v>
      </c>
      <c r="P50" s="36">
        <v>0</v>
      </c>
      <c r="Q50" s="36">
        <f>E50*G50</f>
        <v>11238.4</v>
      </c>
      <c r="R50" s="36">
        <v>0</v>
      </c>
      <c r="S50" s="36">
        <v>0</v>
      </c>
      <c r="T50" s="36">
        <v>0</v>
      </c>
      <c r="U50" s="36">
        <f t="shared" si="9"/>
        <v>33715.199999999997</v>
      </c>
    </row>
    <row r="51" spans="1:21" ht="13.5" customHeight="1">
      <c r="A51" s="132" t="s">
        <v>54</v>
      </c>
      <c r="B51" s="10" t="s">
        <v>55</v>
      </c>
      <c r="C51" s="26" t="s">
        <v>53</v>
      </c>
      <c r="D51" s="10" t="s">
        <v>120</v>
      </c>
      <c r="E51" s="33">
        <v>128</v>
      </c>
      <c r="F51" s="34">
        <f>SUM(E51)*3</f>
        <v>384</v>
      </c>
      <c r="G51" s="57">
        <v>81.73</v>
      </c>
      <c r="H51" s="35">
        <f t="shared" si="8"/>
        <v>31.384319999999999</v>
      </c>
      <c r="I51" s="36">
        <f>E51*G51</f>
        <v>10461.44</v>
      </c>
      <c r="J51" s="36">
        <v>0</v>
      </c>
      <c r="K51" s="36">
        <v>0</v>
      </c>
      <c r="L51" s="36">
        <v>0</v>
      </c>
      <c r="M51" s="36">
        <f>G51*E51</f>
        <v>10461.44</v>
      </c>
      <c r="N51" s="36">
        <v>0</v>
      </c>
      <c r="O51" s="36">
        <v>0</v>
      </c>
      <c r="P51" s="36">
        <v>0</v>
      </c>
      <c r="Q51" s="36">
        <f>E51*G51</f>
        <v>10461.44</v>
      </c>
      <c r="R51" s="36">
        <v>0</v>
      </c>
      <c r="S51" s="36">
        <v>0</v>
      </c>
      <c r="T51" s="36">
        <v>0</v>
      </c>
      <c r="U51" s="36">
        <f t="shared" si="9"/>
        <v>31384.32</v>
      </c>
    </row>
    <row r="52" spans="1:21" s="20" customFormat="1">
      <c r="A52" s="133"/>
      <c r="B52" s="19" t="s">
        <v>22</v>
      </c>
      <c r="C52" s="58"/>
      <c r="D52" s="19"/>
      <c r="E52" s="59"/>
      <c r="F52" s="60"/>
      <c r="G52" s="60"/>
      <c r="H52" s="52">
        <f>SUM(H42:H51)</f>
        <v>106.20752247600001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>
        <f>SUM(U42:U51)</f>
        <v>106207.52247600001</v>
      </c>
    </row>
    <row r="53" spans="1:21">
      <c r="A53" s="132"/>
      <c r="B53" s="11" t="s">
        <v>56</v>
      </c>
      <c r="C53" s="26"/>
      <c r="D53" s="10"/>
      <c r="E53" s="33"/>
      <c r="F53" s="34"/>
      <c r="G53" s="34"/>
      <c r="H53" s="35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</row>
    <row r="54" spans="1:21" ht="38.25" customHeight="1">
      <c r="A54" s="132" t="s">
        <v>168</v>
      </c>
      <c r="B54" s="10" t="s">
        <v>139</v>
      </c>
      <c r="C54" s="26" t="s">
        <v>13</v>
      </c>
      <c r="D54" s="10" t="s">
        <v>57</v>
      </c>
      <c r="E54" s="33">
        <v>8</v>
      </c>
      <c r="F54" s="34">
        <f>SUM(E54*6/100)</f>
        <v>0.48</v>
      </c>
      <c r="G54" s="56">
        <v>2306.62</v>
      </c>
      <c r="H54" s="35">
        <f>SUM(F54*G54/1000)</f>
        <v>1.1071776</v>
      </c>
      <c r="I54" s="36">
        <f>F54/6*G54</f>
        <v>184.52959999999999</v>
      </c>
      <c r="J54" s="36">
        <f>F54/6*G54</f>
        <v>184.52959999999999</v>
      </c>
      <c r="K54" s="36">
        <f>F54/6*G54</f>
        <v>184.52959999999999</v>
      </c>
      <c r="L54" s="36">
        <f>F54/6*G54</f>
        <v>184.52959999999999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f>F54/6*G54</f>
        <v>184.52959999999999</v>
      </c>
      <c r="T54" s="36">
        <f>F54/6*G54</f>
        <v>184.52959999999999</v>
      </c>
      <c r="U54" s="36">
        <f t="shared" ref="U54:U80" si="13">SUM(I54:T54)</f>
        <v>1107.1776</v>
      </c>
    </row>
    <row r="55" spans="1:21" ht="12.75" customHeight="1">
      <c r="A55" s="135" t="s">
        <v>122</v>
      </c>
      <c r="B55" s="23" t="s">
        <v>123</v>
      </c>
      <c r="C55" s="62" t="s">
        <v>35</v>
      </c>
      <c r="D55" s="23" t="s">
        <v>33</v>
      </c>
      <c r="E55" s="63"/>
      <c r="F55" s="64">
        <v>1</v>
      </c>
      <c r="G55" s="56">
        <v>1501</v>
      </c>
      <c r="H55" s="35">
        <f>SUM(F55*G55/1000)</f>
        <v>1.5009999999999999</v>
      </c>
      <c r="I55" s="36">
        <f>G55</f>
        <v>1501</v>
      </c>
      <c r="J55" s="36">
        <v>0</v>
      </c>
      <c r="K55" s="36">
        <v>0</v>
      </c>
      <c r="L55" s="36">
        <v>0</v>
      </c>
      <c r="M55" s="36">
        <f>G55*3</f>
        <v>4503</v>
      </c>
      <c r="N55" s="36">
        <v>0</v>
      </c>
      <c r="O55" s="36">
        <f>G55*3</f>
        <v>4503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f t="shared" si="13"/>
        <v>10507</v>
      </c>
    </row>
    <row r="56" spans="1:21" ht="12.75" customHeight="1">
      <c r="A56" s="135"/>
      <c r="B56" s="24" t="s">
        <v>58</v>
      </c>
      <c r="C56" s="62"/>
      <c r="D56" s="23"/>
      <c r="E56" s="63"/>
      <c r="F56" s="64"/>
      <c r="G56" s="56"/>
      <c r="H56" s="65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</row>
    <row r="57" spans="1:21" ht="12.75" customHeight="1">
      <c r="A57" s="135" t="s">
        <v>169</v>
      </c>
      <c r="B57" s="23" t="s">
        <v>100</v>
      </c>
      <c r="C57" s="62" t="s">
        <v>19</v>
      </c>
      <c r="D57" s="23" t="s">
        <v>26</v>
      </c>
      <c r="E57" s="63">
        <v>7.4</v>
      </c>
      <c r="F57" s="56">
        <f>SUM(E57/100)</f>
        <v>7.400000000000001E-2</v>
      </c>
      <c r="G57" s="56">
        <v>987.51</v>
      </c>
      <c r="H57" s="65">
        <f>F57*G57/1000</f>
        <v>7.3075740000000014E-2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f t="shared" si="13"/>
        <v>0</v>
      </c>
    </row>
    <row r="58" spans="1:21">
      <c r="A58" s="135"/>
      <c r="B58" s="14" t="s">
        <v>60</v>
      </c>
      <c r="C58" s="62"/>
      <c r="D58" s="23"/>
      <c r="E58" s="63"/>
      <c r="F58" s="66"/>
      <c r="G58" s="66"/>
      <c r="H58" s="64" t="s">
        <v>38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ht="12.75" customHeight="1">
      <c r="A59" s="67" t="s">
        <v>170</v>
      </c>
      <c r="B59" s="15" t="s">
        <v>61</v>
      </c>
      <c r="C59" s="67" t="s">
        <v>53</v>
      </c>
      <c r="D59" s="8" t="s">
        <v>33</v>
      </c>
      <c r="E59" s="40">
        <v>1</v>
      </c>
      <c r="F59" s="56">
        <f>SUM(E59)</f>
        <v>1</v>
      </c>
      <c r="G59" s="56">
        <v>276.74</v>
      </c>
      <c r="H59" s="128">
        <f t="shared" ref="H59:H75" si="14">SUM(F59*G59/1000)</f>
        <v>0.27673999999999999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f>G59*7</f>
        <v>1937.18</v>
      </c>
      <c r="S59" s="36">
        <f>G59*2</f>
        <v>553.48</v>
      </c>
      <c r="T59" s="36">
        <v>0</v>
      </c>
      <c r="U59" s="36">
        <f t="shared" si="13"/>
        <v>2490.66</v>
      </c>
    </row>
    <row r="60" spans="1:21" ht="12.75" customHeight="1">
      <c r="A60" s="67" t="s">
        <v>171</v>
      </c>
      <c r="B60" s="15" t="s">
        <v>62</v>
      </c>
      <c r="C60" s="67" t="s">
        <v>53</v>
      </c>
      <c r="D60" s="8" t="s">
        <v>33</v>
      </c>
      <c r="E60" s="40">
        <v>2</v>
      </c>
      <c r="F60" s="56">
        <f>SUM(E60)</f>
        <v>2</v>
      </c>
      <c r="G60" s="56">
        <v>94.89</v>
      </c>
      <c r="H60" s="128">
        <f t="shared" si="14"/>
        <v>0.18978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f t="shared" si="13"/>
        <v>0</v>
      </c>
    </row>
    <row r="61" spans="1:21" s="1" customFormat="1">
      <c r="A61" s="68" t="s">
        <v>172</v>
      </c>
      <c r="B61" s="15" t="s">
        <v>63</v>
      </c>
      <c r="C61" s="68" t="s">
        <v>64</v>
      </c>
      <c r="D61" s="8" t="s">
        <v>26</v>
      </c>
      <c r="E61" s="33">
        <v>10052</v>
      </c>
      <c r="F61" s="57">
        <f>SUM(E61/100)</f>
        <v>100.52</v>
      </c>
      <c r="G61" s="56">
        <v>263.99</v>
      </c>
      <c r="H61" s="128">
        <f t="shared" si="14"/>
        <v>26.536274799999997</v>
      </c>
      <c r="I61" s="55">
        <v>0</v>
      </c>
      <c r="J61" s="55">
        <v>0</v>
      </c>
      <c r="K61" s="55">
        <v>0</v>
      </c>
      <c r="L61" s="55">
        <v>0</v>
      </c>
      <c r="M61" s="55">
        <f>F61*G61</f>
        <v>26536.274799999999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36">
        <f t="shared" si="13"/>
        <v>26536.274799999999</v>
      </c>
    </row>
    <row r="62" spans="1:21" ht="12.75" customHeight="1">
      <c r="A62" s="67" t="s">
        <v>173</v>
      </c>
      <c r="B62" s="15" t="s">
        <v>65</v>
      </c>
      <c r="C62" s="67" t="s">
        <v>66</v>
      </c>
      <c r="D62" s="8"/>
      <c r="E62" s="33">
        <v>10052</v>
      </c>
      <c r="F62" s="56">
        <f>SUM(E62/1000)</f>
        <v>10.052</v>
      </c>
      <c r="G62" s="56">
        <v>205.57</v>
      </c>
      <c r="H62" s="128">
        <f t="shared" si="14"/>
        <v>2.0663896399999997</v>
      </c>
      <c r="I62" s="36">
        <v>0</v>
      </c>
      <c r="J62" s="36">
        <v>0</v>
      </c>
      <c r="K62" s="36">
        <v>0</v>
      </c>
      <c r="L62" s="36">
        <v>0</v>
      </c>
      <c r="M62" s="36">
        <f>F62*G62</f>
        <v>2066.3896399999999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f t="shared" si="13"/>
        <v>2066.3896399999999</v>
      </c>
    </row>
    <row r="63" spans="1:21">
      <c r="A63" s="67" t="s">
        <v>174</v>
      </c>
      <c r="B63" s="15" t="s">
        <v>67</v>
      </c>
      <c r="C63" s="67" t="s">
        <v>68</v>
      </c>
      <c r="D63" s="8" t="s">
        <v>26</v>
      </c>
      <c r="E63" s="33">
        <v>2200</v>
      </c>
      <c r="F63" s="56">
        <f>SUM(E63/100)</f>
        <v>22</v>
      </c>
      <c r="G63" s="56">
        <v>2581.5300000000002</v>
      </c>
      <c r="H63" s="128">
        <f t="shared" si="14"/>
        <v>56.793660000000003</v>
      </c>
      <c r="I63" s="36">
        <v>0</v>
      </c>
      <c r="J63" s="36">
        <v>0</v>
      </c>
      <c r="K63" s="36">
        <v>0</v>
      </c>
      <c r="L63" s="36">
        <v>0</v>
      </c>
      <c r="M63" s="36">
        <f>F63*G63</f>
        <v>56793.66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f t="shared" si="13"/>
        <v>56793.66</v>
      </c>
    </row>
    <row r="64" spans="1:21">
      <c r="A64" s="67"/>
      <c r="B64" s="16" t="s">
        <v>90</v>
      </c>
      <c r="C64" s="67" t="s">
        <v>31</v>
      </c>
      <c r="D64" s="8"/>
      <c r="E64" s="33">
        <v>9.4</v>
      </c>
      <c r="F64" s="56">
        <f>SUM(E64)</f>
        <v>9.4</v>
      </c>
      <c r="G64" s="56">
        <v>47.45</v>
      </c>
      <c r="H64" s="128">
        <f t="shared" si="14"/>
        <v>0.44603000000000004</v>
      </c>
      <c r="I64" s="36">
        <v>0</v>
      </c>
      <c r="J64" s="36">
        <v>0</v>
      </c>
      <c r="K64" s="36">
        <v>0</v>
      </c>
      <c r="L64" s="36">
        <v>0</v>
      </c>
      <c r="M64" s="36">
        <f>F64*G64</f>
        <v>446.03000000000003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f t="shared" si="13"/>
        <v>446.03000000000003</v>
      </c>
    </row>
    <row r="65" spans="1:21" ht="12.75" customHeight="1">
      <c r="A65" s="136"/>
      <c r="B65" s="16" t="s">
        <v>91</v>
      </c>
      <c r="C65" s="67" t="s">
        <v>31</v>
      </c>
      <c r="D65" s="8"/>
      <c r="E65" s="33">
        <v>9.4</v>
      </c>
      <c r="F65" s="56">
        <f>SUM(E65)</f>
        <v>9.4</v>
      </c>
      <c r="G65" s="56">
        <v>44.27</v>
      </c>
      <c r="H65" s="128">
        <f t="shared" si="14"/>
        <v>0.41613800000000001</v>
      </c>
      <c r="I65" s="36">
        <v>0</v>
      </c>
      <c r="J65" s="36">
        <v>0</v>
      </c>
      <c r="K65" s="36">
        <v>0</v>
      </c>
      <c r="L65" s="36">
        <v>0</v>
      </c>
      <c r="M65" s="36">
        <f>F65*G65</f>
        <v>416.13800000000003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f t="shared" si="13"/>
        <v>416.13800000000003</v>
      </c>
    </row>
    <row r="66" spans="1:21">
      <c r="A66" s="67" t="s">
        <v>175</v>
      </c>
      <c r="B66" s="8" t="s">
        <v>69</v>
      </c>
      <c r="C66" s="67" t="s">
        <v>70</v>
      </c>
      <c r="D66" s="8" t="s">
        <v>26</v>
      </c>
      <c r="E66" s="40">
        <v>2</v>
      </c>
      <c r="F66" s="56">
        <f>SUM(E66)</f>
        <v>2</v>
      </c>
      <c r="G66" s="56">
        <v>62.07</v>
      </c>
      <c r="H66" s="128">
        <f t="shared" si="14"/>
        <v>0.12414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f>F66*G66</f>
        <v>124.14</v>
      </c>
      <c r="R66" s="36">
        <v>0</v>
      </c>
      <c r="S66" s="36">
        <v>0</v>
      </c>
      <c r="T66" s="36">
        <v>0</v>
      </c>
      <c r="U66" s="36">
        <f t="shared" si="13"/>
        <v>124.14</v>
      </c>
    </row>
    <row r="67" spans="1:21" ht="25.5">
      <c r="A67" s="67"/>
      <c r="B67" s="8" t="s">
        <v>191</v>
      </c>
      <c r="C67" s="149" t="s">
        <v>192</v>
      </c>
      <c r="D67" s="8" t="s">
        <v>33</v>
      </c>
      <c r="E67" s="40">
        <v>2549.5</v>
      </c>
      <c r="F67" s="56">
        <f>SUM(E67*12)</f>
        <v>30594</v>
      </c>
      <c r="G67" s="56">
        <v>2.16</v>
      </c>
      <c r="H67" s="128">
        <f t="shared" si="14"/>
        <v>66.083040000000011</v>
      </c>
      <c r="I67" s="36">
        <f>F67/12*G67</f>
        <v>5506.92</v>
      </c>
      <c r="J67" s="36">
        <f>F67/12*G67</f>
        <v>5506.92</v>
      </c>
      <c r="K67" s="36">
        <f>F67/12*G67</f>
        <v>5506.92</v>
      </c>
      <c r="L67" s="36">
        <f>F67/12*G67</f>
        <v>5506.92</v>
      </c>
      <c r="M67" s="36">
        <f>F67/12*G67</f>
        <v>5506.92</v>
      </c>
      <c r="N67" s="36">
        <f>F67/12*G67</f>
        <v>5506.92</v>
      </c>
      <c r="O67" s="36">
        <f>F67/12*G67</f>
        <v>5506.92</v>
      </c>
      <c r="P67" s="36">
        <f>F67/12*G67</f>
        <v>5506.92</v>
      </c>
      <c r="Q67" s="36">
        <f>F67/12*G67</f>
        <v>5506.92</v>
      </c>
      <c r="R67" s="36">
        <f>F67/12*G67</f>
        <v>5506.92</v>
      </c>
      <c r="S67" s="36">
        <f>F67/12*G67</f>
        <v>5506.92</v>
      </c>
      <c r="T67" s="36">
        <f>F67/12*G67</f>
        <v>5506.92</v>
      </c>
      <c r="U67" s="36">
        <f t="shared" si="13"/>
        <v>66083.039999999994</v>
      </c>
    </row>
    <row r="68" spans="1:21">
      <c r="A68" s="139"/>
      <c r="B68" s="17" t="s">
        <v>71</v>
      </c>
      <c r="C68" s="67"/>
      <c r="D68" s="8"/>
      <c r="E68" s="40"/>
      <c r="F68" s="56"/>
      <c r="G68" s="56"/>
      <c r="H68" s="128" t="s">
        <v>38</v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</row>
    <row r="69" spans="1:21">
      <c r="A69" s="67" t="s">
        <v>193</v>
      </c>
      <c r="B69" s="8" t="s">
        <v>195</v>
      </c>
      <c r="C69" s="67" t="s">
        <v>194</v>
      </c>
      <c r="D69" s="8" t="s">
        <v>33</v>
      </c>
      <c r="E69" s="40">
        <v>1</v>
      </c>
      <c r="F69" s="56">
        <f>E69</f>
        <v>1</v>
      </c>
      <c r="G69" s="56">
        <v>976.4</v>
      </c>
      <c r="H69" s="128">
        <f t="shared" ref="H69:H70" si="15">SUM(F69*G69/1000)</f>
        <v>0.97639999999999993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f t="shared" si="13"/>
        <v>0</v>
      </c>
    </row>
    <row r="70" spans="1:21">
      <c r="A70" s="67" t="s">
        <v>196</v>
      </c>
      <c r="B70" s="8" t="s">
        <v>197</v>
      </c>
      <c r="C70" s="67" t="s">
        <v>198</v>
      </c>
      <c r="D70" s="8"/>
      <c r="E70" s="40">
        <v>1</v>
      </c>
      <c r="F70" s="56">
        <v>1</v>
      </c>
      <c r="G70" s="56">
        <v>735</v>
      </c>
      <c r="H70" s="128">
        <f t="shared" si="15"/>
        <v>0.73499999999999999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f t="shared" si="13"/>
        <v>0</v>
      </c>
    </row>
    <row r="71" spans="1:21">
      <c r="A71" s="67" t="s">
        <v>176</v>
      </c>
      <c r="B71" s="8" t="s">
        <v>72</v>
      </c>
      <c r="C71" s="67" t="s">
        <v>73</v>
      </c>
      <c r="D71" s="8" t="s">
        <v>33</v>
      </c>
      <c r="E71" s="40">
        <v>3</v>
      </c>
      <c r="F71" s="56">
        <v>0.3</v>
      </c>
      <c r="G71" s="56">
        <v>624.16999999999996</v>
      </c>
      <c r="H71" s="128">
        <f t="shared" si="14"/>
        <v>0.18725099999999997</v>
      </c>
      <c r="I71" s="36">
        <f>G71*0.2</f>
        <v>124.834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f t="shared" si="13"/>
        <v>124.834</v>
      </c>
    </row>
    <row r="72" spans="1:21">
      <c r="A72" s="67" t="s">
        <v>177</v>
      </c>
      <c r="B72" s="8" t="s">
        <v>92</v>
      </c>
      <c r="C72" s="67" t="s">
        <v>28</v>
      </c>
      <c r="D72" s="8" t="s">
        <v>33</v>
      </c>
      <c r="E72" s="40">
        <v>1</v>
      </c>
      <c r="F72" s="70">
        <v>1</v>
      </c>
      <c r="G72" s="56">
        <v>1061.4100000000001</v>
      </c>
      <c r="H72" s="128">
        <f>F72*G72/1000</f>
        <v>1.0614100000000002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f t="shared" si="13"/>
        <v>0</v>
      </c>
    </row>
    <row r="73" spans="1:21">
      <c r="A73" s="67" t="s">
        <v>178</v>
      </c>
      <c r="B73" s="8" t="s">
        <v>94</v>
      </c>
      <c r="C73" s="67" t="s">
        <v>28</v>
      </c>
      <c r="D73" s="8" t="s">
        <v>33</v>
      </c>
      <c r="E73" s="40">
        <v>1</v>
      </c>
      <c r="F73" s="56">
        <v>1</v>
      </c>
      <c r="G73" s="56">
        <v>446.12</v>
      </c>
      <c r="H73" s="128">
        <f>G73*F73/1000</f>
        <v>0.44612000000000002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f t="shared" si="13"/>
        <v>0</v>
      </c>
    </row>
    <row r="74" spans="1:21">
      <c r="A74" s="136"/>
      <c r="B74" s="71" t="s">
        <v>74</v>
      </c>
      <c r="C74" s="67"/>
      <c r="D74" s="8"/>
      <c r="E74" s="40"/>
      <c r="F74" s="56"/>
      <c r="G74" s="56" t="s">
        <v>38</v>
      </c>
      <c r="H74" s="128" t="s">
        <v>38</v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</row>
    <row r="75" spans="1:21" s="1" customFormat="1">
      <c r="A75" s="68" t="s">
        <v>75</v>
      </c>
      <c r="B75" s="72" t="s">
        <v>76</v>
      </c>
      <c r="C75" s="68" t="s">
        <v>68</v>
      </c>
      <c r="D75" s="15"/>
      <c r="E75" s="73"/>
      <c r="F75" s="57">
        <v>1</v>
      </c>
      <c r="G75" s="57">
        <v>3433.68</v>
      </c>
      <c r="H75" s="128">
        <f t="shared" si="14"/>
        <v>3.4336799999999998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36">
        <f t="shared" si="13"/>
        <v>0</v>
      </c>
    </row>
    <row r="76" spans="1:21" s="20" customFormat="1">
      <c r="A76" s="137"/>
      <c r="B76" s="19" t="s">
        <v>22</v>
      </c>
      <c r="C76" s="74"/>
      <c r="D76" s="75"/>
      <c r="E76" s="76"/>
      <c r="F76" s="61"/>
      <c r="G76" s="61"/>
      <c r="H76" s="77">
        <f>SUM(H54:H75)</f>
        <v>162.45330678000005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>
        <f>SUM(U54:U75)</f>
        <v>166695.34404</v>
      </c>
    </row>
    <row r="77" spans="1:21">
      <c r="A77" s="138" t="s">
        <v>126</v>
      </c>
      <c r="B77" s="10" t="s">
        <v>127</v>
      </c>
      <c r="C77" s="79"/>
      <c r="D77" s="80"/>
      <c r="E77" s="127"/>
      <c r="F77" s="81">
        <v>1</v>
      </c>
      <c r="G77" s="82">
        <v>22720</v>
      </c>
      <c r="H77" s="128">
        <f>G77*F77/1000</f>
        <v>22.72</v>
      </c>
      <c r="I77" s="36">
        <v>0</v>
      </c>
      <c r="J77" s="36">
        <v>0</v>
      </c>
      <c r="K77" s="36">
        <v>0</v>
      </c>
      <c r="L77" s="36">
        <v>0</v>
      </c>
      <c r="M77" s="37">
        <f>G77</f>
        <v>22720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f t="shared" si="13"/>
        <v>22720</v>
      </c>
    </row>
    <row r="78" spans="1:21" ht="12.75" customHeight="1">
      <c r="A78" s="67"/>
      <c r="B78" s="78" t="s">
        <v>77</v>
      </c>
      <c r="C78" s="67" t="s">
        <v>78</v>
      </c>
      <c r="D78" s="83"/>
      <c r="E78" s="56">
        <v>2549.5</v>
      </c>
      <c r="F78" s="56">
        <f>SUM(E78*12)</f>
        <v>30594</v>
      </c>
      <c r="G78" s="84">
        <v>2.95</v>
      </c>
      <c r="H78" s="128">
        <f>SUM(F78*G78/1000)</f>
        <v>90.252300000000005</v>
      </c>
      <c r="I78" s="36">
        <f>F78/12*G78</f>
        <v>7521.0250000000005</v>
      </c>
      <c r="J78" s="36">
        <f>F78/12*G78</f>
        <v>7521.0250000000005</v>
      </c>
      <c r="K78" s="36">
        <f>F78/12*G78</f>
        <v>7521.0250000000005</v>
      </c>
      <c r="L78" s="36">
        <f>F78/12*G78</f>
        <v>7521.0250000000005</v>
      </c>
      <c r="M78" s="36">
        <f>F78/12*G78</f>
        <v>7521.0250000000005</v>
      </c>
      <c r="N78" s="36">
        <f>F78/12*G78</f>
        <v>7521.0250000000005</v>
      </c>
      <c r="O78" s="36">
        <f>F78/12*G78</f>
        <v>7521.0250000000005</v>
      </c>
      <c r="P78" s="36">
        <f>F78/12*G78</f>
        <v>7521.0250000000005</v>
      </c>
      <c r="Q78" s="36">
        <f>F78/12*G78</f>
        <v>7521.0250000000005</v>
      </c>
      <c r="R78" s="36">
        <f>F78/12*G78</f>
        <v>7521.0250000000005</v>
      </c>
      <c r="S78" s="36">
        <f>F78/12*G78</f>
        <v>7521.0250000000005</v>
      </c>
      <c r="T78" s="36">
        <f>F78/12*G78</f>
        <v>7521.0250000000005</v>
      </c>
      <c r="U78" s="36">
        <f t="shared" si="13"/>
        <v>90252.299999999988</v>
      </c>
    </row>
    <row r="79" spans="1:21" s="18" customFormat="1">
      <c r="A79" s="85"/>
      <c r="B79" s="19" t="s">
        <v>22</v>
      </c>
      <c r="C79" s="86"/>
      <c r="D79" s="87"/>
      <c r="E79" s="88"/>
      <c r="F79" s="47"/>
      <c r="G79" s="89"/>
      <c r="H79" s="48">
        <f>SUM(H77:H78)</f>
        <v>112.9723</v>
      </c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>
        <f>SUM(U77:U78)</f>
        <v>112972.29999999999</v>
      </c>
    </row>
    <row r="80" spans="1:21" ht="25.5" customHeight="1">
      <c r="A80" s="136"/>
      <c r="B80" s="8" t="s">
        <v>79</v>
      </c>
      <c r="C80" s="67"/>
      <c r="D80" s="90"/>
      <c r="E80" s="33">
        <f>E78</f>
        <v>2549.5</v>
      </c>
      <c r="F80" s="56">
        <f>E80*12</f>
        <v>30594</v>
      </c>
      <c r="G80" s="56">
        <v>3.05</v>
      </c>
      <c r="H80" s="128">
        <f>F80*G80/1000</f>
        <v>93.311700000000002</v>
      </c>
      <c r="I80" s="36">
        <f>F80/12*G80</f>
        <v>7775.9749999999995</v>
      </c>
      <c r="J80" s="36">
        <f>F80/12*G80</f>
        <v>7775.9749999999995</v>
      </c>
      <c r="K80" s="36">
        <f>F80/12*G80</f>
        <v>7775.9749999999995</v>
      </c>
      <c r="L80" s="36">
        <f>F80/12*G80</f>
        <v>7775.9749999999995</v>
      </c>
      <c r="M80" s="36">
        <f>F80/12*G80</f>
        <v>7775.9749999999995</v>
      </c>
      <c r="N80" s="36">
        <f>F80/12*G80</f>
        <v>7775.9749999999995</v>
      </c>
      <c r="O80" s="36">
        <f>F80/12*G80</f>
        <v>7775.9749999999995</v>
      </c>
      <c r="P80" s="36">
        <f>F80/12*G80</f>
        <v>7775.9749999999995</v>
      </c>
      <c r="Q80" s="36">
        <f>F80/12*G80</f>
        <v>7775.9749999999995</v>
      </c>
      <c r="R80" s="36">
        <f>F80/12*G80</f>
        <v>7775.9749999999995</v>
      </c>
      <c r="S80" s="36">
        <f>F80/12*G80</f>
        <v>7775.9749999999995</v>
      </c>
      <c r="T80" s="36">
        <f>F80/12*G80</f>
        <v>7775.9749999999995</v>
      </c>
      <c r="U80" s="36">
        <f t="shared" si="13"/>
        <v>93311.700000000012</v>
      </c>
    </row>
    <row r="81" spans="1:21" s="18" customFormat="1">
      <c r="A81" s="85"/>
      <c r="B81" s="91" t="s">
        <v>80</v>
      </c>
      <c r="C81" s="92"/>
      <c r="D81" s="91"/>
      <c r="E81" s="47"/>
      <c r="F81" s="47"/>
      <c r="G81" s="47"/>
      <c r="H81" s="77">
        <f>H80</f>
        <v>93.311700000000002</v>
      </c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123">
        <f>U80</f>
        <v>93311.700000000012</v>
      </c>
    </row>
    <row r="82" spans="1:21" s="18" customFormat="1">
      <c r="A82" s="85"/>
      <c r="B82" s="91" t="s">
        <v>81</v>
      </c>
      <c r="C82" s="93"/>
      <c r="D82" s="94"/>
      <c r="E82" s="95"/>
      <c r="F82" s="95"/>
      <c r="G82" s="95"/>
      <c r="H82" s="77">
        <f>SUM(H81+H79+H76+H52+H40+H31+H21)</f>
        <v>758.94397058233346</v>
      </c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123">
        <f>SUM(U81+U79+U76+U52+U40+U31+U21)</f>
        <v>764059.41784233344</v>
      </c>
    </row>
    <row r="83" spans="1:21">
      <c r="A83" s="139"/>
      <c r="B83" s="90" t="s">
        <v>82</v>
      </c>
      <c r="C83" s="67"/>
      <c r="D83" s="90"/>
      <c r="E83" s="56"/>
      <c r="F83" s="56"/>
      <c r="G83" s="56" t="s">
        <v>83</v>
      </c>
      <c r="H83" s="96">
        <f>E80</f>
        <v>2549.5</v>
      </c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</row>
    <row r="84" spans="1:21" s="18" customFormat="1">
      <c r="A84" s="85"/>
      <c r="B84" s="94" t="s">
        <v>84</v>
      </c>
      <c r="C84" s="93"/>
      <c r="D84" s="94"/>
      <c r="E84" s="95"/>
      <c r="F84" s="95"/>
      <c r="G84" s="95"/>
      <c r="H84" s="97">
        <f>SUM(H82/H83/12*1000)</f>
        <v>24.806954650661353</v>
      </c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124"/>
    </row>
    <row r="85" spans="1:21">
      <c r="A85" s="98"/>
      <c r="B85" s="90"/>
      <c r="C85" s="67"/>
      <c r="D85" s="90"/>
      <c r="E85" s="56"/>
      <c r="F85" s="56"/>
      <c r="G85" s="56"/>
      <c r="H85" s="99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125"/>
    </row>
    <row r="86" spans="1:21">
      <c r="A86" s="136"/>
      <c r="B86" s="71" t="s">
        <v>85</v>
      </c>
      <c r="C86" s="67"/>
      <c r="D86" s="90"/>
      <c r="E86" s="56"/>
      <c r="F86" s="56"/>
      <c r="G86" s="56"/>
      <c r="H86" s="5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</row>
    <row r="87" spans="1:21">
      <c r="A87" s="151" t="s">
        <v>203</v>
      </c>
      <c r="B87" s="152" t="s">
        <v>204</v>
      </c>
      <c r="C87" s="151" t="s">
        <v>140</v>
      </c>
      <c r="D87" s="8"/>
      <c r="E87" s="40"/>
      <c r="F87" s="56">
        <f>18/3</f>
        <v>6</v>
      </c>
      <c r="G87" s="56">
        <v>1120.8900000000001</v>
      </c>
      <c r="H87" s="128">
        <f t="shared" ref="H87:H97" si="16">G87*F87/1000</f>
        <v>6.7253400000000001</v>
      </c>
      <c r="I87" s="100">
        <f>G87*((3+3+3+3+3+3)/3)</f>
        <v>6725.34</v>
      </c>
      <c r="J87" s="100">
        <v>0</v>
      </c>
      <c r="K87" s="100">
        <v>0</v>
      </c>
      <c r="L87" s="100">
        <v>0</v>
      </c>
      <c r="M87" s="100">
        <v>0</v>
      </c>
      <c r="N87" s="100">
        <v>0</v>
      </c>
      <c r="O87" s="100">
        <v>0</v>
      </c>
      <c r="P87" s="100">
        <v>0</v>
      </c>
      <c r="Q87" s="100">
        <v>0</v>
      </c>
      <c r="R87" s="100">
        <v>0</v>
      </c>
      <c r="S87" s="100">
        <v>0</v>
      </c>
      <c r="T87" s="100">
        <v>0</v>
      </c>
      <c r="U87" s="36">
        <f t="shared" ref="U87:U117" si="17">SUM(I87:T87)</f>
        <v>6725.34</v>
      </c>
    </row>
    <row r="88" spans="1:21">
      <c r="A88" s="155" t="s">
        <v>218</v>
      </c>
      <c r="B88" s="154" t="s">
        <v>219</v>
      </c>
      <c r="C88" s="155" t="s">
        <v>220</v>
      </c>
      <c r="D88" s="8"/>
      <c r="E88" s="40"/>
      <c r="F88" s="56">
        <v>1</v>
      </c>
      <c r="G88" s="56">
        <v>195.85</v>
      </c>
      <c r="H88" s="128">
        <f t="shared" si="16"/>
        <v>0.19585</v>
      </c>
      <c r="I88" s="100">
        <f>G88</f>
        <v>195.85</v>
      </c>
      <c r="J88" s="100">
        <v>0</v>
      </c>
      <c r="K88" s="100">
        <v>0</v>
      </c>
      <c r="L88" s="100">
        <v>0</v>
      </c>
      <c r="M88" s="100">
        <v>0</v>
      </c>
      <c r="N88" s="100">
        <v>0</v>
      </c>
      <c r="O88" s="100">
        <v>0</v>
      </c>
      <c r="P88" s="100">
        <v>0</v>
      </c>
      <c r="Q88" s="100">
        <v>0</v>
      </c>
      <c r="R88" s="100">
        <v>0</v>
      </c>
      <c r="S88" s="100">
        <v>0</v>
      </c>
      <c r="T88" s="100">
        <v>0</v>
      </c>
      <c r="U88" s="36">
        <f t="shared" si="17"/>
        <v>195.85</v>
      </c>
    </row>
    <row r="89" spans="1:21">
      <c r="A89" s="153" t="s">
        <v>210</v>
      </c>
      <c r="B89" s="154" t="s">
        <v>211</v>
      </c>
      <c r="C89" s="155" t="s">
        <v>212</v>
      </c>
      <c r="D89" s="8"/>
      <c r="E89" s="40"/>
      <c r="F89" s="56">
        <v>3</v>
      </c>
      <c r="G89" s="56">
        <v>3300.56</v>
      </c>
      <c r="H89" s="128">
        <f t="shared" si="16"/>
        <v>9.9016800000000007</v>
      </c>
      <c r="I89" s="100">
        <f>G89*(2+1)</f>
        <v>9901.68</v>
      </c>
      <c r="J89" s="100">
        <v>0</v>
      </c>
      <c r="K89" s="100">
        <v>0</v>
      </c>
      <c r="L89" s="100">
        <v>0</v>
      </c>
      <c r="M89" s="100">
        <v>0</v>
      </c>
      <c r="N89" s="100">
        <v>0</v>
      </c>
      <c r="O89" s="100">
        <v>0</v>
      </c>
      <c r="P89" s="100">
        <v>0</v>
      </c>
      <c r="Q89" s="100">
        <v>0</v>
      </c>
      <c r="R89" s="100">
        <v>0</v>
      </c>
      <c r="S89" s="100">
        <v>0</v>
      </c>
      <c r="T89" s="100">
        <v>0</v>
      </c>
      <c r="U89" s="36">
        <f t="shared" si="17"/>
        <v>9901.68</v>
      </c>
    </row>
    <row r="90" spans="1:21" ht="25.5">
      <c r="A90" s="153" t="s">
        <v>206</v>
      </c>
      <c r="B90" s="154" t="s">
        <v>205</v>
      </c>
      <c r="C90" s="155" t="s">
        <v>130</v>
      </c>
      <c r="D90" s="8"/>
      <c r="E90" s="40"/>
      <c r="F90" s="56">
        <v>1</v>
      </c>
      <c r="G90" s="56">
        <v>803.54</v>
      </c>
      <c r="H90" s="128">
        <f t="shared" si="16"/>
        <v>0.80353999999999992</v>
      </c>
      <c r="I90" s="100">
        <f>G90</f>
        <v>803.54</v>
      </c>
      <c r="J90" s="100">
        <v>0</v>
      </c>
      <c r="K90" s="100">
        <v>0</v>
      </c>
      <c r="L90" s="100">
        <v>0</v>
      </c>
      <c r="M90" s="100">
        <v>0</v>
      </c>
      <c r="N90" s="100">
        <v>0</v>
      </c>
      <c r="O90" s="100">
        <v>0</v>
      </c>
      <c r="P90" s="100">
        <v>0</v>
      </c>
      <c r="Q90" s="100">
        <v>0</v>
      </c>
      <c r="R90" s="100">
        <v>0</v>
      </c>
      <c r="S90" s="100">
        <v>0</v>
      </c>
      <c r="T90" s="100">
        <v>0</v>
      </c>
      <c r="U90" s="36">
        <f t="shared" si="17"/>
        <v>803.54</v>
      </c>
    </row>
    <row r="91" spans="1:21" ht="25.5">
      <c r="A91" s="155" t="s">
        <v>209</v>
      </c>
      <c r="B91" s="154" t="s">
        <v>207</v>
      </c>
      <c r="C91" s="155" t="s">
        <v>208</v>
      </c>
      <c r="D91" s="8"/>
      <c r="E91" s="40"/>
      <c r="F91" s="56">
        <v>1</v>
      </c>
      <c r="G91" s="56">
        <v>306.37</v>
      </c>
      <c r="H91" s="128">
        <f t="shared" si="16"/>
        <v>0.30637000000000003</v>
      </c>
      <c r="I91" s="100">
        <f>G91</f>
        <v>306.37</v>
      </c>
      <c r="J91" s="100">
        <v>0</v>
      </c>
      <c r="K91" s="100">
        <v>0</v>
      </c>
      <c r="L91" s="100">
        <v>0</v>
      </c>
      <c r="M91" s="100">
        <v>0</v>
      </c>
      <c r="N91" s="100">
        <v>0</v>
      </c>
      <c r="O91" s="100">
        <v>0</v>
      </c>
      <c r="P91" s="100">
        <v>0</v>
      </c>
      <c r="Q91" s="100">
        <v>0</v>
      </c>
      <c r="R91" s="100">
        <v>0</v>
      </c>
      <c r="S91" s="100">
        <v>0</v>
      </c>
      <c r="T91" s="100">
        <v>0</v>
      </c>
      <c r="U91" s="36">
        <f t="shared" si="17"/>
        <v>306.37</v>
      </c>
    </row>
    <row r="92" spans="1:21" ht="25.5">
      <c r="A92" s="155" t="s">
        <v>201</v>
      </c>
      <c r="B92" s="154" t="s">
        <v>106</v>
      </c>
      <c r="C92" s="155" t="s">
        <v>53</v>
      </c>
      <c r="D92" s="8"/>
      <c r="E92" s="40"/>
      <c r="F92" s="56">
        <v>5</v>
      </c>
      <c r="G92" s="56">
        <v>189.88</v>
      </c>
      <c r="H92" s="56">
        <f t="shared" si="16"/>
        <v>0.94940000000000002</v>
      </c>
      <c r="I92" s="100">
        <f>G92</f>
        <v>189.88</v>
      </c>
      <c r="J92" s="100">
        <f>G92*3</f>
        <v>569.64</v>
      </c>
      <c r="K92" s="100">
        <v>0</v>
      </c>
      <c r="L92" s="100">
        <v>0</v>
      </c>
      <c r="M92" s="100">
        <f>G92</f>
        <v>189.88</v>
      </c>
      <c r="N92" s="100">
        <v>0</v>
      </c>
      <c r="O92" s="100">
        <v>0</v>
      </c>
      <c r="P92" s="100">
        <v>0</v>
      </c>
      <c r="Q92" s="100">
        <v>0</v>
      </c>
      <c r="R92" s="100">
        <v>0</v>
      </c>
      <c r="S92" s="100">
        <v>0</v>
      </c>
      <c r="T92" s="100">
        <v>0</v>
      </c>
      <c r="U92" s="36">
        <f t="shared" si="17"/>
        <v>949.4</v>
      </c>
    </row>
    <row r="93" spans="1:21" ht="25.5">
      <c r="A93" s="156" t="s">
        <v>221</v>
      </c>
      <c r="B93" s="157" t="s">
        <v>222</v>
      </c>
      <c r="C93" s="156" t="s">
        <v>130</v>
      </c>
      <c r="D93" s="90"/>
      <c r="E93" s="56"/>
      <c r="F93" s="56">
        <v>1</v>
      </c>
      <c r="G93" s="56">
        <v>1002.79</v>
      </c>
      <c r="H93" s="128">
        <f t="shared" si="16"/>
        <v>1.0027900000000001</v>
      </c>
      <c r="I93" s="100">
        <v>0</v>
      </c>
      <c r="J93" s="100">
        <f>G93</f>
        <v>1002.79</v>
      </c>
      <c r="K93" s="100">
        <v>0</v>
      </c>
      <c r="L93" s="100">
        <v>0</v>
      </c>
      <c r="M93" s="100">
        <v>0</v>
      </c>
      <c r="N93" s="100">
        <v>0</v>
      </c>
      <c r="O93" s="100">
        <v>0</v>
      </c>
      <c r="P93" s="100">
        <v>0</v>
      </c>
      <c r="Q93" s="100">
        <v>0</v>
      </c>
      <c r="R93" s="100">
        <v>0</v>
      </c>
      <c r="S93" s="100">
        <v>0</v>
      </c>
      <c r="T93" s="100">
        <v>0</v>
      </c>
      <c r="U93" s="36">
        <f t="shared" si="17"/>
        <v>1002.79</v>
      </c>
    </row>
    <row r="94" spans="1:21">
      <c r="A94" s="155" t="s">
        <v>196</v>
      </c>
      <c r="B94" s="154" t="s">
        <v>223</v>
      </c>
      <c r="C94" s="155" t="s">
        <v>53</v>
      </c>
      <c r="D94" s="8"/>
      <c r="E94" s="40"/>
      <c r="F94" s="56">
        <v>1</v>
      </c>
      <c r="G94" s="56">
        <v>140</v>
      </c>
      <c r="H94" s="128">
        <f t="shared" si="16"/>
        <v>0.14000000000000001</v>
      </c>
      <c r="I94" s="100">
        <v>0</v>
      </c>
      <c r="J94" s="100">
        <f t="shared" ref="J94:J96" si="18">G94</f>
        <v>140</v>
      </c>
      <c r="K94" s="100">
        <v>0</v>
      </c>
      <c r="L94" s="100">
        <v>0</v>
      </c>
      <c r="M94" s="100">
        <v>0</v>
      </c>
      <c r="N94" s="100">
        <v>0</v>
      </c>
      <c r="O94" s="100">
        <v>0</v>
      </c>
      <c r="P94" s="100">
        <v>0</v>
      </c>
      <c r="Q94" s="100">
        <v>0</v>
      </c>
      <c r="R94" s="100">
        <v>0</v>
      </c>
      <c r="S94" s="100">
        <v>0</v>
      </c>
      <c r="T94" s="100">
        <v>0</v>
      </c>
      <c r="U94" s="36">
        <f t="shared" si="17"/>
        <v>140</v>
      </c>
    </row>
    <row r="95" spans="1:21">
      <c r="A95" s="155" t="s">
        <v>196</v>
      </c>
      <c r="B95" s="158" t="s">
        <v>224</v>
      </c>
      <c r="C95" s="155" t="s">
        <v>53</v>
      </c>
      <c r="D95" s="8"/>
      <c r="E95" s="40"/>
      <c r="F95" s="56">
        <v>1</v>
      </c>
      <c r="G95" s="159">
        <v>108</v>
      </c>
      <c r="H95" s="128">
        <f t="shared" si="16"/>
        <v>0.108</v>
      </c>
      <c r="I95" s="100">
        <v>0</v>
      </c>
      <c r="J95" s="100">
        <f>G95</f>
        <v>108</v>
      </c>
      <c r="K95" s="100">
        <v>0</v>
      </c>
      <c r="L95" s="100">
        <v>0</v>
      </c>
      <c r="M95" s="100">
        <v>0</v>
      </c>
      <c r="N95" s="100">
        <v>0</v>
      </c>
      <c r="O95" s="100">
        <v>0</v>
      </c>
      <c r="P95" s="100">
        <v>0</v>
      </c>
      <c r="Q95" s="100">
        <v>0</v>
      </c>
      <c r="R95" s="100">
        <v>0</v>
      </c>
      <c r="S95" s="100">
        <v>0</v>
      </c>
      <c r="T95" s="100">
        <v>0</v>
      </c>
      <c r="U95" s="36">
        <f t="shared" si="17"/>
        <v>108</v>
      </c>
    </row>
    <row r="96" spans="1:21">
      <c r="A96" s="155" t="s">
        <v>196</v>
      </c>
      <c r="B96" s="154" t="s">
        <v>225</v>
      </c>
      <c r="C96" s="155" t="s">
        <v>53</v>
      </c>
      <c r="D96" s="8"/>
      <c r="E96" s="40"/>
      <c r="F96" s="56">
        <v>1</v>
      </c>
      <c r="G96" s="56">
        <v>27.36</v>
      </c>
      <c r="H96" s="128">
        <f t="shared" si="16"/>
        <v>2.7359999999999999E-2</v>
      </c>
      <c r="I96" s="100">
        <v>0</v>
      </c>
      <c r="J96" s="100">
        <f t="shared" si="18"/>
        <v>27.36</v>
      </c>
      <c r="K96" s="100">
        <v>0</v>
      </c>
      <c r="L96" s="100">
        <v>0</v>
      </c>
      <c r="M96" s="100">
        <v>0</v>
      </c>
      <c r="N96" s="100">
        <v>0</v>
      </c>
      <c r="O96" s="100">
        <v>0</v>
      </c>
      <c r="P96" s="100">
        <v>0</v>
      </c>
      <c r="Q96" s="100">
        <v>0</v>
      </c>
      <c r="R96" s="100">
        <v>0</v>
      </c>
      <c r="S96" s="100">
        <v>0</v>
      </c>
      <c r="T96" s="100">
        <v>0</v>
      </c>
      <c r="U96" s="36">
        <f t="shared" si="17"/>
        <v>27.36</v>
      </c>
    </row>
    <row r="97" spans="1:21">
      <c r="A97" s="151" t="s">
        <v>203</v>
      </c>
      <c r="B97" s="152" t="s">
        <v>226</v>
      </c>
      <c r="C97" s="151" t="s">
        <v>140</v>
      </c>
      <c r="D97" s="8"/>
      <c r="E97" s="40"/>
      <c r="F97" s="56">
        <f>(3+3+10+10+15+15+10+20+3+15+10+15+10+3+10+10+10+3+10+7+10+10+3+10)/3</f>
        <v>75</v>
      </c>
      <c r="G97" s="56">
        <v>1120.8900000000001</v>
      </c>
      <c r="H97" s="128">
        <f t="shared" si="16"/>
        <v>84.066750000000013</v>
      </c>
      <c r="I97" s="100">
        <v>0</v>
      </c>
      <c r="J97" s="100">
        <f>G97</f>
        <v>1120.8900000000001</v>
      </c>
      <c r="K97" s="100">
        <f>G97*((3+10+10+15+15)/3)</f>
        <v>19802.390000000003</v>
      </c>
      <c r="L97" s="100">
        <f>G97*((10+20+3)/3)</f>
        <v>12329.79</v>
      </c>
      <c r="M97" s="100">
        <v>0</v>
      </c>
      <c r="N97" s="100">
        <v>0</v>
      </c>
      <c r="O97" s="100">
        <v>0</v>
      </c>
      <c r="P97" s="100">
        <f>G97*((15+10+15+10)/3)</f>
        <v>18681.500000000004</v>
      </c>
      <c r="Q97" s="100">
        <f>G97*((3+10+10)/3)</f>
        <v>8593.4900000000016</v>
      </c>
      <c r="R97" s="100">
        <f>G97*((10+3+10)/3)</f>
        <v>8593.4900000000016</v>
      </c>
      <c r="S97" s="100">
        <f>G97*((7+10+10+3+10)/3)</f>
        <v>14945.200000000003</v>
      </c>
      <c r="T97" s="100">
        <v>0</v>
      </c>
      <c r="U97" s="36">
        <f>SUM(I97:T97)</f>
        <v>84066.750000000015</v>
      </c>
    </row>
    <row r="98" spans="1:21" ht="38.25">
      <c r="A98" s="160" t="s">
        <v>228</v>
      </c>
      <c r="B98" s="161" t="s">
        <v>227</v>
      </c>
      <c r="C98" s="149" t="s">
        <v>15</v>
      </c>
      <c r="D98" s="8"/>
      <c r="E98" s="40"/>
      <c r="F98" s="56">
        <f>0.7/10</f>
        <v>6.9999999999999993E-2</v>
      </c>
      <c r="G98" s="56">
        <v>41341.03</v>
      </c>
      <c r="H98" s="128">
        <f t="shared" ref="H98" si="19">G98*F98/1000</f>
        <v>2.8938720999999994</v>
      </c>
      <c r="I98" s="100">
        <v>0</v>
      </c>
      <c r="J98" s="100">
        <f>G98*F98</f>
        <v>2893.8720999999996</v>
      </c>
      <c r="K98" s="100">
        <v>0</v>
      </c>
      <c r="L98" s="100">
        <v>0</v>
      </c>
      <c r="M98" s="100">
        <v>0</v>
      </c>
      <c r="N98" s="100">
        <v>0</v>
      </c>
      <c r="O98" s="100">
        <v>0</v>
      </c>
      <c r="P98" s="100">
        <v>0</v>
      </c>
      <c r="Q98" s="100">
        <v>0</v>
      </c>
      <c r="R98" s="100">
        <v>0</v>
      </c>
      <c r="S98" s="100">
        <v>0</v>
      </c>
      <c r="T98" s="100">
        <v>0</v>
      </c>
      <c r="U98" s="36">
        <f t="shared" si="17"/>
        <v>2893.8720999999996</v>
      </c>
    </row>
    <row r="99" spans="1:21" ht="25.5">
      <c r="A99" s="155" t="s">
        <v>129</v>
      </c>
      <c r="B99" s="154" t="s">
        <v>229</v>
      </c>
      <c r="C99" s="155" t="s">
        <v>121</v>
      </c>
      <c r="D99" s="8"/>
      <c r="E99" s="40"/>
      <c r="F99" s="56">
        <v>8</v>
      </c>
      <c r="G99" s="56">
        <v>1272</v>
      </c>
      <c r="H99" s="128">
        <f>G99*F99/1000</f>
        <v>10.176</v>
      </c>
      <c r="I99" s="100">
        <v>0</v>
      </c>
      <c r="J99" s="100">
        <v>0</v>
      </c>
      <c r="K99" s="100">
        <f>G99*(3+2)</f>
        <v>6360</v>
      </c>
      <c r="L99" s="100">
        <v>0</v>
      </c>
      <c r="M99" s="100">
        <v>0</v>
      </c>
      <c r="N99" s="100">
        <v>0</v>
      </c>
      <c r="O99" s="100">
        <v>0</v>
      </c>
      <c r="P99" s="100">
        <v>0</v>
      </c>
      <c r="Q99" s="100">
        <f>G99*3</f>
        <v>3816</v>
      </c>
      <c r="R99" s="100">
        <v>0</v>
      </c>
      <c r="S99" s="100">
        <v>0</v>
      </c>
      <c r="T99" s="100">
        <v>0</v>
      </c>
      <c r="U99" s="36">
        <f t="shared" si="17"/>
        <v>10176</v>
      </c>
    </row>
    <row r="100" spans="1:21">
      <c r="A100" s="162"/>
      <c r="B100" s="163" t="s">
        <v>230</v>
      </c>
      <c r="C100" s="164" t="s">
        <v>53</v>
      </c>
      <c r="D100" s="150"/>
      <c r="E100" s="147"/>
      <c r="F100" s="147">
        <v>3</v>
      </c>
      <c r="G100" s="147">
        <v>470</v>
      </c>
      <c r="H100" s="128">
        <f t="shared" ref="H100:H103" si="20">G100*F100/1000</f>
        <v>1.41</v>
      </c>
      <c r="I100" s="36">
        <v>0</v>
      </c>
      <c r="J100" s="36">
        <v>0</v>
      </c>
      <c r="K100" s="36">
        <v>0</v>
      </c>
      <c r="L100" s="36">
        <f>G100</f>
        <v>470</v>
      </c>
      <c r="M100" s="36">
        <v>0</v>
      </c>
      <c r="N100" s="36">
        <v>0</v>
      </c>
      <c r="O100" s="36">
        <v>0</v>
      </c>
      <c r="P100" s="36">
        <v>0</v>
      </c>
      <c r="Q100" s="100">
        <f>G100*2</f>
        <v>940</v>
      </c>
      <c r="R100" s="100">
        <v>0</v>
      </c>
      <c r="S100" s="100">
        <v>0</v>
      </c>
      <c r="T100" s="100">
        <v>0</v>
      </c>
      <c r="U100" s="36">
        <f t="shared" si="17"/>
        <v>1410</v>
      </c>
    </row>
    <row r="101" spans="1:21" ht="25.5">
      <c r="A101" s="156" t="s">
        <v>165</v>
      </c>
      <c r="B101" s="157" t="s">
        <v>231</v>
      </c>
      <c r="C101" s="156" t="s">
        <v>41</v>
      </c>
      <c r="D101" s="150"/>
      <c r="E101" s="147"/>
      <c r="F101" s="165">
        <f>0.001</f>
        <v>1E-3</v>
      </c>
      <c r="G101" s="147">
        <v>1591.6</v>
      </c>
      <c r="H101" s="166">
        <f t="shared" si="20"/>
        <v>1.5915999999999999E-3</v>
      </c>
      <c r="I101" s="100">
        <v>0</v>
      </c>
      <c r="J101" s="100">
        <v>0</v>
      </c>
      <c r="K101" s="100">
        <v>0</v>
      </c>
      <c r="L101" s="100">
        <v>0</v>
      </c>
      <c r="M101" s="100">
        <f>G101*0.001</f>
        <v>1.5915999999999999</v>
      </c>
      <c r="N101" s="36">
        <v>0</v>
      </c>
      <c r="O101" s="36">
        <v>0</v>
      </c>
      <c r="P101" s="36">
        <v>0</v>
      </c>
      <c r="Q101" s="100">
        <v>0</v>
      </c>
      <c r="R101" s="100">
        <v>0</v>
      </c>
      <c r="S101" s="100">
        <v>0</v>
      </c>
      <c r="T101" s="100">
        <v>0</v>
      </c>
      <c r="U101" s="36">
        <f t="shared" si="17"/>
        <v>1.5915999999999999</v>
      </c>
    </row>
    <row r="102" spans="1:21">
      <c r="A102" s="156" t="s">
        <v>233</v>
      </c>
      <c r="B102" s="157" t="s">
        <v>234</v>
      </c>
      <c r="C102" s="156" t="s">
        <v>232</v>
      </c>
      <c r="D102" s="150"/>
      <c r="E102" s="147"/>
      <c r="F102" s="147">
        <f>2/100</f>
        <v>0.02</v>
      </c>
      <c r="G102" s="147">
        <v>67037.39</v>
      </c>
      <c r="H102" s="128">
        <f t="shared" si="20"/>
        <v>1.3407478000000002</v>
      </c>
      <c r="I102" s="100">
        <v>0</v>
      </c>
      <c r="J102" s="100">
        <v>0</v>
      </c>
      <c r="K102" s="100">
        <v>0</v>
      </c>
      <c r="L102" s="100">
        <v>0</v>
      </c>
      <c r="M102" s="100">
        <f>G102*0.02</f>
        <v>1340.7478000000001</v>
      </c>
      <c r="N102" s="100">
        <v>0</v>
      </c>
      <c r="O102" s="100">
        <v>0</v>
      </c>
      <c r="P102" s="100">
        <v>0</v>
      </c>
      <c r="Q102" s="100">
        <v>0</v>
      </c>
      <c r="R102" s="100">
        <v>0</v>
      </c>
      <c r="S102" s="100">
        <v>0</v>
      </c>
      <c r="T102" s="100">
        <v>0</v>
      </c>
      <c r="U102" s="36">
        <f t="shared" si="17"/>
        <v>1340.7478000000001</v>
      </c>
    </row>
    <row r="103" spans="1:21" ht="25.5">
      <c r="A103" s="160" t="s">
        <v>235</v>
      </c>
      <c r="B103" s="157" t="s">
        <v>236</v>
      </c>
      <c r="C103" s="156" t="s">
        <v>78</v>
      </c>
      <c r="D103" s="150"/>
      <c r="E103" s="147"/>
      <c r="F103" s="147">
        <v>2.08</v>
      </c>
      <c r="G103" s="147">
        <v>259.08</v>
      </c>
      <c r="H103" s="128">
        <f t="shared" si="20"/>
        <v>0.53888639999999999</v>
      </c>
      <c r="I103" s="100">
        <v>0</v>
      </c>
      <c r="J103" s="100">
        <v>0</v>
      </c>
      <c r="K103" s="100">
        <v>0</v>
      </c>
      <c r="L103" s="100">
        <v>0</v>
      </c>
      <c r="M103" s="100">
        <f>G103*2.08</f>
        <v>538.88639999999998</v>
      </c>
      <c r="N103" s="100">
        <v>0</v>
      </c>
      <c r="O103" s="100">
        <v>0</v>
      </c>
      <c r="P103" s="100">
        <v>0</v>
      </c>
      <c r="Q103" s="100">
        <v>0</v>
      </c>
      <c r="R103" s="100">
        <v>0</v>
      </c>
      <c r="S103" s="100">
        <v>0</v>
      </c>
      <c r="T103" s="100">
        <v>0</v>
      </c>
      <c r="U103" s="36">
        <f t="shared" si="17"/>
        <v>538.88639999999998</v>
      </c>
    </row>
    <row r="104" spans="1:21">
      <c r="A104" s="142" t="s">
        <v>180</v>
      </c>
      <c r="B104" s="143" t="s">
        <v>237</v>
      </c>
      <c r="C104" s="144" t="s">
        <v>53</v>
      </c>
      <c r="D104" s="8"/>
      <c r="E104" s="40"/>
      <c r="F104" s="56">
        <v>2</v>
      </c>
      <c r="G104" s="56">
        <v>86.15</v>
      </c>
      <c r="H104" s="128">
        <f t="shared" ref="H104:H111" si="21">G104*F104/1000</f>
        <v>0.17230000000000001</v>
      </c>
      <c r="I104" s="100">
        <v>0</v>
      </c>
      <c r="J104" s="100">
        <v>0</v>
      </c>
      <c r="K104" s="100">
        <v>0</v>
      </c>
      <c r="L104" s="100">
        <v>0</v>
      </c>
      <c r="M104" s="100">
        <f>G104</f>
        <v>86.15</v>
      </c>
      <c r="N104" s="100">
        <v>0</v>
      </c>
      <c r="O104" s="100">
        <v>0</v>
      </c>
      <c r="P104" s="100">
        <v>0</v>
      </c>
      <c r="Q104" s="100">
        <v>0</v>
      </c>
      <c r="R104" s="100">
        <v>0</v>
      </c>
      <c r="S104" s="100">
        <f>G104</f>
        <v>86.15</v>
      </c>
      <c r="T104" s="100">
        <v>0</v>
      </c>
      <c r="U104" s="36">
        <f t="shared" si="17"/>
        <v>172.3</v>
      </c>
    </row>
    <row r="105" spans="1:21" ht="25.5" customHeight="1">
      <c r="A105" s="156" t="s">
        <v>240</v>
      </c>
      <c r="B105" s="157" t="s">
        <v>238</v>
      </c>
      <c r="C105" s="156" t="s">
        <v>239</v>
      </c>
      <c r="D105" s="8"/>
      <c r="E105" s="40"/>
      <c r="F105" s="56">
        <f>(3.08+4.5+1.5)/10</f>
        <v>0.90800000000000003</v>
      </c>
      <c r="G105" s="56">
        <v>5945.91</v>
      </c>
      <c r="H105" s="128">
        <f t="shared" si="21"/>
        <v>5.3988862800000001</v>
      </c>
      <c r="I105" s="100">
        <v>0</v>
      </c>
      <c r="J105" s="100">
        <v>0</v>
      </c>
      <c r="K105" s="100">
        <v>0</v>
      </c>
      <c r="L105" s="100">
        <v>0</v>
      </c>
      <c r="M105" s="100">
        <f>G105*(3.08+4.5)/10</f>
        <v>4506.9997800000001</v>
      </c>
      <c r="N105" s="100">
        <v>0</v>
      </c>
      <c r="O105" s="100">
        <f>G105*(1.5/10)</f>
        <v>891.88649999999996</v>
      </c>
      <c r="P105" s="100">
        <v>0</v>
      </c>
      <c r="Q105" s="100">
        <v>0</v>
      </c>
      <c r="R105" s="100">
        <v>0</v>
      </c>
      <c r="S105" s="100">
        <v>0</v>
      </c>
      <c r="T105" s="100">
        <v>0</v>
      </c>
      <c r="U105" s="36">
        <f t="shared" si="17"/>
        <v>5398.8862799999997</v>
      </c>
    </row>
    <row r="106" spans="1:21" ht="25.5" customHeight="1">
      <c r="A106" s="160" t="s">
        <v>243</v>
      </c>
      <c r="B106" s="157" t="s">
        <v>241</v>
      </c>
      <c r="C106" s="167" t="s">
        <v>242</v>
      </c>
      <c r="D106" s="8"/>
      <c r="E106" s="40"/>
      <c r="F106" s="56">
        <f>5/10</f>
        <v>0.5</v>
      </c>
      <c r="G106" s="56">
        <v>3064.06</v>
      </c>
      <c r="H106" s="128">
        <f t="shared" si="21"/>
        <v>1.53203</v>
      </c>
      <c r="I106" s="100">
        <v>0</v>
      </c>
      <c r="J106" s="100">
        <v>0</v>
      </c>
      <c r="K106" s="100">
        <v>0</v>
      </c>
      <c r="L106" s="100">
        <v>0</v>
      </c>
      <c r="M106" s="100">
        <f>G106*0.5</f>
        <v>1532.03</v>
      </c>
      <c r="N106" s="100">
        <v>0</v>
      </c>
      <c r="O106" s="100">
        <v>0</v>
      </c>
      <c r="P106" s="100">
        <v>0</v>
      </c>
      <c r="Q106" s="100">
        <v>0</v>
      </c>
      <c r="R106" s="100">
        <v>0</v>
      </c>
      <c r="S106" s="100">
        <v>0</v>
      </c>
      <c r="T106" s="100">
        <v>0</v>
      </c>
      <c r="U106" s="36">
        <f t="shared" si="17"/>
        <v>1532.03</v>
      </c>
    </row>
    <row r="107" spans="1:21" ht="25.5">
      <c r="A107" s="153" t="s">
        <v>200</v>
      </c>
      <c r="B107" s="154" t="s">
        <v>199</v>
      </c>
      <c r="C107" s="155" t="s">
        <v>130</v>
      </c>
      <c r="D107" s="8"/>
      <c r="E107" s="40"/>
      <c r="F107" s="56">
        <v>1</v>
      </c>
      <c r="G107" s="56">
        <v>589.84</v>
      </c>
      <c r="H107" s="128">
        <f t="shared" si="21"/>
        <v>0.58984000000000003</v>
      </c>
      <c r="I107" s="100">
        <v>0</v>
      </c>
      <c r="J107" s="100">
        <v>0</v>
      </c>
      <c r="K107" s="100">
        <v>0</v>
      </c>
      <c r="L107" s="100">
        <v>0</v>
      </c>
      <c r="M107" s="100">
        <v>0</v>
      </c>
      <c r="N107" s="100">
        <f>G107</f>
        <v>589.84</v>
      </c>
      <c r="O107" s="100">
        <v>0</v>
      </c>
      <c r="P107" s="100">
        <v>0</v>
      </c>
      <c r="Q107" s="100">
        <v>0</v>
      </c>
      <c r="R107" s="100">
        <v>0</v>
      </c>
      <c r="S107" s="100">
        <v>0</v>
      </c>
      <c r="T107" s="100">
        <v>0</v>
      </c>
      <c r="U107" s="36">
        <f t="shared" si="17"/>
        <v>589.84</v>
      </c>
    </row>
    <row r="108" spans="1:21">
      <c r="A108" s="155" t="s">
        <v>122</v>
      </c>
      <c r="B108" s="154" t="s">
        <v>258</v>
      </c>
      <c r="C108" s="155" t="s">
        <v>31</v>
      </c>
      <c r="D108" s="8"/>
      <c r="E108" s="40"/>
      <c r="F108" s="56">
        <f>(47.43+76.97+49.2+86.63+121.86+137.49)-(5.672*6)</f>
        <v>485.54800000000006</v>
      </c>
      <c r="G108" s="56">
        <v>42.61</v>
      </c>
      <c r="H108" s="56">
        <f t="shared" si="21"/>
        <v>20.689200280000001</v>
      </c>
      <c r="I108" s="100">
        <v>0</v>
      </c>
      <c r="J108" s="100">
        <v>0</v>
      </c>
      <c r="K108" s="100">
        <v>0</v>
      </c>
      <c r="L108" s="100">
        <v>0</v>
      </c>
      <c r="M108" s="100">
        <v>0</v>
      </c>
      <c r="N108" s="36">
        <f>G108*F108</f>
        <v>20689.200280000001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f t="shared" si="17"/>
        <v>20689.200280000001</v>
      </c>
    </row>
    <row r="109" spans="1:21" ht="38.25">
      <c r="A109" s="155" t="s">
        <v>246</v>
      </c>
      <c r="B109" s="154" t="s">
        <v>244</v>
      </c>
      <c r="C109" s="155" t="s">
        <v>245</v>
      </c>
      <c r="D109" s="8"/>
      <c r="E109" s="40"/>
      <c r="F109" s="56">
        <v>2</v>
      </c>
      <c r="G109" s="56">
        <v>54.17</v>
      </c>
      <c r="H109" s="128">
        <f t="shared" si="21"/>
        <v>0.10834000000000001</v>
      </c>
      <c r="I109" s="100">
        <v>0</v>
      </c>
      <c r="J109" s="100">
        <v>0</v>
      </c>
      <c r="K109" s="100">
        <v>0</v>
      </c>
      <c r="L109" s="100">
        <v>0</v>
      </c>
      <c r="M109" s="100">
        <v>0</v>
      </c>
      <c r="N109" s="100">
        <v>0</v>
      </c>
      <c r="O109" s="100">
        <v>0</v>
      </c>
      <c r="P109" s="100">
        <v>0</v>
      </c>
      <c r="Q109" s="100">
        <f>G109*2</f>
        <v>108.34</v>
      </c>
      <c r="R109" s="100">
        <v>0</v>
      </c>
      <c r="S109" s="100">
        <v>0</v>
      </c>
      <c r="T109" s="100">
        <v>0</v>
      </c>
      <c r="U109" s="36">
        <f t="shared" si="17"/>
        <v>108.34</v>
      </c>
    </row>
    <row r="110" spans="1:21" ht="25.5">
      <c r="A110" s="153" t="s">
        <v>179</v>
      </c>
      <c r="B110" s="154" t="s">
        <v>101</v>
      </c>
      <c r="C110" s="155" t="s">
        <v>53</v>
      </c>
      <c r="D110" s="8"/>
      <c r="E110" s="40"/>
      <c r="F110" s="56">
        <v>1</v>
      </c>
      <c r="G110" s="56">
        <v>83.36</v>
      </c>
      <c r="H110" s="128">
        <f t="shared" si="21"/>
        <v>8.3360000000000004E-2</v>
      </c>
      <c r="I110" s="100">
        <v>0</v>
      </c>
      <c r="J110" s="100">
        <v>0</v>
      </c>
      <c r="K110" s="100">
        <v>0</v>
      </c>
      <c r="L110" s="100">
        <v>0</v>
      </c>
      <c r="M110" s="100">
        <v>0</v>
      </c>
      <c r="N110" s="100">
        <v>0</v>
      </c>
      <c r="O110" s="100">
        <v>0</v>
      </c>
      <c r="P110" s="100">
        <v>0</v>
      </c>
      <c r="Q110" s="100">
        <f>G110</f>
        <v>83.36</v>
      </c>
      <c r="R110" s="100">
        <v>0</v>
      </c>
      <c r="S110" s="100">
        <v>0</v>
      </c>
      <c r="T110" s="100">
        <v>0</v>
      </c>
      <c r="U110" s="36">
        <f t="shared" si="17"/>
        <v>83.36</v>
      </c>
    </row>
    <row r="111" spans="1:21" ht="25.5">
      <c r="A111" s="155" t="s">
        <v>129</v>
      </c>
      <c r="B111" s="154" t="s">
        <v>247</v>
      </c>
      <c r="C111" s="155" t="s">
        <v>121</v>
      </c>
      <c r="D111" s="8"/>
      <c r="E111" s="40"/>
      <c r="F111" s="56">
        <v>4</v>
      </c>
      <c r="G111" s="56">
        <v>1187</v>
      </c>
      <c r="H111" s="128">
        <f t="shared" si="21"/>
        <v>4.7480000000000002</v>
      </c>
      <c r="I111" s="100">
        <v>0</v>
      </c>
      <c r="J111" s="100">
        <v>0</v>
      </c>
      <c r="K111" s="100">
        <v>0</v>
      </c>
      <c r="L111" s="100">
        <v>0</v>
      </c>
      <c r="M111" s="100">
        <v>0</v>
      </c>
      <c r="N111" s="100">
        <v>0</v>
      </c>
      <c r="O111" s="100">
        <v>0</v>
      </c>
      <c r="P111" s="100">
        <v>0</v>
      </c>
      <c r="Q111" s="100">
        <v>0</v>
      </c>
      <c r="R111" s="100">
        <f>G111*4</f>
        <v>4748</v>
      </c>
      <c r="S111" s="100">
        <v>0</v>
      </c>
      <c r="T111" s="100">
        <v>0</v>
      </c>
      <c r="U111" s="36">
        <f t="shared" si="17"/>
        <v>4748</v>
      </c>
    </row>
    <row r="112" spans="1:21">
      <c r="A112" s="168" t="s">
        <v>248</v>
      </c>
      <c r="B112" s="169" t="s">
        <v>249</v>
      </c>
      <c r="C112" s="149" t="s">
        <v>239</v>
      </c>
      <c r="D112" s="90"/>
      <c r="E112" s="56"/>
      <c r="F112" s="56">
        <f>0.5/10</f>
        <v>0.05</v>
      </c>
      <c r="G112" s="56">
        <v>381.08</v>
      </c>
      <c r="H112" s="128">
        <f>G112*F112/1000</f>
        <v>1.9053999999999998E-2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f>G112*0.05</f>
        <v>19.053999999999998</v>
      </c>
      <c r="T112" s="36">
        <v>0</v>
      </c>
      <c r="U112" s="36">
        <f t="shared" si="17"/>
        <v>19.053999999999998</v>
      </c>
    </row>
    <row r="113" spans="1:21" ht="25.5">
      <c r="A113" s="156" t="s">
        <v>250</v>
      </c>
      <c r="B113" s="157" t="s">
        <v>251</v>
      </c>
      <c r="C113" s="156" t="s">
        <v>19</v>
      </c>
      <c r="D113" s="90"/>
      <c r="E113" s="56"/>
      <c r="F113" s="56">
        <f>0.5/100</f>
        <v>5.0000000000000001E-3</v>
      </c>
      <c r="G113" s="56">
        <v>51118.77</v>
      </c>
      <c r="H113" s="128">
        <f>G113*F113/1000</f>
        <v>0.25559385000000001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f>G113*0.005</f>
        <v>255.59385</v>
      </c>
      <c r="T113" s="36">
        <v>0</v>
      </c>
      <c r="U113" s="36">
        <f t="shared" si="17"/>
        <v>255.59385</v>
      </c>
    </row>
    <row r="114" spans="1:21">
      <c r="A114" s="142" t="s">
        <v>252</v>
      </c>
      <c r="B114" s="143" t="s">
        <v>253</v>
      </c>
      <c r="C114" s="144" t="s">
        <v>53</v>
      </c>
      <c r="D114" s="8"/>
      <c r="E114" s="40"/>
      <c r="F114" s="56">
        <v>1</v>
      </c>
      <c r="G114" s="56">
        <v>185.08</v>
      </c>
      <c r="H114" s="128">
        <f t="shared" ref="H114:H115" si="22">G114*F114/1000</f>
        <v>0.18508000000000002</v>
      </c>
      <c r="I114" s="100">
        <v>0</v>
      </c>
      <c r="J114" s="100">
        <v>0</v>
      </c>
      <c r="K114" s="100">
        <v>0</v>
      </c>
      <c r="L114" s="100">
        <v>0</v>
      </c>
      <c r="M114" s="100">
        <v>0</v>
      </c>
      <c r="N114" s="100">
        <v>0</v>
      </c>
      <c r="O114" s="100">
        <v>0</v>
      </c>
      <c r="P114" s="100">
        <v>0</v>
      </c>
      <c r="Q114" s="100">
        <v>0</v>
      </c>
      <c r="R114" s="100">
        <v>0</v>
      </c>
      <c r="S114" s="100">
        <f>G114</f>
        <v>185.08</v>
      </c>
      <c r="T114" s="100">
        <v>0</v>
      </c>
      <c r="U114" s="36">
        <f t="shared" ref="U114:U115" si="23">SUM(I114:T114)</f>
        <v>185.08</v>
      </c>
    </row>
    <row r="115" spans="1:21" ht="25.5" customHeight="1">
      <c r="A115" s="156" t="s">
        <v>254</v>
      </c>
      <c r="B115" s="170" t="s">
        <v>257</v>
      </c>
      <c r="C115" s="156" t="s">
        <v>19</v>
      </c>
      <c r="D115" s="8"/>
      <c r="E115" s="40"/>
      <c r="F115" s="56">
        <f>4/100</f>
        <v>0.04</v>
      </c>
      <c r="G115" s="56">
        <v>72270.649999999994</v>
      </c>
      <c r="H115" s="128">
        <f t="shared" si="22"/>
        <v>2.8908260000000001</v>
      </c>
      <c r="I115" s="100">
        <v>0</v>
      </c>
      <c r="J115" s="100">
        <v>0</v>
      </c>
      <c r="K115" s="100">
        <v>0</v>
      </c>
      <c r="L115" s="100">
        <v>0</v>
      </c>
      <c r="M115" s="100">
        <v>0</v>
      </c>
      <c r="N115" s="100">
        <v>0</v>
      </c>
      <c r="O115" s="100">
        <v>0</v>
      </c>
      <c r="P115" s="100">
        <v>0</v>
      </c>
      <c r="Q115" s="100">
        <v>0</v>
      </c>
      <c r="R115" s="100">
        <v>0</v>
      </c>
      <c r="S115" s="100">
        <f>G115*0.04</f>
        <v>2890.826</v>
      </c>
      <c r="T115" s="100">
        <v>0</v>
      </c>
      <c r="U115" s="36">
        <f t="shared" si="23"/>
        <v>2890.826</v>
      </c>
    </row>
    <row r="116" spans="1:21" ht="25.5">
      <c r="A116" s="155" t="s">
        <v>166</v>
      </c>
      <c r="B116" s="154" t="s">
        <v>131</v>
      </c>
      <c r="C116" s="155" t="s">
        <v>50</v>
      </c>
      <c r="D116" s="8"/>
      <c r="E116" s="40"/>
      <c r="F116" s="56">
        <v>0.02</v>
      </c>
      <c r="G116" s="56">
        <v>3581.13</v>
      </c>
      <c r="H116" s="128">
        <f>G116*F116/1000</f>
        <v>7.1622600000000008E-2</v>
      </c>
      <c r="I116" s="100">
        <v>0</v>
      </c>
      <c r="J116" s="100">
        <v>0</v>
      </c>
      <c r="K116" s="100">
        <v>0</v>
      </c>
      <c r="L116" s="100">
        <v>0</v>
      </c>
      <c r="M116" s="100">
        <v>0</v>
      </c>
      <c r="N116" s="100">
        <v>0</v>
      </c>
      <c r="O116" s="100">
        <v>0</v>
      </c>
      <c r="P116" s="100">
        <v>0</v>
      </c>
      <c r="Q116" s="100">
        <v>0</v>
      </c>
      <c r="R116" s="100">
        <v>0</v>
      </c>
      <c r="S116" s="100">
        <v>0</v>
      </c>
      <c r="T116" s="100">
        <f>G116*0.02</f>
        <v>71.622600000000006</v>
      </c>
      <c r="U116" s="36">
        <f t="shared" si="17"/>
        <v>71.622600000000006</v>
      </c>
    </row>
    <row r="117" spans="1:21" ht="25.5">
      <c r="A117" s="155" t="s">
        <v>167</v>
      </c>
      <c r="B117" s="154" t="s">
        <v>133</v>
      </c>
      <c r="C117" s="155" t="s">
        <v>132</v>
      </c>
      <c r="D117" s="8"/>
      <c r="E117" s="40"/>
      <c r="F117" s="56">
        <f>1/100</f>
        <v>0.01</v>
      </c>
      <c r="G117" s="56">
        <v>7412.92</v>
      </c>
      <c r="H117" s="128">
        <f>G117*F117/1000</f>
        <v>7.4129199999999992E-2</v>
      </c>
      <c r="I117" s="100">
        <v>0</v>
      </c>
      <c r="J117" s="100">
        <v>0</v>
      </c>
      <c r="K117" s="100">
        <v>0</v>
      </c>
      <c r="L117" s="100">
        <v>0</v>
      </c>
      <c r="M117" s="100">
        <v>0</v>
      </c>
      <c r="N117" s="100">
        <v>0</v>
      </c>
      <c r="O117" s="100">
        <v>0</v>
      </c>
      <c r="P117" s="100">
        <v>0</v>
      </c>
      <c r="Q117" s="100">
        <v>0</v>
      </c>
      <c r="R117" s="100">
        <v>0</v>
      </c>
      <c r="S117" s="100">
        <v>0</v>
      </c>
      <c r="T117" s="100">
        <f>G117*0.01</f>
        <v>74.129199999999997</v>
      </c>
      <c r="U117" s="36">
        <f t="shared" si="17"/>
        <v>74.129199999999997</v>
      </c>
    </row>
    <row r="118" spans="1:21">
      <c r="A118" s="155" t="s">
        <v>122</v>
      </c>
      <c r="B118" s="154" t="s">
        <v>259</v>
      </c>
      <c r="C118" s="155" t="s">
        <v>31</v>
      </c>
      <c r="D118" s="8"/>
      <c r="E118" s="40"/>
      <c r="F118" s="56">
        <f>(26.91+34.72+97.16+68.69+75.75)-(5.672*6)</f>
        <v>269.19800000000004</v>
      </c>
      <c r="G118" s="56">
        <v>44.31</v>
      </c>
      <c r="H118" s="56">
        <f t="shared" ref="H118" si="24">G118*F118/1000</f>
        <v>11.928163380000003</v>
      </c>
      <c r="I118" s="100">
        <v>0</v>
      </c>
      <c r="J118" s="100">
        <v>0</v>
      </c>
      <c r="K118" s="100">
        <v>0</v>
      </c>
      <c r="L118" s="100">
        <v>0</v>
      </c>
      <c r="M118" s="100">
        <v>0</v>
      </c>
      <c r="N118" s="100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>
        <f>G118*F118</f>
        <v>11928.163380000002</v>
      </c>
      <c r="U118" s="36">
        <f t="shared" ref="U118" si="25">SUM(I118:T118)</f>
        <v>11928.163380000002</v>
      </c>
    </row>
    <row r="119" spans="1:21" s="18" customFormat="1">
      <c r="A119" s="101"/>
      <c r="B119" s="102" t="s">
        <v>86</v>
      </c>
      <c r="C119" s="101"/>
      <c r="D119" s="101"/>
      <c r="E119" s="95"/>
      <c r="F119" s="95"/>
      <c r="G119" s="95"/>
      <c r="H119" s="48">
        <f>SUM(H86:H118)</f>
        <v>169.33460349000001</v>
      </c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47">
        <f>SUM(U86:U118)</f>
        <v>169334.60349000001</v>
      </c>
    </row>
    <row r="120" spans="1:21">
      <c r="A120" s="98"/>
      <c r="B120" s="103"/>
      <c r="C120" s="104"/>
      <c r="D120" s="104"/>
      <c r="E120" s="56"/>
      <c r="F120" s="56"/>
      <c r="G120" s="56"/>
      <c r="H120" s="105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126"/>
    </row>
    <row r="121" spans="1:21" ht="12" customHeight="1">
      <c r="A121" s="136"/>
      <c r="B121" s="17" t="s">
        <v>87</v>
      </c>
      <c r="C121" s="67"/>
      <c r="D121" s="90"/>
      <c r="E121" s="56"/>
      <c r="F121" s="56"/>
      <c r="G121" s="56"/>
      <c r="H121" s="106">
        <f>H119/E122/12*1000</f>
        <v>5.5348958452637769</v>
      </c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126"/>
    </row>
    <row r="122" spans="1:21" s="18" customFormat="1">
      <c r="A122" s="85"/>
      <c r="B122" s="107" t="s">
        <v>88</v>
      </c>
      <c r="C122" s="108"/>
      <c r="D122" s="107"/>
      <c r="E122" s="140">
        <v>2549.5</v>
      </c>
      <c r="F122" s="109">
        <f>SUM(E122*12)</f>
        <v>30594</v>
      </c>
      <c r="G122" s="110">
        <f>H84+H121</f>
        <v>30.341850495925129</v>
      </c>
      <c r="H122" s="111">
        <f>SUM(F122*G122/1000)</f>
        <v>928.27857407233341</v>
      </c>
      <c r="I122" s="95">
        <f>SUM(I11:I121)</f>
        <v>91477.651310833331</v>
      </c>
      <c r="J122" s="95">
        <f t="shared" ref="J122:Q122" si="26">SUM(J11:J121)</f>
        <v>55891.869410833344</v>
      </c>
      <c r="K122" s="95">
        <f t="shared" si="26"/>
        <v>76677.640575833342</v>
      </c>
      <c r="L122" s="95">
        <f t="shared" si="26"/>
        <v>64676.587305833338</v>
      </c>
      <c r="M122" s="95">
        <f t="shared" si="26"/>
        <v>197060.63429155559</v>
      </c>
      <c r="N122" s="95">
        <f t="shared" si="26"/>
        <v>63451.036125555562</v>
      </c>
      <c r="O122" s="95">
        <f t="shared" si="26"/>
        <v>47566.882345555561</v>
      </c>
      <c r="P122" s="95">
        <f t="shared" si="26"/>
        <v>60853.495845555561</v>
      </c>
      <c r="Q122" s="95">
        <f t="shared" si="26"/>
        <v>91582.532983555575</v>
      </c>
      <c r="R122" s="95">
        <f>SUM(R11:R121)</f>
        <v>57450.665845555559</v>
      </c>
      <c r="S122" s="95">
        <f>SUM(S11:S121)</f>
        <v>64601.79280083334</v>
      </c>
      <c r="T122" s="95">
        <f>SUM(T11:T121)</f>
        <v>62103.232490833354</v>
      </c>
      <c r="U122" s="47">
        <f>U82+U119</f>
        <v>933394.02133233345</v>
      </c>
    </row>
    <row r="123" spans="1:21">
      <c r="A123" s="69"/>
      <c r="B123" s="69"/>
      <c r="C123" s="69"/>
      <c r="D123" s="69"/>
      <c r="E123" s="112"/>
      <c r="F123" s="112"/>
      <c r="G123" s="112"/>
      <c r="H123" s="112"/>
      <c r="I123" s="112"/>
      <c r="J123" s="112"/>
      <c r="K123" s="112"/>
      <c r="L123" s="112"/>
      <c r="M123" s="69"/>
      <c r="N123" s="112"/>
      <c r="O123" s="69"/>
      <c r="P123" s="69"/>
      <c r="Q123" s="69"/>
      <c r="R123" s="69"/>
      <c r="S123" s="69"/>
      <c r="T123" s="69"/>
      <c r="U123" s="69"/>
    </row>
    <row r="124" spans="1:21">
      <c r="A124" s="69"/>
      <c r="B124" s="69"/>
      <c r="C124" s="69"/>
      <c r="D124" s="69"/>
      <c r="E124" s="112"/>
      <c r="F124" s="112"/>
      <c r="G124" s="112"/>
      <c r="H124" s="112"/>
      <c r="I124" s="112"/>
      <c r="J124" s="113"/>
      <c r="K124" s="114"/>
      <c r="L124" s="113"/>
      <c r="M124" s="112"/>
      <c r="N124" s="69"/>
      <c r="O124" s="69"/>
      <c r="P124" s="69"/>
      <c r="Q124" s="69"/>
      <c r="R124" s="69"/>
      <c r="S124" s="69"/>
      <c r="T124" s="69"/>
      <c r="U124" s="69"/>
    </row>
    <row r="125" spans="1:21" ht="45">
      <c r="A125" s="69"/>
      <c r="B125" s="115" t="s">
        <v>202</v>
      </c>
      <c r="C125" s="174">
        <v>218682.83</v>
      </c>
      <c r="D125" s="175"/>
      <c r="E125" s="175"/>
      <c r="F125" s="176"/>
      <c r="G125" s="112"/>
      <c r="H125" s="112"/>
      <c r="I125" s="112"/>
      <c r="J125" s="113"/>
      <c r="K125" s="114"/>
      <c r="L125" s="113"/>
      <c r="M125" s="112"/>
      <c r="N125" s="69"/>
      <c r="O125" s="69"/>
      <c r="P125" s="69"/>
      <c r="Q125" s="69"/>
      <c r="R125" s="69"/>
      <c r="S125" s="69"/>
      <c r="T125" s="69"/>
      <c r="U125" s="69"/>
    </row>
    <row r="126" spans="1:21" ht="30">
      <c r="A126" s="69"/>
      <c r="B126" s="21" t="s">
        <v>213</v>
      </c>
      <c r="C126" s="174">
        <f>(74751.36*9)+(73298.29*3)</f>
        <v>892657.11</v>
      </c>
      <c r="D126" s="175"/>
      <c r="E126" s="175"/>
      <c r="F126" s="176"/>
      <c r="G126" s="112"/>
      <c r="H126" s="112"/>
      <c r="I126" s="112"/>
      <c r="J126" s="113"/>
      <c r="K126" s="114"/>
      <c r="L126" s="113"/>
      <c r="M126" s="112"/>
      <c r="N126" s="69"/>
      <c r="O126" s="69"/>
      <c r="P126" s="69"/>
      <c r="Q126" s="69"/>
      <c r="R126" s="69"/>
      <c r="S126" s="69"/>
      <c r="T126" s="69"/>
      <c r="U126" s="69"/>
    </row>
    <row r="127" spans="1:21" ht="30">
      <c r="A127" s="69"/>
      <c r="B127" s="21" t="s">
        <v>214</v>
      </c>
      <c r="C127" s="174">
        <f>SUM(U122-U119)</f>
        <v>764059.41784233344</v>
      </c>
      <c r="D127" s="175"/>
      <c r="E127" s="175"/>
      <c r="F127" s="176"/>
      <c r="G127" s="112"/>
      <c r="H127" s="112"/>
      <c r="I127" s="112"/>
      <c r="J127" s="113"/>
      <c r="K127" s="114"/>
      <c r="L127" s="113"/>
      <c r="M127" s="112"/>
      <c r="N127" s="69"/>
      <c r="O127" s="69"/>
      <c r="P127" s="69"/>
      <c r="Q127" s="69"/>
      <c r="R127" s="69"/>
      <c r="S127" s="69"/>
      <c r="T127" s="69"/>
      <c r="U127" s="69"/>
    </row>
    <row r="128" spans="1:21" ht="30">
      <c r="A128" s="69"/>
      <c r="B128" s="21" t="s">
        <v>215</v>
      </c>
      <c r="C128" s="174">
        <f>SUM(U119)</f>
        <v>169334.60349000001</v>
      </c>
      <c r="D128" s="175"/>
      <c r="E128" s="175"/>
      <c r="F128" s="176"/>
      <c r="G128" s="112"/>
      <c r="H128" s="112"/>
      <c r="I128" s="112"/>
      <c r="J128" s="113"/>
      <c r="K128" s="114"/>
      <c r="L128" s="113"/>
      <c r="M128" s="112"/>
      <c r="N128" s="69"/>
      <c r="O128" s="69"/>
      <c r="P128" s="69"/>
      <c r="Q128" s="69"/>
      <c r="R128" s="69"/>
      <c r="S128" s="69"/>
      <c r="T128" s="69"/>
      <c r="U128" s="69"/>
    </row>
    <row r="129" spans="1:21" ht="18">
      <c r="A129" s="69"/>
      <c r="B129" s="121" t="s">
        <v>216</v>
      </c>
      <c r="C129" s="174">
        <f>61792.17+61895.65+81235.52+60247.38+68535.55+86014.48+99712.54+69304.28+66494.96+68375.67+67557.33+77403.09</f>
        <v>868568.61999999988</v>
      </c>
      <c r="D129" s="175"/>
      <c r="E129" s="175"/>
      <c r="F129" s="176"/>
      <c r="G129" s="69"/>
      <c r="I129" s="116" t="s">
        <v>93</v>
      </c>
      <c r="J129" s="117"/>
      <c r="K129" s="118"/>
      <c r="L129" s="119"/>
      <c r="M129" s="116"/>
      <c r="N129" s="116"/>
      <c r="O129" s="69"/>
      <c r="P129" s="69"/>
      <c r="Q129" s="69"/>
      <c r="R129" s="69"/>
      <c r="S129" s="69"/>
      <c r="T129" s="69"/>
      <c r="U129" s="69"/>
    </row>
    <row r="130" spans="1:21" ht="78.75">
      <c r="A130" s="69"/>
      <c r="B130" s="22" t="s">
        <v>255</v>
      </c>
      <c r="C130" s="177">
        <v>237451.33</v>
      </c>
      <c r="D130" s="178"/>
      <c r="E130" s="178"/>
      <c r="F130" s="17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</row>
    <row r="131" spans="1:21" ht="45">
      <c r="A131" s="69"/>
      <c r="B131" s="120" t="s">
        <v>256</v>
      </c>
      <c r="C131" s="171">
        <f>SUM(C127+C128-C126)+C125</f>
        <v>259419.74133233345</v>
      </c>
      <c r="D131" s="172"/>
      <c r="E131" s="172"/>
      <c r="F131" s="173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</row>
    <row r="133" spans="1:21">
      <c r="J133" s="3"/>
      <c r="K133" s="4"/>
      <c r="L133" s="4"/>
      <c r="M133" s="2"/>
    </row>
    <row r="134" spans="1:21">
      <c r="G134" s="5"/>
      <c r="H134" s="5"/>
    </row>
    <row r="135" spans="1:21">
      <c r="G135" s="6"/>
    </row>
  </sheetData>
  <mergeCells count="11">
    <mergeCell ref="B3:L3"/>
    <mergeCell ref="B4:L4"/>
    <mergeCell ref="B5:L5"/>
    <mergeCell ref="B6:L6"/>
    <mergeCell ref="C125:F125"/>
    <mergeCell ref="C131:F131"/>
    <mergeCell ref="C126:F126"/>
    <mergeCell ref="C127:F127"/>
    <mergeCell ref="C128:F128"/>
    <mergeCell ref="C129:F129"/>
    <mergeCell ref="C130:F130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Косм.,1</vt:lpstr>
      <vt:lpstr>'Косм.,1'!Область_печати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2018-03-19T07:55:43Z</cp:lastPrinted>
  <dcterms:created xsi:type="dcterms:W3CDTF">2014-02-05T12:20:20Z</dcterms:created>
  <dcterms:modified xsi:type="dcterms:W3CDTF">2018-03-27T07:46:50Z</dcterms:modified>
</cp:coreProperties>
</file>