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45" windowWidth="15480" windowHeight="11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Print_Area" localSheetId="0">'01.21'!$A$1:$I$111</definedName>
    <definedName name="_xlnm.Print_Area" localSheetId="1">'02.21'!$A$1:$I$111</definedName>
    <definedName name="_xlnm.Print_Area" localSheetId="2">'03.21'!$A$1:$I$113</definedName>
    <definedName name="_xlnm.Print_Area" localSheetId="3">'04.21'!$A$1:$I$114</definedName>
    <definedName name="_xlnm.Print_Area" localSheetId="4">'05.21'!$A$1:$I$112</definedName>
    <definedName name="_xlnm.Print_Area" localSheetId="5">'06.21'!$A$1:$I$112</definedName>
    <definedName name="_xlnm.Print_Area" localSheetId="6">'07.21'!$A$1:$I$111</definedName>
    <definedName name="_xlnm.Print_Area" localSheetId="7">'08.21'!$A$1:$I$108</definedName>
    <definedName name="_xlnm.Print_Area" localSheetId="8">'09.21'!$A$1:$I$109</definedName>
    <definedName name="_xlnm.Print_Area" localSheetId="9">'10.21'!$A$1:$I$111</definedName>
    <definedName name="_xlnm.Print_Area" localSheetId="10">'11.21'!$A$1:$I$110</definedName>
    <definedName name="_xlnm.Print_Area" localSheetId="11">'12.21'!$A$1:$I$118</definedName>
  </definedNames>
  <calcPr calcId="125725"/>
</workbook>
</file>

<file path=xl/calcChain.xml><?xml version="1.0" encoding="utf-8"?>
<calcChain xmlns="http://schemas.openxmlformats.org/spreadsheetml/2006/main">
  <c r="I86" i="28"/>
  <c r="I60"/>
  <c r="I95"/>
  <c r="I92"/>
  <c r="I91"/>
  <c r="I90"/>
  <c r="I59"/>
  <c r="I38"/>
  <c r="I38" i="27"/>
  <c r="I85" s="1"/>
  <c r="I84" i="26" l="1"/>
  <c r="I88"/>
  <c r="I83" i="25"/>
  <c r="I85"/>
  <c r="I62"/>
  <c r="I81" i="24"/>
  <c r="I85"/>
  <c r="I83"/>
  <c r="I83" i="23"/>
  <c r="I88"/>
  <c r="I87"/>
  <c r="I86"/>
  <c r="F26"/>
  <c r="F25"/>
  <c r="F24"/>
  <c r="F23"/>
  <c r="F22"/>
  <c r="F21"/>
  <c r="F20"/>
  <c r="I89" i="22" l="1"/>
  <c r="I88"/>
  <c r="I87"/>
  <c r="I88" i="21"/>
  <c r="I89" s="1"/>
  <c r="I82" i="20" l="1"/>
  <c r="I91"/>
  <c r="I60"/>
  <c r="I59"/>
  <c r="F59"/>
  <c r="I37"/>
  <c r="F55" i="19"/>
  <c r="F62"/>
  <c r="I62" s="1"/>
  <c r="I59"/>
  <c r="I58"/>
  <c r="I43"/>
  <c r="F44"/>
  <c r="I44" s="1"/>
  <c r="I37"/>
  <c r="I87" i="18"/>
  <c r="I40"/>
  <c r="I38"/>
  <c r="I87" i="17" l="1"/>
  <c r="I82" i="28" l="1"/>
  <c r="I44" i="27" l="1"/>
  <c r="I62" i="26"/>
  <c r="I86" i="25" l="1"/>
  <c r="F27" i="22" l="1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22"/>
  <c r="H26"/>
  <c r="I18"/>
  <c r="H18"/>
  <c r="I16"/>
  <c r="I19"/>
  <c r="I21"/>
  <c r="I23"/>
  <c r="I25"/>
  <c r="I27"/>
  <c r="I58" i="21" l="1"/>
  <c r="I59" i="17" l="1"/>
  <c r="I58"/>
  <c r="F58"/>
  <c r="E84" i="18" l="1"/>
  <c r="F84" s="1"/>
  <c r="F83"/>
  <c r="H83" s="1"/>
  <c r="I77"/>
  <c r="F77"/>
  <c r="F72"/>
  <c r="I72" s="1"/>
  <c r="F61"/>
  <c r="I61" s="1"/>
  <c r="F52"/>
  <c r="H52" s="1"/>
  <c r="F42"/>
  <c r="H42" s="1"/>
  <c r="F41"/>
  <c r="I41" s="1"/>
  <c r="H40"/>
  <c r="H39"/>
  <c r="F39"/>
  <c r="I39" s="1"/>
  <c r="F45"/>
  <c r="I45" s="1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H19"/>
  <c r="F19"/>
  <c r="I19" s="1"/>
  <c r="E18"/>
  <c r="F18" s="1"/>
  <c r="I18" s="1"/>
  <c r="F17"/>
  <c r="I17" s="1"/>
  <c r="F16"/>
  <c r="I16" s="1"/>
  <c r="I88" i="17"/>
  <c r="E84"/>
  <c r="F84" s="1"/>
  <c r="F83"/>
  <c r="H83" s="1"/>
  <c r="I77"/>
  <c r="F77"/>
  <c r="F61"/>
  <c r="I61" s="1"/>
  <c r="H63"/>
  <c r="F72"/>
  <c r="I72" s="1"/>
  <c r="F51"/>
  <c r="H51" s="1"/>
  <c r="I37"/>
  <c r="F44"/>
  <c r="I44" s="1"/>
  <c r="I43"/>
  <c r="H43"/>
  <c r="F42"/>
  <c r="H42" s="1"/>
  <c r="F41"/>
  <c r="I41" s="1"/>
  <c r="F40"/>
  <c r="H40" s="1"/>
  <c r="H39"/>
  <c r="F38"/>
  <c r="H38" s="1"/>
  <c r="H3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52" i="28"/>
  <c r="E85"/>
  <c r="F85" s="1"/>
  <c r="F84"/>
  <c r="H84" s="1"/>
  <c r="I78"/>
  <c r="F78"/>
  <c r="F62"/>
  <c r="I62" s="1"/>
  <c r="F73"/>
  <c r="I73" s="1"/>
  <c r="F45"/>
  <c r="I45" s="1"/>
  <c r="I44"/>
  <c r="H44"/>
  <c r="F43"/>
  <c r="I43" s="1"/>
  <c r="F42"/>
  <c r="H42" s="1"/>
  <c r="F41"/>
  <c r="H41" s="1"/>
  <c r="H40"/>
  <c r="F39"/>
  <c r="H3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6" i="18" l="1"/>
  <c r="H41"/>
  <c r="H84"/>
  <c r="I84"/>
  <c r="I83"/>
  <c r="I52"/>
  <c r="I42"/>
  <c r="H23"/>
  <c r="H21"/>
  <c r="H25"/>
  <c r="H17"/>
  <c r="H18"/>
  <c r="H20"/>
  <c r="H22"/>
  <c r="H24"/>
  <c r="H26"/>
  <c r="I27"/>
  <c r="H17" i="17"/>
  <c r="H20"/>
  <c r="H24"/>
  <c r="H22"/>
  <c r="H26"/>
  <c r="H84"/>
  <c r="I84"/>
  <c r="I83"/>
  <c r="I51"/>
  <c r="I38"/>
  <c r="I40"/>
  <c r="H41"/>
  <c r="I42"/>
  <c r="I18"/>
  <c r="H18"/>
  <c r="I16"/>
  <c r="I19"/>
  <c r="I21"/>
  <c r="I23"/>
  <c r="I25"/>
  <c r="I27"/>
  <c r="H17" i="28"/>
  <c r="H43"/>
  <c r="H85"/>
  <c r="I85"/>
  <c r="I84"/>
  <c r="I42"/>
  <c r="I39"/>
  <c r="I41"/>
  <c r="I18"/>
  <c r="H18"/>
  <c r="I16"/>
  <c r="I19"/>
  <c r="H20"/>
  <c r="I21"/>
  <c r="H22"/>
  <c r="I23"/>
  <c r="H24"/>
  <c r="I25"/>
  <c r="H26"/>
  <c r="I27"/>
  <c r="I85" i="18" l="1"/>
  <c r="I85" i="17"/>
  <c r="I81" i="27"/>
  <c r="E84"/>
  <c r="F84" s="1"/>
  <c r="F83"/>
  <c r="H83" s="1"/>
  <c r="I77"/>
  <c r="F77"/>
  <c r="F72"/>
  <c r="I72" s="1"/>
  <c r="F61"/>
  <c r="I61" s="1"/>
  <c r="F45"/>
  <c r="I45" s="1"/>
  <c r="F43"/>
  <c r="I43" s="1"/>
  <c r="F42"/>
  <c r="F41"/>
  <c r="F39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22" l="1"/>
  <c r="H26"/>
  <c r="H17"/>
  <c r="H20"/>
  <c r="H24"/>
  <c r="H84"/>
  <c r="I84"/>
  <c r="I83"/>
  <c r="H18"/>
  <c r="I16"/>
  <c r="I19"/>
  <c r="I21"/>
  <c r="I23"/>
  <c r="I25"/>
  <c r="I27"/>
  <c r="I44" i="26" l="1"/>
  <c r="F44"/>
  <c r="E83" l="1"/>
  <c r="F83" s="1"/>
  <c r="F82"/>
  <c r="H82" s="1"/>
  <c r="I76"/>
  <c r="F76"/>
  <c r="F71"/>
  <c r="I71" s="1"/>
  <c r="F60"/>
  <c r="I60" s="1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83"/>
  <c r="I83"/>
  <c r="I82"/>
  <c r="H30"/>
  <c r="I31"/>
  <c r="H32"/>
  <c r="H22"/>
  <c r="H24"/>
  <c r="H26"/>
  <c r="I18"/>
  <c r="H18"/>
  <c r="I16"/>
  <c r="I19"/>
  <c r="I21"/>
  <c r="I23"/>
  <c r="I25"/>
  <c r="I27"/>
  <c r="E82" i="25" l="1"/>
  <c r="F82" s="1"/>
  <c r="F81"/>
  <c r="H81" s="1"/>
  <c r="F79"/>
  <c r="I79" s="1"/>
  <c r="I73"/>
  <c r="F73"/>
  <c r="F59"/>
  <c r="I59" s="1"/>
  <c r="I53"/>
  <c r="F52"/>
  <c r="I52" s="1"/>
  <c r="F51"/>
  <c r="I51" s="1"/>
  <c r="F50"/>
  <c r="F49"/>
  <c r="F48"/>
  <c r="F47"/>
  <c r="F46"/>
  <c r="F45"/>
  <c r="H33"/>
  <c r="F33"/>
  <c r="I33" s="1"/>
  <c r="F32"/>
  <c r="I32" s="1"/>
  <c r="F31"/>
  <c r="I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E80" i="24"/>
  <c r="F80" s="1"/>
  <c r="F79"/>
  <c r="H79" s="1"/>
  <c r="I73"/>
  <c r="F75"/>
  <c r="I75" s="1"/>
  <c r="F73"/>
  <c r="F59"/>
  <c r="I59" s="1"/>
  <c r="F54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6" i="25" l="1"/>
  <c r="H31"/>
  <c r="H82"/>
  <c r="I82"/>
  <c r="I81"/>
  <c r="H30"/>
  <c r="H32"/>
  <c r="I18"/>
  <c r="H18"/>
  <c r="I16"/>
  <c r="H17"/>
  <c r="I19"/>
  <c r="H20"/>
  <c r="I21"/>
  <c r="H22"/>
  <c r="I23"/>
  <c r="H24"/>
  <c r="I25"/>
  <c r="I27"/>
  <c r="H80" i="24"/>
  <c r="I80"/>
  <c r="I79"/>
  <c r="H17"/>
  <c r="H20"/>
  <c r="H24"/>
  <c r="H22"/>
  <c r="H26"/>
  <c r="H30"/>
  <c r="I31"/>
  <c r="H32"/>
  <c r="I18"/>
  <c r="H18"/>
  <c r="I16"/>
  <c r="I19"/>
  <c r="I21"/>
  <c r="I23"/>
  <c r="I25"/>
  <c r="I27"/>
  <c r="H33" i="23" l="1"/>
  <c r="F33"/>
  <c r="I33" s="1"/>
  <c r="H32"/>
  <c r="F32"/>
  <c r="I32" s="1"/>
  <c r="F31"/>
  <c r="H31" s="1"/>
  <c r="F30"/>
  <c r="I30" s="1"/>
  <c r="H70"/>
  <c r="I70"/>
  <c r="H71"/>
  <c r="H72"/>
  <c r="E82"/>
  <c r="F82" s="1"/>
  <c r="F81"/>
  <c r="H81" s="1"/>
  <c r="F75"/>
  <c r="I75" s="1"/>
  <c r="F73"/>
  <c r="I73" s="1"/>
  <c r="F59"/>
  <c r="I59" s="1"/>
  <c r="F27"/>
  <c r="H27" s="1"/>
  <c r="I26"/>
  <c r="H25"/>
  <c r="I24"/>
  <c r="H23"/>
  <c r="I22"/>
  <c r="H21"/>
  <c r="I20"/>
  <c r="F19"/>
  <c r="H19" s="1"/>
  <c r="E18"/>
  <c r="F18" s="1"/>
  <c r="F17"/>
  <c r="I17" s="1"/>
  <c r="F16"/>
  <c r="H16" s="1"/>
  <c r="E82" i="22"/>
  <c r="F82" s="1"/>
  <c r="H82" s="1"/>
  <c r="F81"/>
  <c r="H81" s="1"/>
  <c r="F75"/>
  <c r="I75" s="1"/>
  <c r="F73"/>
  <c r="I73" s="1"/>
  <c r="F59"/>
  <c r="I59" s="1"/>
  <c r="F67"/>
  <c r="I67" s="1"/>
  <c r="F66"/>
  <c r="I66" s="1"/>
  <c r="F65"/>
  <c r="I65" s="1"/>
  <c r="F64"/>
  <c r="I64" s="1"/>
  <c r="F63"/>
  <c r="I63" s="1"/>
  <c r="F62"/>
  <c r="F61"/>
  <c r="H33"/>
  <c r="F33"/>
  <c r="I33" s="1"/>
  <c r="F32"/>
  <c r="I32" s="1"/>
  <c r="F31"/>
  <c r="H31" s="1"/>
  <c r="F30"/>
  <c r="I30" s="1"/>
  <c r="H30" i="23" l="1"/>
  <c r="I31"/>
  <c r="H82"/>
  <c r="I82"/>
  <c r="I81"/>
  <c r="I18"/>
  <c r="H18"/>
  <c r="I16"/>
  <c r="H17"/>
  <c r="I19"/>
  <c r="H20"/>
  <c r="I21"/>
  <c r="H22"/>
  <c r="I23"/>
  <c r="H24"/>
  <c r="I25"/>
  <c r="H26"/>
  <c r="I27"/>
  <c r="I81" i="22"/>
  <c r="I82"/>
  <c r="H30"/>
  <c r="I31"/>
  <c r="H32"/>
  <c r="I83" l="1"/>
  <c r="I62" i="21"/>
  <c r="F54" l="1"/>
  <c r="I53"/>
  <c r="E83"/>
  <c r="F83" s="1"/>
  <c r="F82"/>
  <c r="F71"/>
  <c r="I71" s="1"/>
  <c r="F76"/>
  <c r="I76" s="1"/>
  <c r="F68"/>
  <c r="F67"/>
  <c r="F66"/>
  <c r="F65"/>
  <c r="F64"/>
  <c r="F63"/>
  <c r="F62"/>
  <c r="F60"/>
  <c r="I60" s="1"/>
  <c r="F52"/>
  <c r="I52" s="1"/>
  <c r="F51"/>
  <c r="I51" s="1"/>
  <c r="F50"/>
  <c r="F49"/>
  <c r="F48"/>
  <c r="F47"/>
  <c r="F46"/>
  <c r="F45"/>
  <c r="F33"/>
  <c r="F32"/>
  <c r="F31"/>
  <c r="F30"/>
  <c r="F27"/>
  <c r="F26"/>
  <c r="F25"/>
  <c r="F24"/>
  <c r="F23"/>
  <c r="F22"/>
  <c r="F21"/>
  <c r="I21" s="1"/>
  <c r="F20"/>
  <c r="F19"/>
  <c r="E18"/>
  <c r="F18" s="1"/>
  <c r="I18" s="1"/>
  <c r="F17"/>
  <c r="F16"/>
  <c r="E85" i="20" l="1"/>
  <c r="F85" s="1"/>
  <c r="F84"/>
  <c r="H84" s="1"/>
  <c r="F78"/>
  <c r="I78" s="1"/>
  <c r="F62"/>
  <c r="I62" s="1"/>
  <c r="F73"/>
  <c r="I73" s="1"/>
  <c r="F45"/>
  <c r="I45" s="1"/>
  <c r="I44"/>
  <c r="H44"/>
  <c r="F43"/>
  <c r="H43" s="1"/>
  <c r="I41"/>
  <c r="F42"/>
  <c r="H42" s="1"/>
  <c r="F40"/>
  <c r="H40" s="1"/>
  <c r="H39"/>
  <c r="F38"/>
  <c r="H38" s="1"/>
  <c r="H37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H17" l="1"/>
  <c r="H21"/>
  <c r="H85"/>
  <c r="I85"/>
  <c r="I84"/>
  <c r="I43"/>
  <c r="I42"/>
  <c r="I38"/>
  <c r="I40"/>
  <c r="H18"/>
  <c r="I16"/>
  <c r="I20"/>
  <c r="I27"/>
  <c r="I86" l="1"/>
  <c r="F86" i="19"/>
  <c r="I86" s="1"/>
  <c r="E85"/>
  <c r="F85" s="1"/>
  <c r="F84"/>
  <c r="F82"/>
  <c r="I82" s="1"/>
  <c r="F76"/>
  <c r="I76" s="1"/>
  <c r="F61"/>
  <c r="I61" s="1"/>
  <c r="F58"/>
  <c r="F42"/>
  <c r="I42" s="1"/>
  <c r="F41"/>
  <c r="F40"/>
  <c r="F38"/>
  <c r="F27"/>
  <c r="F21"/>
  <c r="I21" s="1"/>
  <c r="F20"/>
  <c r="E18"/>
  <c r="F18" s="1"/>
  <c r="I18" s="1"/>
  <c r="F17"/>
  <c r="F16"/>
  <c r="I79" i="17"/>
  <c r="I55"/>
  <c r="I64" i="28" l="1"/>
  <c r="I79" i="27" l="1"/>
  <c r="I80" i="26" l="1"/>
  <c r="I54" l="1"/>
  <c r="I61" i="24" l="1"/>
  <c r="I59" i="18" l="1"/>
  <c r="I61" i="23"/>
  <c r="I61" i="22" l="1"/>
  <c r="I68"/>
  <c r="I64" i="19" l="1"/>
  <c r="I88" i="18"/>
  <c r="I44"/>
  <c r="H82" i="28" l="1"/>
  <c r="H80"/>
  <c r="H77"/>
  <c r="H76"/>
  <c r="I75"/>
  <c r="H75"/>
  <c r="H71"/>
  <c r="F70"/>
  <c r="H70" s="1"/>
  <c r="F69"/>
  <c r="H69" s="1"/>
  <c r="F68"/>
  <c r="H68" s="1"/>
  <c r="F67"/>
  <c r="H67" s="1"/>
  <c r="F66"/>
  <c r="H66" s="1"/>
  <c r="H65"/>
  <c r="H64"/>
  <c r="F59"/>
  <c r="I56"/>
  <c r="F56"/>
  <c r="H56" s="1"/>
  <c r="I55"/>
  <c r="H55"/>
  <c r="F54"/>
  <c r="I54" s="1"/>
  <c r="F53"/>
  <c r="H53" s="1"/>
  <c r="I52"/>
  <c r="F51"/>
  <c r="H51" s="1"/>
  <c r="F50"/>
  <c r="H50" s="1"/>
  <c r="F49"/>
  <c r="H49" s="1"/>
  <c r="F48"/>
  <c r="H48" s="1"/>
  <c r="F47"/>
  <c r="H47" s="1"/>
  <c r="H38"/>
  <c r="H36"/>
  <c r="H35"/>
  <c r="H34"/>
  <c r="F34"/>
  <c r="I34" s="1"/>
  <c r="F33"/>
  <c r="H33" s="1"/>
  <c r="F32"/>
  <c r="I32" s="1"/>
  <c r="F31"/>
  <c r="H31" s="1"/>
  <c r="F28"/>
  <c r="I28" s="1"/>
  <c r="I74" i="27"/>
  <c r="I55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44"/>
  <c r="I42"/>
  <c r="I41"/>
  <c r="H40"/>
  <c r="I39"/>
  <c r="H38"/>
  <c r="H36"/>
  <c r="H35"/>
  <c r="H34"/>
  <c r="F34"/>
  <c r="I34" s="1"/>
  <c r="F33"/>
  <c r="I33" s="1"/>
  <c r="F32"/>
  <c r="I32" s="1"/>
  <c r="F31"/>
  <c r="I31" s="1"/>
  <c r="F28"/>
  <c r="I28" s="1"/>
  <c r="H87" i="26"/>
  <c r="H86" i="28" l="1"/>
  <c r="H28"/>
  <c r="I31"/>
  <c r="H32"/>
  <c r="I33"/>
  <c r="H52"/>
  <c r="I53"/>
  <c r="H54"/>
  <c r="H59"/>
  <c r="H81" s="1"/>
  <c r="H33" i="27"/>
  <c r="H39"/>
  <c r="H43"/>
  <c r="I53"/>
  <c r="I54"/>
  <c r="H59"/>
  <c r="H80" s="1"/>
  <c r="H31"/>
  <c r="H41"/>
  <c r="H85"/>
  <c r="H28"/>
  <c r="H32"/>
  <c r="H42"/>
  <c r="H52"/>
  <c r="I89" l="1"/>
  <c r="I97" i="28"/>
  <c r="I70" i="22" l="1"/>
  <c r="I54" i="19"/>
  <c r="I81" i="17"/>
  <c r="H80" i="26" l="1"/>
  <c r="H78"/>
  <c r="H75"/>
  <c r="H74"/>
  <c r="H73"/>
  <c r="H69"/>
  <c r="F68"/>
  <c r="H68" s="1"/>
  <c r="F67"/>
  <c r="H67" s="1"/>
  <c r="F66"/>
  <c r="H66" s="1"/>
  <c r="F65"/>
  <c r="H65" s="1"/>
  <c r="F64"/>
  <c r="H64" s="1"/>
  <c r="H63"/>
  <c r="H62"/>
  <c r="F58"/>
  <c r="I58" s="1"/>
  <c r="I55"/>
  <c r="F55"/>
  <c r="H55" s="1"/>
  <c r="H54"/>
  <c r="F53"/>
  <c r="F52"/>
  <c r="F51"/>
  <c r="I51" s="1"/>
  <c r="F50"/>
  <c r="H50" s="1"/>
  <c r="F49"/>
  <c r="H49" s="1"/>
  <c r="F48"/>
  <c r="H48" s="1"/>
  <c r="F47"/>
  <c r="H47" s="1"/>
  <c r="F46"/>
  <c r="H46" s="1"/>
  <c r="I43"/>
  <c r="H43"/>
  <c r="F42"/>
  <c r="I42" s="1"/>
  <c r="F41"/>
  <c r="I41" s="1"/>
  <c r="F40"/>
  <c r="I40" s="1"/>
  <c r="H39"/>
  <c r="F38"/>
  <c r="I38" s="1"/>
  <c r="I37"/>
  <c r="H37"/>
  <c r="H35"/>
  <c r="H34"/>
  <c r="I68" i="25"/>
  <c r="H77"/>
  <c r="H75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F57"/>
  <c r="H57" s="1"/>
  <c r="I54"/>
  <c r="F54"/>
  <c r="H54" s="1"/>
  <c r="H53"/>
  <c r="H52"/>
  <c r="H51"/>
  <c r="I50"/>
  <c r="H49"/>
  <c r="H48"/>
  <c r="H47"/>
  <c r="H46"/>
  <c r="H45"/>
  <c r="I43"/>
  <c r="H43"/>
  <c r="F42"/>
  <c r="I42" s="1"/>
  <c r="F41"/>
  <c r="I41" s="1"/>
  <c r="F40"/>
  <c r="I40" s="1"/>
  <c r="H39"/>
  <c r="F38"/>
  <c r="I38" s="1"/>
  <c r="I37"/>
  <c r="H37"/>
  <c r="H35"/>
  <c r="H34"/>
  <c r="I53" i="24"/>
  <c r="H77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F57"/>
  <c r="H57" s="1"/>
  <c r="I54"/>
  <c r="H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79" i="23"/>
  <c r="H77"/>
  <c r="H68"/>
  <c r="F67"/>
  <c r="H67" s="1"/>
  <c r="F66"/>
  <c r="H66" s="1"/>
  <c r="F65"/>
  <c r="H65" s="1"/>
  <c r="F64"/>
  <c r="H64" s="1"/>
  <c r="F63"/>
  <c r="H63" s="1"/>
  <c r="H62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79" i="22"/>
  <c r="H77"/>
  <c r="H72"/>
  <c r="H71"/>
  <c r="H70"/>
  <c r="H68"/>
  <c r="H67"/>
  <c r="H66"/>
  <c r="H65"/>
  <c r="H64"/>
  <c r="H63"/>
  <c r="H62"/>
  <c r="H6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F40"/>
  <c r="I40" s="1"/>
  <c r="H39"/>
  <c r="F38"/>
  <c r="I38" s="1"/>
  <c r="I37"/>
  <c r="H37"/>
  <c r="H35"/>
  <c r="H34"/>
  <c r="I82" i="21"/>
  <c r="H80"/>
  <c r="H78"/>
  <c r="H75"/>
  <c r="H74"/>
  <c r="H73"/>
  <c r="H69"/>
  <c r="H68"/>
  <c r="H67"/>
  <c r="H66"/>
  <c r="H65"/>
  <c r="H64"/>
  <c r="H63"/>
  <c r="H62"/>
  <c r="F57"/>
  <c r="I57" s="1"/>
  <c r="I54"/>
  <c r="H54"/>
  <c r="H53"/>
  <c r="H52"/>
  <c r="H51"/>
  <c r="I50"/>
  <c r="H49"/>
  <c r="H48"/>
  <c r="H47"/>
  <c r="H46"/>
  <c r="H45"/>
  <c r="I43"/>
  <c r="H43"/>
  <c r="F42"/>
  <c r="I42" s="1"/>
  <c r="F41"/>
  <c r="I41" s="1"/>
  <c r="F40"/>
  <c r="I40" s="1"/>
  <c r="H39"/>
  <c r="F38"/>
  <c r="I38" s="1"/>
  <c r="I37"/>
  <c r="H37"/>
  <c r="H35"/>
  <c r="H34"/>
  <c r="H33"/>
  <c r="I33"/>
  <c r="I32"/>
  <c r="I31"/>
  <c r="I30"/>
  <c r="I27"/>
  <c r="H26"/>
  <c r="H25"/>
  <c r="H24"/>
  <c r="H23"/>
  <c r="H22"/>
  <c r="I20"/>
  <c r="I17"/>
  <c r="I16"/>
  <c r="I55" i="20"/>
  <c r="H82"/>
  <c r="H80"/>
  <c r="H77"/>
  <c r="H76"/>
  <c r="H75"/>
  <c r="H71"/>
  <c r="F70"/>
  <c r="H70" s="1"/>
  <c r="F69"/>
  <c r="H69" s="1"/>
  <c r="F68"/>
  <c r="H68" s="1"/>
  <c r="F67"/>
  <c r="H67" s="1"/>
  <c r="F66"/>
  <c r="H66" s="1"/>
  <c r="H65"/>
  <c r="I64"/>
  <c r="H64"/>
  <c r="H59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35"/>
  <c r="H34"/>
  <c r="H33"/>
  <c r="F33"/>
  <c r="I33" s="1"/>
  <c r="F32"/>
  <c r="I32" s="1"/>
  <c r="F31"/>
  <c r="I31" s="1"/>
  <c r="F30"/>
  <c r="I30" s="1"/>
  <c r="I84" i="19"/>
  <c r="H80"/>
  <c r="H78"/>
  <c r="H75"/>
  <c r="H74"/>
  <c r="H73"/>
  <c r="H71"/>
  <c r="F70"/>
  <c r="H70" s="1"/>
  <c r="F69"/>
  <c r="H69" s="1"/>
  <c r="F68"/>
  <c r="H68" s="1"/>
  <c r="F67"/>
  <c r="H67" s="1"/>
  <c r="F66"/>
  <c r="H66" s="1"/>
  <c r="H65"/>
  <c r="H64"/>
  <c r="H58"/>
  <c r="I55"/>
  <c r="H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3"/>
  <c r="I41"/>
  <c r="I40"/>
  <c r="H39"/>
  <c r="I38"/>
  <c r="H37"/>
  <c r="H35"/>
  <c r="H34"/>
  <c r="H33"/>
  <c r="F33"/>
  <c r="I33" s="1"/>
  <c r="F32"/>
  <c r="I32" s="1"/>
  <c r="F31"/>
  <c r="I31" s="1"/>
  <c r="F30"/>
  <c r="H30" s="1"/>
  <c r="H27"/>
  <c r="F26"/>
  <c r="H26" s="1"/>
  <c r="F25"/>
  <c r="H25" s="1"/>
  <c r="F24"/>
  <c r="H24" s="1"/>
  <c r="F23"/>
  <c r="H23" s="1"/>
  <c r="F22"/>
  <c r="H22" s="1"/>
  <c r="H20"/>
  <c r="F19"/>
  <c r="H19" s="1"/>
  <c r="I17"/>
  <c r="H16"/>
  <c r="I74" i="18"/>
  <c r="I63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H63"/>
  <c r="F59"/>
  <c r="H59" s="1"/>
  <c r="H80" s="1"/>
  <c r="I56"/>
  <c r="F56"/>
  <c r="H56" s="1"/>
  <c r="H55"/>
  <c r="F54"/>
  <c r="H54" s="1"/>
  <c r="F53"/>
  <c r="H53" s="1"/>
  <c r="F51"/>
  <c r="H51" s="1"/>
  <c r="F50"/>
  <c r="H50" s="1"/>
  <c r="F49"/>
  <c r="H49" s="1"/>
  <c r="F48"/>
  <c r="H48" s="1"/>
  <c r="F47"/>
  <c r="H47" s="1"/>
  <c r="H44"/>
  <c r="F43"/>
  <c r="H38"/>
  <c r="H36"/>
  <c r="H35"/>
  <c r="H34"/>
  <c r="F34"/>
  <c r="I34" s="1"/>
  <c r="F33"/>
  <c r="H33" s="1"/>
  <c r="F32"/>
  <c r="I32" s="1"/>
  <c r="F31"/>
  <c r="H31" s="1"/>
  <c r="F28"/>
  <c r="I28" s="1"/>
  <c r="H52" i="26" l="1"/>
  <c r="I52"/>
  <c r="H53"/>
  <c r="I53"/>
  <c r="H19" i="21"/>
  <c r="I19"/>
  <c r="H81" i="20"/>
  <c r="H79" i="19"/>
  <c r="H42"/>
  <c r="H43" i="18"/>
  <c r="I43"/>
  <c r="H28"/>
  <c r="H78" i="23"/>
  <c r="H76" i="25"/>
  <c r="H78" i="22"/>
  <c r="H38" i="26"/>
  <c r="H58"/>
  <c r="H79" s="1"/>
  <c r="H42"/>
  <c r="H40"/>
  <c r="H84"/>
  <c r="H41"/>
  <c r="H51"/>
  <c r="I49" i="25"/>
  <c r="I47"/>
  <c r="I45"/>
  <c r="I48"/>
  <c r="I46"/>
  <c r="H38"/>
  <c r="H42"/>
  <c r="H40"/>
  <c r="H83"/>
  <c r="H41"/>
  <c r="H50"/>
  <c r="I57"/>
  <c r="H50" i="24"/>
  <c r="H41"/>
  <c r="H81"/>
  <c r="H76"/>
  <c r="I38"/>
  <c r="I40"/>
  <c r="I42"/>
  <c r="I57"/>
  <c r="H83" i="23"/>
  <c r="I38"/>
  <c r="I40"/>
  <c r="H41"/>
  <c r="I42"/>
  <c r="H50"/>
  <c r="I57"/>
  <c r="H38" i="22"/>
  <c r="H40"/>
  <c r="H42"/>
  <c r="H83"/>
  <c r="H41"/>
  <c r="H50"/>
  <c r="I57"/>
  <c r="H16" i="21"/>
  <c r="H38"/>
  <c r="I26"/>
  <c r="I24"/>
  <c r="I49"/>
  <c r="I47"/>
  <c r="I45"/>
  <c r="I68"/>
  <c r="I66"/>
  <c r="I22"/>
  <c r="I25"/>
  <c r="I23"/>
  <c r="I48"/>
  <c r="I46"/>
  <c r="I64"/>
  <c r="I67"/>
  <c r="I65"/>
  <c r="H57"/>
  <c r="H79" s="1"/>
  <c r="H40"/>
  <c r="H42"/>
  <c r="H20"/>
  <c r="H27"/>
  <c r="H30"/>
  <c r="H32"/>
  <c r="I83"/>
  <c r="H83"/>
  <c r="H84" s="1"/>
  <c r="H17"/>
  <c r="H18"/>
  <c r="H21"/>
  <c r="H31"/>
  <c r="H41"/>
  <c r="H50"/>
  <c r="H82"/>
  <c r="H32" i="20"/>
  <c r="I53"/>
  <c r="I54"/>
  <c r="H30"/>
  <c r="H86"/>
  <c r="H31"/>
  <c r="H52"/>
  <c r="H38" i="19"/>
  <c r="H32"/>
  <c r="H17"/>
  <c r="H40"/>
  <c r="H18"/>
  <c r="I85"/>
  <c r="I87" s="1"/>
  <c r="H85"/>
  <c r="H87" s="1"/>
  <c r="I16"/>
  <c r="I20"/>
  <c r="H21"/>
  <c r="I27"/>
  <c r="I30"/>
  <c r="H31"/>
  <c r="H41"/>
  <c r="H51"/>
  <c r="H84"/>
  <c r="H32" i="18"/>
  <c r="H85"/>
  <c r="I31"/>
  <c r="I33"/>
  <c r="I88" i="25" l="1"/>
  <c r="I84" i="21"/>
  <c r="I91" s="1"/>
  <c r="I90" i="26"/>
  <c r="I87" i="24"/>
  <c r="I90" i="23"/>
  <c r="I91" i="22"/>
  <c r="I93" i="20"/>
  <c r="I91" i="19"/>
  <c r="I90" i="18"/>
  <c r="H81" i="17" l="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F55"/>
  <c r="H55" s="1"/>
  <c r="H54"/>
  <c r="F53"/>
  <c r="H53" s="1"/>
  <c r="F52"/>
  <c r="H52" s="1"/>
  <c r="F50"/>
  <c r="H50" s="1"/>
  <c r="F49"/>
  <c r="H49" s="1"/>
  <c r="F48"/>
  <c r="H48" s="1"/>
  <c r="F47"/>
  <c r="H47" s="1"/>
  <c r="F46"/>
  <c r="H46" s="1"/>
  <c r="H35"/>
  <c r="H34"/>
  <c r="H33"/>
  <c r="F33"/>
  <c r="I33" s="1"/>
  <c r="F32"/>
  <c r="H32" s="1"/>
  <c r="F31"/>
  <c r="H31" s="1"/>
  <c r="F30"/>
  <c r="H30" s="1"/>
  <c r="I32" l="1"/>
  <c r="I30"/>
  <c r="I31"/>
  <c r="H85"/>
  <c r="H58"/>
  <c r="H80" s="1"/>
  <c r="I90" l="1"/>
</calcChain>
</file>

<file path=xl/sharedStrings.xml><?xml version="1.0" encoding="utf-8"?>
<sst xmlns="http://schemas.openxmlformats.org/spreadsheetml/2006/main" count="2591" uniqueCount="273">
  <si>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</si>
  <si>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</si>
  <si>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</si>
  <si>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</si>
  <si>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</si>
  <si>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</si>
  <si>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</si>
  <si>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</si>
  <si>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</si>
  <si>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</si>
  <si>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</si>
  <si>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</si>
  <si>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</si>
  <si>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</si>
  <si>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</si>
  <si>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</si>
  <si>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</si>
  <si>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</si>
  <si>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</si>
  <si>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</si>
  <si>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</si>
  <si>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</si>
  <si>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</si>
  <si>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</si>
  <si>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</si>
  <si>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</si>
  <si>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</si>
  <si>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</si>
  <si>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</si>
  <si>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</si>
  <si>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</si>
  <si>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</si>
  <si>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</si>
  <si>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</si>
  <si>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</si>
  <si>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</si>
  <si>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</si>
  <si>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</si>
  <si>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</si>
  <si>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</si>
  <si>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</si>
  <si>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</si>
  <si>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</si>
  <si>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</si>
  <si>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</si>
  <si>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</si>
  <si>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</si>
  <si>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</si>
  <si>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</si>
  <si>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</si>
  <si>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</si>
  <si>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</si>
  <si>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</si>
  <si>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</si>
  <si>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</si>
  <si>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</si>
  <si>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</si>
  <si>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</si>
  <si>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</si>
  <si>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</si>
  <si>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</si>
  <si>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</si>
  <si>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</si>
  <si>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</si>
  <si>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</si>
  <si>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</si>
  <si>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</si>
  <si>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</si>
  <si>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</si>
  <si>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</si>
  <si>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</si>
  <si>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</si>
  <si>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</si>
  <si>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</si>
  <si>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</si>
  <si>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</si>
  <si>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</si>
  <si>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</si>
  <si>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</si>
  <si>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</si>
  <si>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</si>
  <si>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</si>
  <si>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</si>
  <si>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</si>
  <si>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</si>
  <si>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</si>
  <si>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</si>
  <si>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</si>
  <si>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</si>
  <si>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</si>
  <si>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</si>
  <si>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</si>
  <si>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</si>
  <si>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</si>
  <si>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</si>
  <si>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</si>
  <si>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</si>
  <si>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</si>
  <si>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</si>
  <si>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</si>
  <si>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</si>
  <si>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</si>
  <si>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</si>
  <si>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</si>
  <si>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</si>
  <si>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</si>
  <si>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</si>
  <si>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</si>
  <si>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</si>
  <si>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</si>
  <si>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</si>
  <si>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</si>
  <si>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</si>
  <si>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</si>
  <si>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</si>
  <si>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Влажное подметание лестничных клеток 2-4 этажа</t>
  </si>
  <si>
    <t>Мытье лестничных  площадок и маршей 1-4 этаж.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</si>
  <si>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</si>
  <si>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</si>
  <si>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</si>
  <si>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Замена ламп ДРЛ</t>
  </si>
  <si>
    <t xml:space="preserve">приемки оказанных услуг и выполненных работ по содержанию и текущему ремонту
общего имущества в многоквартирном доме №51 по ул.Октябрьская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</si>
  <si>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</si>
  <si>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</si>
  <si>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</si>
  <si>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</si>
  <si>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Вывоз снега с придомовой территории</t>
  </si>
  <si>
    <t>1м3</t>
  </si>
  <si>
    <t>Работа автовышки</t>
  </si>
  <si>
    <t>маш/час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</si>
  <si>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</si>
  <si>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</si>
  <si>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</si>
  <si>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</si>
  <si>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</si>
  <si>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</si>
  <si>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</si>
  <si>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</si>
  <si>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</si>
  <si>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</si>
  <si>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</si>
  <si>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</si>
  <si>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д.51</t>
    </r>
  </si>
  <si>
    <t>Итого затраты за месяц</t>
  </si>
  <si>
    <t>52 раза в сезон</t>
  </si>
  <si>
    <t>78 раз за сезон</t>
  </si>
  <si>
    <t>АКТ №11</t>
  </si>
  <si>
    <t>АКТ №12</t>
  </si>
  <si>
    <t>Дератизация</t>
  </si>
  <si>
    <t>м2</t>
  </si>
  <si>
    <t>ООО «Движение»</t>
  </si>
  <si>
    <t>Организация и содержание мест накопления ТКО</t>
  </si>
  <si>
    <t>Очистка вручную от снега и наледи люков канализационных и водопроводных колодцев</t>
  </si>
  <si>
    <t>по мере необходимости</t>
  </si>
  <si>
    <t>Чердак, подвал,технический этаж</t>
  </si>
  <si>
    <t>Обслуживание ОДПУ эл. Энергии и холодной воды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</si>
  <si>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</si>
  <si>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</si>
  <si>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</si>
  <si>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и отчетной документации, сбору и начислению платежей</t>
  </si>
  <si>
    <t xml:space="preserve">Работы по проведению одного общего собрания собственников МКД </t>
  </si>
  <si>
    <t>1м2</t>
  </si>
  <si>
    <t>13м3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</si>
  <si>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</si>
  <si>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урн от мусора</t>
  </si>
  <si>
    <t>Осмотр электросетей, армазуры и электрооборудования на лестничных клетках</t>
  </si>
  <si>
    <t>13 раз</t>
  </si>
  <si>
    <t>8 раз</t>
  </si>
  <si>
    <t>4 раза</t>
  </si>
  <si>
    <t>25 раз</t>
  </si>
  <si>
    <t>1 раз</t>
  </si>
  <si>
    <t xml:space="preserve">1 раз </t>
  </si>
  <si>
    <t>2 раза</t>
  </si>
  <si>
    <t xml:space="preserve">1 раз     </t>
  </si>
  <si>
    <t xml:space="preserve">1 раз  </t>
  </si>
  <si>
    <t xml:space="preserve">1 раз   </t>
  </si>
  <si>
    <t xml:space="preserve">1 раз    </t>
  </si>
  <si>
    <t>21 раз</t>
  </si>
  <si>
    <t>1 раз в</t>
  </si>
  <si>
    <t>5 раз</t>
  </si>
  <si>
    <t>4 раз</t>
  </si>
  <si>
    <t xml:space="preserve">2 раза </t>
  </si>
  <si>
    <t>2 раз</t>
  </si>
  <si>
    <t>1 ра</t>
  </si>
  <si>
    <t>м</t>
  </si>
  <si>
    <t>1 шт</t>
  </si>
  <si>
    <t>3 маш/часа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</si>
  <si>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</si>
  <si>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</si>
  <si>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 xml:space="preserve">Смена сгонов у трубопроводов диаметром до 20 мм </t>
  </si>
  <si>
    <t>1 сгон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</si>
  <si>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Кочановой 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</si>
  <si>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</si>
  <si>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</si>
  <si>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01.01.2021 г. по 31.01.2021 г.</t>
  </si>
  <si>
    <t>Укреплениедверных коробок без конопатки</t>
  </si>
  <si>
    <t>2. Всего за период с 01.01.2021 по 31.01.2021 выполнено работ (оказано услуг) на общую сумму: 38250,44 руб.</t>
  </si>
  <si>
    <t>(тридцать восемь тысяч двести пятьдесят рублей 44 копейки)</t>
  </si>
  <si>
    <t>1 ч ( 2,5 февр)</t>
  </si>
  <si>
    <t>26 м3</t>
  </si>
  <si>
    <t>Установка  информацтонных стендов</t>
  </si>
  <si>
    <t>1,2,3 под.</t>
  </si>
  <si>
    <t>(пятьдесят две тысячи семьсот рублей 96 копеек)</t>
  </si>
  <si>
    <t>за период с 01.02.2021 г. по 28.02.2021 г.</t>
  </si>
  <si>
    <t>2. Всего за период с 01.02.2021 по 28.02.2021 выполнено работ (оказано услуг) на общую сумму: 52700,96 руб.</t>
  </si>
  <si>
    <t>за период с 01.03.2021 г. по 31.03.2021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</si>
  <si>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 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</si>
  <si>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3,17,25 марта</t>
  </si>
  <si>
    <t>3 маш/час</t>
  </si>
  <si>
    <t>Очистка  от мусора</t>
  </si>
  <si>
    <t>2. Всего за период с 01.03.2021 по 31.03.2021 выполнено работ (оказано услуг) на общую сумму: 51576,63 руб.</t>
  </si>
  <si>
    <t>(пятьдесят одна тысяча пятьсот семьдесят шесть рублей 63 копейки)</t>
  </si>
  <si>
    <t>за период с 01.04.2021 г. по 30.04.2021 г.</t>
  </si>
  <si>
    <t>1 апр.</t>
  </si>
  <si>
    <t>1 час</t>
  </si>
  <si>
    <t xml:space="preserve">Осмотр водопроводов, канализации, отопления </t>
  </si>
  <si>
    <t>Внеплановая проверка вентканалов</t>
  </si>
  <si>
    <t>кв.25</t>
  </si>
  <si>
    <t>2. Всего за период с 01.04.2021 по 30.04.2021 выполнено работ (оказано услуг) на общую сумму: 37522,57 руб.</t>
  </si>
  <si>
    <t>(тридцать семь тысяч пятьсот двадцать два рубля 57 копеек)</t>
  </si>
  <si>
    <t>за период с 01.05.2021 г. по 31.05.2021 г.</t>
  </si>
  <si>
    <t>за период с 01.06.2021 г. по 30.06.2021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</si>
  <si>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Кочановой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</si>
  <si>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Осмотр элекгросетей, арматуры и электрооборудования на чердаках и подвалах</t>
  </si>
  <si>
    <t>\</t>
  </si>
  <si>
    <t>с/о кв.13</t>
  </si>
  <si>
    <t>2. Всего за период с 01.05.2021 по 31.05.2021 выполнено работ (оказано услуг) на общую сумму: 46571,51 руб.</t>
  </si>
  <si>
    <t>( сорок шесть тысяч пятьсот семьдесят один рубль 51 копейка)</t>
  </si>
  <si>
    <t>Смена внутенних трубопроводов на полипропиленовые трубы PN 25 Dу 25</t>
  </si>
  <si>
    <t>1 шт. ГВС подвал</t>
  </si>
  <si>
    <t>0,3 м ГВС подвал</t>
  </si>
  <si>
    <t>2. Всего за период с 01.06.2021 по 30.06.2021 выполнено работ (оказано услуг) на общую сумму: 100129,87руб.</t>
  </si>
  <si>
    <t>(сто тысяч сто двадцать девять рублей 87 копеек)</t>
  </si>
  <si>
    <t>за период с 01.07.2021 г. по 31.07.2021 г.</t>
  </si>
  <si>
    <t>Очистка канализационной сети внутренней</t>
  </si>
  <si>
    <t>2м</t>
  </si>
  <si>
    <t>Замена муфты ( без материалов)</t>
  </si>
  <si>
    <t>Смена арматуры - вентилей и клапанов обратных муфтовых диаметром до 20 мм ( без материалов)</t>
  </si>
  <si>
    <t>1 шт. ХВС кв.6; 1 шт. ГВС кв.6</t>
  </si>
  <si>
    <t>кв.3 п/с</t>
  </si>
  <si>
    <t>2. Всего за период с 01.07.2021 по 31.07.2021 выполнено работ (оказано услуг) на общую сумму: 32052,16 руб.</t>
  </si>
  <si>
    <t>(тридцать две тысячи пятьдесят два рубля 16 копеек)</t>
  </si>
  <si>
    <t>за период с 01.08.2021 г. по 31.08.2021 г.</t>
  </si>
  <si>
    <t>Очистка от растительности цоколя и отмостки</t>
  </si>
  <si>
    <t>2 м</t>
  </si>
  <si>
    <t>2. Всего за период с 01.08.2021 по 31.08.2021 выполнено работ (оказано услуг) на общую сумму: 36123,49 руб.</t>
  </si>
  <si>
    <t>( тридцать шесть тысяч сто двадцать три рубля 49 копеек)</t>
  </si>
  <si>
    <t>за период с 01.09.2021 г. по 30.09.2021 г.</t>
  </si>
  <si>
    <t>Нумерация подъездов и квартир</t>
  </si>
  <si>
    <t>10 м2</t>
  </si>
  <si>
    <t>2. Всего за период с 01.09.2021 по 30.09.2021 выполнено работ (оказано услуг) на общую сумму: 40682,32 руб.</t>
  </si>
  <si>
    <t>(сорок тысяч шестьсот восемьдесят два рубля 32 копейки)</t>
  </si>
  <si>
    <t>за период с 01.10.2021 г. по 31.10.2021 г.</t>
  </si>
  <si>
    <t>1 м</t>
  </si>
  <si>
    <t>2. Всего за период с 01.10.2021 по 31.10.2021 выполнено работ (оказано услуг) на общую сумму: 28951,35 руб.</t>
  </si>
  <si>
    <t>(двадцать восемь тысяч девятьсот пятьдесят один рубль 35 копеек)</t>
  </si>
  <si>
    <t>за период с 01.11.2021 г. по 30.11.2021 г.</t>
  </si>
  <si>
    <t>19,29 ноября</t>
  </si>
  <si>
    <t>2. Всего за период с 01.11.2021 по 30.11.2021 выполнено работ (оказано услуг) на общую сумму: 35554,26 руб.</t>
  </si>
  <si>
    <t>(тридцать пять тысяч пятьсот пятьдесят четыре рубля 26 копеек)</t>
  </si>
  <si>
    <t>за период с 01.12.2021 г. по 31.12.2021 г.</t>
  </si>
  <si>
    <t>2,16 декабря</t>
  </si>
  <si>
    <t>Внеплановая проверка дымоходов</t>
  </si>
  <si>
    <t>100шт</t>
  </si>
  <si>
    <t>Настройка таймера освещения</t>
  </si>
  <si>
    <t>Зачеканка раструбов канализационных труб д=до 100 мм</t>
  </si>
  <si>
    <t>Ремонт и регулировка доводчика (без стоимости доводчика)</t>
  </si>
  <si>
    <t>1шт.</t>
  </si>
  <si>
    <t>под.№1</t>
  </si>
  <si>
    <t>подвал</t>
  </si>
  <si>
    <t>кв.21</t>
  </si>
  <si>
    <t>2. Всего за период с 01.12.2021 по 31.12.2021 выполнено работ (оказано услуг) на общую сумму: 43853,85 руб.</t>
  </si>
  <si>
    <t>(сорок три тысячи восемьсот пятьдесят три рубля 85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</si>
</sst>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1" fontId="11" fillId="2" borderId="17" xfId="0" applyNumberFormat="1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left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4" fontId="19" fillId="4" borderId="3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opLeftCell="A73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125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194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41"/>
      <c r="C6" s="41"/>
      <c r="D6" s="41"/>
      <c r="E6" s="41"/>
      <c r="F6" s="41"/>
      <c r="G6" s="41"/>
      <c r="H6" s="41"/>
      <c r="I6" s="22">
        <v>44227</v>
      </c>
    </row>
    <row r="7" spans="1:9" ht="15.75">
      <c r="B7" s="42"/>
      <c r="C7" s="42"/>
      <c r="D7" s="42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170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hidden="1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102</v>
      </c>
      <c r="C30" s="59" t="s">
        <v>83</v>
      </c>
      <c r="D30" s="58" t="s">
        <v>98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2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101</v>
      </c>
      <c r="C31" s="59" t="s">
        <v>83</v>
      </c>
      <c r="D31" s="58" t="s">
        <v>99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2"/>
        <v>4.0195823615999995</v>
      </c>
      <c r="I31" s="10">
        <f t="shared" ref="I31:I33" si="3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83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2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100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3"/>
        <v>521.83333333333337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2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2"/>
        <v>1.2147399999999999</v>
      </c>
      <c r="I35" s="10">
        <v>0</v>
      </c>
    </row>
    <row r="36" spans="1:9" ht="15.75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7</v>
      </c>
      <c r="B37" s="105" t="s">
        <v>25</v>
      </c>
      <c r="C37" s="29" t="s">
        <v>30</v>
      </c>
      <c r="D37" s="142">
        <v>43839</v>
      </c>
      <c r="E37" s="102"/>
      <c r="F37" s="103">
        <v>5</v>
      </c>
      <c r="G37" s="103">
        <v>1855</v>
      </c>
      <c r="H37" s="62">
        <f t="shared" ref="H37:H43" si="4">SUM(F37*G37/1000)</f>
        <v>9.2750000000000004</v>
      </c>
      <c r="I37" s="10">
        <f>G37*0.3</f>
        <v>556.5</v>
      </c>
    </row>
    <row r="38" spans="1:9" ht="15.75" customHeight="1">
      <c r="A38" s="21">
        <v>7</v>
      </c>
      <c r="B38" s="105" t="s">
        <v>117</v>
      </c>
      <c r="C38" s="106" t="s">
        <v>28</v>
      </c>
      <c r="D38" s="25" t="s">
        <v>179</v>
      </c>
      <c r="E38" s="102">
        <v>186.39</v>
      </c>
      <c r="F38" s="107">
        <f>E38*30/1000</f>
        <v>5.5916999999999994</v>
      </c>
      <c r="G38" s="103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25" t="s">
        <v>126</v>
      </c>
      <c r="C39" s="29" t="s">
        <v>127</v>
      </c>
      <c r="D39" s="25" t="s">
        <v>153</v>
      </c>
      <c r="E39" s="102"/>
      <c r="F39" s="107">
        <v>13</v>
      </c>
      <c r="G39" s="103">
        <v>330</v>
      </c>
      <c r="H39" s="62">
        <f>G39*F39/1000</f>
        <v>4.29</v>
      </c>
      <c r="I39" s="10">
        <v>0</v>
      </c>
    </row>
    <row r="40" spans="1:9" ht="15.75" customHeight="1">
      <c r="A40" s="21">
        <v>8</v>
      </c>
      <c r="B40" s="25" t="s">
        <v>65</v>
      </c>
      <c r="C40" s="29" t="s">
        <v>28</v>
      </c>
      <c r="D40" s="25" t="s">
        <v>169</v>
      </c>
      <c r="E40" s="103">
        <v>186.39</v>
      </c>
      <c r="F40" s="107">
        <f>SUM(E40*155/1000)</f>
        <v>28.890449999999998</v>
      </c>
      <c r="G40" s="103">
        <v>502.82</v>
      </c>
      <c r="H40" s="62">
        <f t="shared" si="4"/>
        <v>14.526696068999998</v>
      </c>
      <c r="I40" s="10">
        <f>F40/6*G40</f>
        <v>2421.1160114999998</v>
      </c>
    </row>
    <row r="41" spans="1:9" ht="47.25" customHeight="1">
      <c r="A41" s="21">
        <v>9</v>
      </c>
      <c r="B41" s="25" t="s">
        <v>77</v>
      </c>
      <c r="C41" s="29" t="s">
        <v>83</v>
      </c>
      <c r="D41" s="25" t="s">
        <v>168</v>
      </c>
      <c r="E41" s="103">
        <v>52.2</v>
      </c>
      <c r="F41" s="107">
        <f>E41*24/1000</f>
        <v>1.2528000000000001</v>
      </c>
      <c r="G41" s="103">
        <v>8319.2999999999993</v>
      </c>
      <c r="H41" s="62">
        <f t="shared" si="4"/>
        <v>10.422419040000001</v>
      </c>
      <c r="I41" s="10">
        <f>F41/6*G41</f>
        <v>1737.0698399999999</v>
      </c>
    </row>
    <row r="42" spans="1:9" ht="15.75" hidden="1" customHeight="1">
      <c r="A42" s="21">
        <v>11</v>
      </c>
      <c r="B42" s="25" t="s">
        <v>119</v>
      </c>
      <c r="C42" s="29" t="s">
        <v>83</v>
      </c>
      <c r="D42" s="25" t="s">
        <v>172</v>
      </c>
      <c r="E42" s="103">
        <v>52.2</v>
      </c>
      <c r="F42" s="107">
        <f>SUM(E42*15/1000)</f>
        <v>0.78300000000000003</v>
      </c>
      <c r="G42" s="103">
        <v>614.55999999999995</v>
      </c>
      <c r="H42" s="62">
        <f t="shared" si="4"/>
        <v>0.48120047999999999</v>
      </c>
      <c r="I42" s="10">
        <f>F42/7.5*G42</f>
        <v>64.160063999999991</v>
      </c>
    </row>
    <row r="43" spans="1:9" ht="15.75" hidden="1" customHeight="1">
      <c r="A43" s="21">
        <v>12</v>
      </c>
      <c r="B43" s="105" t="s">
        <v>67</v>
      </c>
      <c r="C43" s="106" t="s">
        <v>31</v>
      </c>
      <c r="D43" s="105"/>
      <c r="E43" s="104"/>
      <c r="F43" s="107">
        <v>0.5</v>
      </c>
      <c r="G43" s="107">
        <v>800</v>
      </c>
      <c r="H43" s="62">
        <f t="shared" si="4"/>
        <v>0.4</v>
      </c>
      <c r="I43" s="10">
        <f>F43/7.5*G43</f>
        <v>53.333333333333336</v>
      </c>
    </row>
    <row r="44" spans="1:9" ht="30" customHeight="1">
      <c r="A44" s="21">
        <v>10</v>
      </c>
      <c r="B44" s="146" t="s">
        <v>152</v>
      </c>
      <c r="C44" s="106" t="s">
        <v>83</v>
      </c>
      <c r="D44" s="105" t="s">
        <v>172</v>
      </c>
      <c r="E44" s="104">
        <v>1.8</v>
      </c>
      <c r="F44" s="107">
        <f>E44*12/1000</f>
        <v>2.1600000000000001E-2</v>
      </c>
      <c r="G44" s="107">
        <v>19757.060000000001</v>
      </c>
      <c r="H44" s="54"/>
      <c r="I44" s="10">
        <f>G44*F44/6</f>
        <v>71.125416000000016</v>
      </c>
    </row>
    <row r="45" spans="1:9" ht="15.75" customHeight="1">
      <c r="A45" s="163" t="s">
        <v>122</v>
      </c>
      <c r="B45" s="164"/>
      <c r="C45" s="164"/>
      <c r="D45" s="164"/>
      <c r="E45" s="164"/>
      <c r="F45" s="164"/>
      <c r="G45" s="164"/>
      <c r="H45" s="164"/>
      <c r="I45" s="165"/>
    </row>
    <row r="46" spans="1:9" ht="15.75" hidden="1" customHeight="1">
      <c r="A46" s="21"/>
      <c r="B46" s="58" t="s">
        <v>103</v>
      </c>
      <c r="C46" s="59" t="s">
        <v>83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5">SUM(F46*G46/1000)</f>
        <v>1.5888271549999999</v>
      </c>
      <c r="I46" s="10">
        <v>0</v>
      </c>
    </row>
    <row r="47" spans="1:9" ht="15.75" hidden="1" customHeight="1">
      <c r="A47" s="21"/>
      <c r="B47" s="58" t="s">
        <v>34</v>
      </c>
      <c r="C47" s="59" t="s">
        <v>83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5"/>
        <v>5.9468160000000006E-2</v>
      </c>
      <c r="I47" s="10">
        <v>0</v>
      </c>
    </row>
    <row r="48" spans="1:9" ht="15.75" hidden="1" customHeight="1">
      <c r="A48" s="21"/>
      <c r="B48" s="58" t="s">
        <v>35</v>
      </c>
      <c r="C48" s="59" t="s">
        <v>83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5"/>
        <v>1.161363608</v>
      </c>
      <c r="I48" s="10">
        <v>0</v>
      </c>
    </row>
    <row r="49" spans="1:9" ht="15.75" hidden="1" customHeight="1">
      <c r="A49" s="21"/>
      <c r="B49" s="58" t="s">
        <v>36</v>
      </c>
      <c r="C49" s="59" t="s">
        <v>83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5"/>
        <v>1.6128822783999999</v>
      </c>
      <c r="I49" s="10">
        <v>0</v>
      </c>
    </row>
    <row r="50" spans="1:9" ht="15.7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5"/>
        <v>0.10041360000000001</v>
      </c>
      <c r="I50" s="10">
        <v>0</v>
      </c>
    </row>
    <row r="51" spans="1:9" ht="15.75" customHeight="1">
      <c r="A51" s="21">
        <v>11</v>
      </c>
      <c r="B51" s="25" t="s">
        <v>54</v>
      </c>
      <c r="C51" s="29" t="s">
        <v>83</v>
      </c>
      <c r="D51" s="25" t="s">
        <v>170</v>
      </c>
      <c r="E51" s="102">
        <v>2054.6</v>
      </c>
      <c r="F51" s="103">
        <f>SUM(E51*5/1000)</f>
        <v>10.273</v>
      </c>
      <c r="G51" s="27">
        <v>1739.68</v>
      </c>
      <c r="H51" s="62">
        <f t="shared" si="5"/>
        <v>17.871732639999998</v>
      </c>
      <c r="I51" s="10">
        <f>F51/5*G51</f>
        <v>3574.3465279999996</v>
      </c>
    </row>
    <row r="52" spans="1:9" ht="31.5" hidden="1" customHeight="1">
      <c r="A52" s="21"/>
      <c r="B52" s="58" t="s">
        <v>84</v>
      </c>
      <c r="C52" s="59" t="s">
        <v>83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5"/>
        <v>1.7601495039999999</v>
      </c>
      <c r="I52" s="10">
        <v>0</v>
      </c>
    </row>
    <row r="53" spans="1:9" ht="31.5" hidden="1" customHeight="1">
      <c r="A53" s="21"/>
      <c r="B53" s="58" t="s">
        <v>85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5"/>
        <v>0.70053359999999998</v>
      </c>
      <c r="I53" s="10">
        <v>0</v>
      </c>
    </row>
    <row r="54" spans="1:9" ht="15.75" hidden="1" customHeight="1">
      <c r="A54" s="21"/>
      <c r="B54" s="58" t="s">
        <v>38</v>
      </c>
      <c r="C54" s="59" t="s">
        <v>39</v>
      </c>
      <c r="D54" s="58" t="s">
        <v>41</v>
      </c>
      <c r="E54" s="60">
        <v>1</v>
      </c>
      <c r="F54" s="61">
        <v>0.02</v>
      </c>
      <c r="G54" s="10">
        <v>6042.12</v>
      </c>
      <c r="H54" s="62">
        <f t="shared" si="5"/>
        <v>0.1208424</v>
      </c>
      <c r="I54" s="10">
        <v>0</v>
      </c>
    </row>
    <row r="55" spans="1:9" ht="15.75" hidden="1" customHeight="1">
      <c r="A55" s="21">
        <v>14</v>
      </c>
      <c r="B55" s="58" t="s">
        <v>40</v>
      </c>
      <c r="C55" s="59" t="s">
        <v>104</v>
      </c>
      <c r="D55" s="58" t="s">
        <v>68</v>
      </c>
      <c r="E55" s="60">
        <v>72</v>
      </c>
      <c r="F55" s="61">
        <f>SUM(E55)*3</f>
        <v>216</v>
      </c>
      <c r="G55" s="10">
        <v>70.209999999999994</v>
      </c>
      <c r="H55" s="62">
        <f t="shared" si="5"/>
        <v>15.165359999999998</v>
      </c>
      <c r="I55" s="10">
        <f>G55*7</f>
        <v>491.46999999999997</v>
      </c>
    </row>
    <row r="56" spans="1:9" ht="15.75" customHeight="1">
      <c r="A56" s="163" t="s">
        <v>123</v>
      </c>
      <c r="B56" s="164"/>
      <c r="C56" s="164"/>
      <c r="D56" s="164"/>
      <c r="E56" s="164"/>
      <c r="F56" s="164"/>
      <c r="G56" s="164"/>
      <c r="H56" s="164"/>
      <c r="I56" s="165"/>
    </row>
    <row r="57" spans="1:9" ht="15.75" hidden="1" customHeight="1">
      <c r="A57" s="21"/>
      <c r="B57" s="78" t="s">
        <v>42</v>
      </c>
      <c r="C57" s="59"/>
      <c r="D57" s="58"/>
      <c r="E57" s="60"/>
      <c r="F57" s="61"/>
      <c r="G57" s="61"/>
      <c r="H57" s="62"/>
      <c r="I57" s="10"/>
    </row>
    <row r="58" spans="1:9" ht="31.5" hidden="1" customHeight="1">
      <c r="A58" s="21">
        <v>13</v>
      </c>
      <c r="B58" s="25" t="s">
        <v>105</v>
      </c>
      <c r="C58" s="29" t="s">
        <v>80</v>
      </c>
      <c r="D58" s="25"/>
      <c r="E58" s="102">
        <v>80.69</v>
      </c>
      <c r="F58" s="103">
        <f>SUM(E58*6/100)</f>
        <v>4.8414000000000001</v>
      </c>
      <c r="G58" s="27">
        <v>2218.11</v>
      </c>
      <c r="H58" s="62">
        <f>SUM(F58*G58/1000)</f>
        <v>10.738757754</v>
      </c>
      <c r="I58" s="10">
        <f>G58*0.279</f>
        <v>618.85269000000005</v>
      </c>
    </row>
    <row r="59" spans="1:9" ht="18.75" hidden="1" customHeight="1">
      <c r="A59" s="21">
        <v>14</v>
      </c>
      <c r="B59" s="108" t="s">
        <v>128</v>
      </c>
      <c r="C59" s="109" t="s">
        <v>129</v>
      </c>
      <c r="D59" s="108"/>
      <c r="E59" s="110"/>
      <c r="F59" s="111">
        <v>5</v>
      </c>
      <c r="G59" s="112">
        <v>1730</v>
      </c>
      <c r="H59" s="95"/>
      <c r="I59" s="10">
        <f>G59*2</f>
        <v>3460</v>
      </c>
    </row>
    <row r="60" spans="1:9" ht="18.75" customHeight="1">
      <c r="A60" s="21"/>
      <c r="B60" s="113" t="s">
        <v>154</v>
      </c>
      <c r="C60" s="109"/>
      <c r="D60" s="108"/>
      <c r="E60" s="110"/>
      <c r="F60" s="114"/>
      <c r="G60" s="27"/>
      <c r="H60" s="95"/>
      <c r="I60" s="10"/>
    </row>
    <row r="61" spans="1:9" ht="18" customHeight="1">
      <c r="A61" s="21">
        <v>12</v>
      </c>
      <c r="B61" s="94" t="s">
        <v>148</v>
      </c>
      <c r="C61" s="115" t="s">
        <v>149</v>
      </c>
      <c r="D61" s="94" t="s">
        <v>170</v>
      </c>
      <c r="E61" s="128">
        <v>120</v>
      </c>
      <c r="F61" s="114">
        <f>E61*12</f>
        <v>1440</v>
      </c>
      <c r="G61" s="27">
        <v>1.4</v>
      </c>
      <c r="H61" s="71"/>
      <c r="I61" s="10">
        <f>G61*F61/12</f>
        <v>167.99999999999997</v>
      </c>
    </row>
    <row r="62" spans="1:9" ht="15.75" hidden="1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5.75" hidden="1" customHeight="1">
      <c r="A63" s="21">
        <v>17</v>
      </c>
      <c r="B63" s="11" t="s">
        <v>44</v>
      </c>
      <c r="C63" s="13" t="s">
        <v>104</v>
      </c>
      <c r="D63" s="11" t="s">
        <v>64</v>
      </c>
      <c r="E63" s="15">
        <v>8</v>
      </c>
      <c r="F63" s="61">
        <v>8</v>
      </c>
      <c r="G63" s="10">
        <v>237.74</v>
      </c>
      <c r="H63" s="72">
        <f t="shared" ref="H63:H79" si="6">SUM(F63*G63/1000)</f>
        <v>1.9019200000000001</v>
      </c>
      <c r="I63" s="10">
        <f>G63</f>
        <v>237.74</v>
      </c>
    </row>
    <row r="64" spans="1:9" ht="15.7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6"/>
        <v>0.24453000000000003</v>
      </c>
      <c r="I64" s="10">
        <v>0</v>
      </c>
    </row>
    <row r="65" spans="1:9" ht="15.7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6"/>
        <v>19.3655981</v>
      </c>
      <c r="I65" s="10">
        <v>0</v>
      </c>
    </row>
    <row r="66" spans="1:9" ht="15.75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6"/>
        <v>1.5080727900000002</v>
      </c>
      <c r="I66" s="10">
        <v>0</v>
      </c>
    </row>
    <row r="67" spans="1:9" ht="15.7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6"/>
        <v>30.383586000000005</v>
      </c>
      <c r="I67" s="10">
        <v>0</v>
      </c>
    </row>
    <row r="68" spans="1:9" ht="15.75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6"/>
        <v>0.38403000000000004</v>
      </c>
      <c r="I68" s="10">
        <v>0</v>
      </c>
    </row>
    <row r="69" spans="1:9" ht="15.7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6"/>
        <v>0.35829</v>
      </c>
      <c r="I69" s="10">
        <v>0</v>
      </c>
    </row>
    <row r="70" spans="1:9" ht="15.7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6"/>
        <v>0.16085999999999998</v>
      </c>
      <c r="I70" s="10">
        <v>0</v>
      </c>
    </row>
    <row r="71" spans="1:9" ht="15.75" customHeight="1">
      <c r="A71" s="21"/>
      <c r="B71" s="116" t="s">
        <v>156</v>
      </c>
      <c r="C71" s="117"/>
      <c r="D71" s="118"/>
      <c r="E71" s="119"/>
      <c r="F71" s="120"/>
      <c r="G71" s="120"/>
      <c r="H71" s="10"/>
      <c r="I71" s="10"/>
    </row>
    <row r="72" spans="1:9" ht="32.25" customHeight="1">
      <c r="A72" s="21">
        <v>13</v>
      </c>
      <c r="B72" s="94" t="s">
        <v>157</v>
      </c>
      <c r="C72" s="121" t="s">
        <v>158</v>
      </c>
      <c r="D72" s="118"/>
      <c r="E72" s="119">
        <v>2054.6</v>
      </c>
      <c r="F72" s="120">
        <f>E72*12</f>
        <v>24655.199999999997</v>
      </c>
      <c r="G72" s="120">
        <v>2.4900000000000002</v>
      </c>
      <c r="H72" s="10"/>
      <c r="I72" s="10">
        <f>G72*F72/12</f>
        <v>5115.9539999999997</v>
      </c>
    </row>
    <row r="73" spans="1:9" ht="15.75" customHeight="1">
      <c r="A73" s="21"/>
      <c r="B73" s="23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15.75" hidden="1" customHeight="1">
      <c r="A74" s="21"/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6"/>
        <v>0.10724600000000001</v>
      </c>
      <c r="I74" s="10">
        <v>0</v>
      </c>
    </row>
    <row r="75" spans="1:9" ht="15.7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5.7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5.75" customHeight="1">
      <c r="A77" s="21">
        <v>14</v>
      </c>
      <c r="B77" s="94" t="s">
        <v>155</v>
      </c>
      <c r="C77" s="115" t="s">
        <v>104</v>
      </c>
      <c r="D77" s="94" t="s">
        <v>171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7.25" hidden="1" customHeight="1">
      <c r="A78" s="21"/>
      <c r="B78" s="74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4.25" hidden="1" customHeight="1">
      <c r="A79" s="21">
        <v>15</v>
      </c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6"/>
        <v>3.9822975</v>
      </c>
      <c r="I79" s="10">
        <f>G79*0.03</f>
        <v>88.495499999999993</v>
      </c>
    </row>
    <row r="80" spans="1:9" ht="18.75" hidden="1" customHeight="1">
      <c r="A80" s="21"/>
      <c r="B80" s="53" t="s">
        <v>86</v>
      </c>
      <c r="C80" s="75"/>
      <c r="D80" s="23"/>
      <c r="E80" s="24"/>
      <c r="F80" s="64"/>
      <c r="G80" s="64"/>
      <c r="H80" s="76">
        <f>SUM(H58:H79)</f>
        <v>70.430288144000002</v>
      </c>
      <c r="I80" s="64"/>
    </row>
    <row r="81" spans="1:9" ht="16.5" hidden="1" customHeight="1">
      <c r="A81" s="21">
        <v>18</v>
      </c>
      <c r="B81" s="58" t="s">
        <v>111</v>
      </c>
      <c r="C81" s="13"/>
      <c r="D81" s="11"/>
      <c r="E81" s="77"/>
      <c r="F81" s="10">
        <v>1</v>
      </c>
      <c r="G81" s="86">
        <v>7669.4</v>
      </c>
      <c r="H81" s="72">
        <f>G81*F81/1000</f>
        <v>7.6693999999999996</v>
      </c>
      <c r="I81" s="10">
        <f>G81</f>
        <v>7669.4</v>
      </c>
    </row>
    <row r="82" spans="1:9" ht="15.75" customHeight="1">
      <c r="A82" s="163" t="s">
        <v>124</v>
      </c>
      <c r="B82" s="164"/>
      <c r="C82" s="164"/>
      <c r="D82" s="164"/>
      <c r="E82" s="164"/>
      <c r="F82" s="164"/>
      <c r="G82" s="164"/>
      <c r="H82" s="164"/>
      <c r="I82" s="165"/>
    </row>
    <row r="83" spans="1:9" ht="15.75" customHeight="1">
      <c r="A83" s="21">
        <v>15</v>
      </c>
      <c r="B83" s="94" t="s">
        <v>112</v>
      </c>
      <c r="C83" s="115" t="s">
        <v>53</v>
      </c>
      <c r="D83" s="133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16</v>
      </c>
      <c r="B84" s="94" t="s">
        <v>159</v>
      </c>
      <c r="C84" s="115" t="s">
        <v>53</v>
      </c>
      <c r="D84" s="131"/>
      <c r="E84" s="132">
        <f>E83</f>
        <v>2054.6</v>
      </c>
      <c r="F84" s="124">
        <f>E84*12</f>
        <v>24655.199999999997</v>
      </c>
      <c r="G84" s="124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I84+I83+I77+I72+I61+I51+I44+I41+I40+I38+I27+I21+I20+I18+I17+I16</f>
        <v>37765.960085499988</v>
      </c>
    </row>
    <row r="86" spans="1:9" ht="15.75" customHeight="1">
      <c r="A86" s="177" t="s">
        <v>58</v>
      </c>
      <c r="B86" s="178"/>
      <c r="C86" s="178"/>
      <c r="D86" s="178"/>
      <c r="E86" s="178"/>
      <c r="F86" s="178"/>
      <c r="G86" s="178"/>
      <c r="H86" s="178"/>
      <c r="I86" s="179"/>
    </row>
    <row r="87" spans="1:9" ht="15.75" customHeight="1">
      <c r="A87" s="21">
        <v>17</v>
      </c>
      <c r="B87" s="153" t="s">
        <v>195</v>
      </c>
      <c r="C87" s="149" t="s">
        <v>72</v>
      </c>
      <c r="D87" s="39"/>
      <c r="E87" s="27"/>
      <c r="F87" s="27">
        <v>0.1</v>
      </c>
      <c r="G87" s="27">
        <v>4844.76</v>
      </c>
      <c r="H87" s="143"/>
      <c r="I87" s="148">
        <f>G87*0.1</f>
        <v>484.47600000000006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SUM(I87:I87)</f>
        <v>484.47600000000006</v>
      </c>
    </row>
    <row r="89" spans="1:9" ht="15.75" customHeight="1">
      <c r="A89" s="21"/>
      <c r="B89" s="36" t="s">
        <v>75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143</v>
      </c>
      <c r="C90" s="26"/>
      <c r="D90" s="26"/>
      <c r="E90" s="26"/>
      <c r="F90" s="26"/>
      <c r="G90" s="26"/>
      <c r="H90" s="26"/>
      <c r="I90" s="33">
        <f>I85+I88</f>
        <v>38250.43608549999</v>
      </c>
    </row>
    <row r="91" spans="1:9" ht="15.75">
      <c r="A91" s="176" t="s">
        <v>196</v>
      </c>
      <c r="B91" s="176"/>
      <c r="C91" s="176"/>
      <c r="D91" s="176"/>
      <c r="E91" s="176"/>
      <c r="F91" s="176"/>
      <c r="G91" s="176"/>
      <c r="H91" s="176"/>
      <c r="I91" s="176"/>
    </row>
    <row r="92" spans="1:9" ht="15.75">
      <c r="A92" s="46"/>
      <c r="B92" s="171" t="s">
        <v>197</v>
      </c>
      <c r="C92" s="171"/>
      <c r="D92" s="171"/>
      <c r="E92" s="171"/>
      <c r="F92" s="171"/>
      <c r="G92" s="171"/>
      <c r="H92" s="57"/>
      <c r="I92" s="2"/>
    </row>
    <row r="93" spans="1:9">
      <c r="A93" s="45"/>
      <c r="B93" s="167" t="s">
        <v>6</v>
      </c>
      <c r="C93" s="167"/>
      <c r="D93" s="167"/>
      <c r="E93" s="167"/>
      <c r="F93" s="167"/>
      <c r="G93" s="167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72" t="s">
        <v>7</v>
      </c>
      <c r="B95" s="172"/>
      <c r="C95" s="172"/>
      <c r="D95" s="172"/>
      <c r="E95" s="172"/>
      <c r="F95" s="172"/>
      <c r="G95" s="172"/>
      <c r="H95" s="172"/>
      <c r="I95" s="172"/>
    </row>
    <row r="96" spans="1:9" ht="15.75">
      <c r="A96" s="172" t="s">
        <v>8</v>
      </c>
      <c r="B96" s="172"/>
      <c r="C96" s="172"/>
      <c r="D96" s="172"/>
      <c r="E96" s="172"/>
      <c r="F96" s="172"/>
      <c r="G96" s="172"/>
      <c r="H96" s="172"/>
      <c r="I96" s="172"/>
    </row>
    <row r="97" spans="1:9" ht="15.75">
      <c r="A97" s="173" t="s">
        <v>59</v>
      </c>
      <c r="B97" s="173"/>
      <c r="C97" s="173"/>
      <c r="D97" s="173"/>
      <c r="E97" s="173"/>
      <c r="F97" s="173"/>
      <c r="G97" s="173"/>
      <c r="H97" s="173"/>
      <c r="I97" s="173"/>
    </row>
    <row r="98" spans="1:9" ht="15.75">
      <c r="A98" s="8"/>
    </row>
    <row r="99" spans="1:9" ht="15.75">
      <c r="A99" s="174" t="s">
        <v>9</v>
      </c>
      <c r="B99" s="174"/>
      <c r="C99" s="174"/>
      <c r="D99" s="174"/>
      <c r="E99" s="174"/>
      <c r="F99" s="174"/>
      <c r="G99" s="174"/>
      <c r="H99" s="174"/>
      <c r="I99" s="174"/>
    </row>
    <row r="100" spans="1:9" ht="15.75">
      <c r="A100" s="3"/>
    </row>
    <row r="101" spans="1:9" ht="15.75">
      <c r="B101" s="42" t="s">
        <v>10</v>
      </c>
      <c r="C101" s="166" t="s">
        <v>192</v>
      </c>
      <c r="D101" s="166"/>
      <c r="E101" s="166"/>
      <c r="F101" s="55"/>
      <c r="I101" s="44"/>
    </row>
    <row r="102" spans="1:9">
      <c r="A102" s="45"/>
      <c r="C102" s="167" t="s">
        <v>11</v>
      </c>
      <c r="D102" s="167"/>
      <c r="E102" s="167"/>
      <c r="F102" s="16"/>
      <c r="I102" s="43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42" t="s">
        <v>13</v>
      </c>
      <c r="C104" s="168"/>
      <c r="D104" s="168"/>
      <c r="E104" s="168"/>
      <c r="F104" s="56"/>
      <c r="I104" s="44"/>
    </row>
    <row r="105" spans="1:9">
      <c r="A105" s="45"/>
      <c r="C105" s="169" t="s">
        <v>11</v>
      </c>
      <c r="D105" s="169"/>
      <c r="E105" s="169"/>
      <c r="F105" s="45"/>
      <c r="I105" s="43" t="s">
        <v>12</v>
      </c>
    </row>
    <row r="106" spans="1:9" ht="15.75">
      <c r="A106" s="3" t="s">
        <v>14</v>
      </c>
    </row>
    <row r="107" spans="1:9">
      <c r="A107" s="170" t="s">
        <v>15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45" customHeight="1">
      <c r="A108" s="162" t="s">
        <v>16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30" customHeight="1">
      <c r="A109" s="162" t="s">
        <v>17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21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15" customHeight="1">
      <c r="A111" s="162" t="s">
        <v>20</v>
      </c>
      <c r="B111" s="162"/>
      <c r="C111" s="162"/>
      <c r="D111" s="162"/>
      <c r="E111" s="162"/>
      <c r="F111" s="162"/>
      <c r="G111" s="162"/>
      <c r="H111" s="162"/>
      <c r="I111" s="162"/>
    </row>
  </sheetData>
  <mergeCells count="28">
    <mergeCell ref="A14:I14"/>
    <mergeCell ref="A3:I3"/>
    <mergeCell ref="A4:I4"/>
    <mergeCell ref="A5:I5"/>
    <mergeCell ref="A8:I8"/>
    <mergeCell ref="A10:I10"/>
    <mergeCell ref="A97:I97"/>
    <mergeCell ref="A99:I99"/>
    <mergeCell ref="A15:I15"/>
    <mergeCell ref="A28:I28"/>
    <mergeCell ref="A91:I91"/>
    <mergeCell ref="A86:I86"/>
    <mergeCell ref="A109:I109"/>
    <mergeCell ref="A110:I110"/>
    <mergeCell ref="A111:I111"/>
    <mergeCell ref="A45:I45"/>
    <mergeCell ref="A56:I56"/>
    <mergeCell ref="A82:I82"/>
    <mergeCell ref="C101:E101"/>
    <mergeCell ref="C102:E102"/>
    <mergeCell ref="C104:E104"/>
    <mergeCell ref="C105:E105"/>
    <mergeCell ref="A107:I107"/>
    <mergeCell ref="A108:I108"/>
    <mergeCell ref="B92:G92"/>
    <mergeCell ref="B93:G93"/>
    <mergeCell ref="A95:I95"/>
    <mergeCell ref="A96:I9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1"/>
  <sheetViews>
    <sheetView topLeftCell="A31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2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141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252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44500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191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8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8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8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2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3.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6</v>
      </c>
      <c r="B30" s="25" t="s">
        <v>102</v>
      </c>
      <c r="C30" s="29" t="s">
        <v>83</v>
      </c>
      <c r="D30" s="25" t="s">
        <v>168</v>
      </c>
      <c r="E30" s="103">
        <v>124</v>
      </c>
      <c r="F30" s="103">
        <f>SUM(E30*24/1000)</f>
        <v>2.976</v>
      </c>
      <c r="G30" s="103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7</v>
      </c>
      <c r="B31" s="25" t="s">
        <v>101</v>
      </c>
      <c r="C31" s="29" t="s">
        <v>83</v>
      </c>
      <c r="D31" s="25" t="s">
        <v>167</v>
      </c>
      <c r="E31" s="103">
        <v>128</v>
      </c>
      <c r="F31" s="103">
        <f>SUM(E31*52/1000)</f>
        <v>6.6559999999999997</v>
      </c>
      <c r="G31" s="103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3">
        <v>124</v>
      </c>
      <c r="F32" s="103">
        <f>SUM(E32/1000)</f>
        <v>0.124</v>
      </c>
      <c r="G32" s="103">
        <v>4329.78</v>
      </c>
      <c r="H32" s="62">
        <f t="shared" si="2"/>
        <v>0.53689271999999999</v>
      </c>
      <c r="I32" s="10">
        <f>F32*G32</f>
        <v>536.89271999999994</v>
      </c>
    </row>
    <row r="33" spans="1:9" ht="14.25" customHeight="1">
      <c r="A33" s="21">
        <v>8</v>
      </c>
      <c r="B33" s="25" t="s">
        <v>164</v>
      </c>
      <c r="C33" s="29" t="s">
        <v>39</v>
      </c>
      <c r="D33" s="25" t="s">
        <v>169</v>
      </c>
      <c r="E33" s="135">
        <v>1</v>
      </c>
      <c r="F33" s="103">
        <f>E33*155/100</f>
        <v>1.55</v>
      </c>
      <c r="G33" s="103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33.75" hidden="1" customHeight="1">
      <c r="A44" s="145">
        <v>10</v>
      </c>
      <c r="B44" s="105" t="s">
        <v>152</v>
      </c>
      <c r="C44" s="106" t="s">
        <v>83</v>
      </c>
      <c r="D44" s="105" t="s">
        <v>170</v>
      </c>
      <c r="E44" s="104">
        <v>1.8</v>
      </c>
      <c r="F44" s="107">
        <f>E44*12/1000</f>
        <v>2.1600000000000001E-2</v>
      </c>
      <c r="G44" s="107">
        <v>19757.060000000001</v>
      </c>
      <c r="H44" s="54"/>
      <c r="I44" s="10">
        <f>G44*1.8/1000</f>
        <v>35.562708000000008</v>
      </c>
    </row>
    <row r="45" spans="1:9" ht="18" hidden="1" customHeight="1">
      <c r="A45" s="163" t="s">
        <v>122</v>
      </c>
      <c r="B45" s="164"/>
      <c r="C45" s="164"/>
      <c r="D45" s="164"/>
      <c r="E45" s="164"/>
      <c r="F45" s="164"/>
      <c r="G45" s="164"/>
      <c r="H45" s="164"/>
      <c r="I45" s="165"/>
    </row>
    <row r="46" spans="1:9" ht="21.75" hidden="1" customHeight="1">
      <c r="A46" s="21"/>
      <c r="B46" s="58" t="s">
        <v>103</v>
      </c>
      <c r="C46" s="59" t="s">
        <v>83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6">SUM(F46*G46/1000)</f>
        <v>1.5888271549999999</v>
      </c>
      <c r="I46" s="10">
        <v>0</v>
      </c>
    </row>
    <row r="47" spans="1:9" ht="21" hidden="1" customHeight="1">
      <c r="A47" s="21"/>
      <c r="B47" s="58" t="s">
        <v>34</v>
      </c>
      <c r="C47" s="59" t="s">
        <v>83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6"/>
        <v>5.9468160000000006E-2</v>
      </c>
      <c r="I47" s="10">
        <v>0</v>
      </c>
    </row>
    <row r="48" spans="1:9" ht="21" hidden="1" customHeight="1">
      <c r="A48" s="21"/>
      <c r="B48" s="58" t="s">
        <v>35</v>
      </c>
      <c r="C48" s="59" t="s">
        <v>83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6"/>
        <v>1.161363608</v>
      </c>
      <c r="I48" s="10">
        <v>0</v>
      </c>
    </row>
    <row r="49" spans="1:9" ht="21.75" hidden="1" customHeight="1">
      <c r="A49" s="21"/>
      <c r="B49" s="58" t="s">
        <v>36</v>
      </c>
      <c r="C49" s="59" t="s">
        <v>83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6"/>
        <v>1.6128822783999999</v>
      </c>
      <c r="I49" s="10">
        <v>0</v>
      </c>
    </row>
    <row r="50" spans="1:9" ht="22.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6"/>
        <v>0.10041360000000001</v>
      </c>
      <c r="I50" s="10">
        <v>0</v>
      </c>
    </row>
    <row r="51" spans="1:9" ht="23.25" hidden="1" customHeight="1">
      <c r="A51" s="21">
        <v>14</v>
      </c>
      <c r="B51" s="58" t="s">
        <v>54</v>
      </c>
      <c r="C51" s="59" t="s">
        <v>83</v>
      </c>
      <c r="D51" s="58" t="s">
        <v>130</v>
      </c>
      <c r="E51" s="60">
        <v>678.4</v>
      </c>
      <c r="F51" s="61">
        <f>SUM(E51*5/1000)</f>
        <v>3.3919999999999999</v>
      </c>
      <c r="G51" s="10">
        <v>1297.28</v>
      </c>
      <c r="H51" s="62">
        <f t="shared" si="6"/>
        <v>4.4003737599999999</v>
      </c>
      <c r="I51" s="10">
        <f>F51/5*G51</f>
        <v>880.07475199999999</v>
      </c>
    </row>
    <row r="52" spans="1:9" ht="30.75" hidden="1" customHeight="1">
      <c r="A52" s="21">
        <v>10</v>
      </c>
      <c r="B52" s="58" t="s">
        <v>84</v>
      </c>
      <c r="C52" s="59" t="s">
        <v>83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6"/>
        <v>1.7601495039999999</v>
      </c>
      <c r="I52" s="10">
        <f>G52*F52/2</f>
        <v>880.07475199999999</v>
      </c>
    </row>
    <row r="53" spans="1:9" ht="29.25" hidden="1" customHeight="1">
      <c r="A53" s="21">
        <v>11</v>
      </c>
      <c r="B53" s="58" t="s">
        <v>85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6"/>
        <v>0.70053359999999998</v>
      </c>
      <c r="I53" s="10">
        <f>G53*F53/2</f>
        <v>350.26679999999999</v>
      </c>
    </row>
    <row r="54" spans="1:9" ht="21.75" hidden="1" customHeight="1">
      <c r="A54" s="21">
        <v>12</v>
      </c>
      <c r="B54" s="58" t="s">
        <v>38</v>
      </c>
      <c r="C54" s="59" t="s">
        <v>39</v>
      </c>
      <c r="D54" s="58" t="s">
        <v>41</v>
      </c>
      <c r="E54" s="60">
        <v>1</v>
      </c>
      <c r="F54" s="61">
        <v>0.02</v>
      </c>
      <c r="G54" s="10">
        <v>6042.12</v>
      </c>
      <c r="H54" s="62">
        <f t="shared" si="6"/>
        <v>0.1208424</v>
      </c>
      <c r="I54" s="10">
        <f>G54*F54/2</f>
        <v>60.421199999999999</v>
      </c>
    </row>
    <row r="55" spans="1:9" ht="21" hidden="1" customHeight="1">
      <c r="A55" s="21">
        <v>15</v>
      </c>
      <c r="B55" s="58" t="s">
        <v>40</v>
      </c>
      <c r="C55" s="59" t="s">
        <v>104</v>
      </c>
      <c r="D55" s="58" t="s">
        <v>68</v>
      </c>
      <c r="E55" s="60">
        <v>72</v>
      </c>
      <c r="F55" s="61">
        <f>SUM(E55)*3</f>
        <v>216</v>
      </c>
      <c r="G55" s="10">
        <v>70.209999999999994</v>
      </c>
      <c r="H55" s="62">
        <f t="shared" si="6"/>
        <v>15.165359999999998</v>
      </c>
      <c r="I55" s="10">
        <f>E55*G55</f>
        <v>5055.12</v>
      </c>
    </row>
    <row r="56" spans="1:9" ht="15.75" customHeight="1">
      <c r="A56" s="163" t="s">
        <v>133</v>
      </c>
      <c r="B56" s="164"/>
      <c r="C56" s="164"/>
      <c r="D56" s="164"/>
      <c r="E56" s="164"/>
      <c r="F56" s="164"/>
      <c r="G56" s="164"/>
      <c r="H56" s="164"/>
      <c r="I56" s="165"/>
    </row>
    <row r="57" spans="1:9" ht="15.75" hidden="1" customHeight="1">
      <c r="A57" s="21"/>
      <c r="B57" s="78" t="s">
        <v>42</v>
      </c>
      <c r="C57" s="59"/>
      <c r="D57" s="58"/>
      <c r="E57" s="60"/>
      <c r="F57" s="61"/>
      <c r="G57" s="61"/>
      <c r="H57" s="62"/>
      <c r="I57" s="10"/>
    </row>
    <row r="58" spans="1:9" ht="31.5" hidden="1" customHeight="1">
      <c r="A58" s="21">
        <v>16</v>
      </c>
      <c r="B58" s="58" t="s">
        <v>105</v>
      </c>
      <c r="C58" s="59" t="s">
        <v>80</v>
      </c>
      <c r="D58" s="58" t="s">
        <v>106</v>
      </c>
      <c r="E58" s="60">
        <v>110.66</v>
      </c>
      <c r="F58" s="61">
        <f>SUM(E58*6/100)</f>
        <v>6.6396000000000006</v>
      </c>
      <c r="G58" s="10">
        <v>1654.04</v>
      </c>
      <c r="H58" s="62">
        <f>SUM(F58*G58/1000)</f>
        <v>10.982163984000001</v>
      </c>
      <c r="I58" s="10">
        <f>F58/6*G58</f>
        <v>1830.360664</v>
      </c>
    </row>
    <row r="59" spans="1:9" ht="19.5" customHeight="1">
      <c r="A59" s="21"/>
      <c r="B59" s="113" t="s">
        <v>154</v>
      </c>
      <c r="C59" s="109"/>
      <c r="D59" s="108"/>
      <c r="E59" s="110"/>
      <c r="F59" s="114"/>
      <c r="G59" s="27"/>
      <c r="H59" s="95"/>
      <c r="I59" s="10"/>
    </row>
    <row r="60" spans="1:9" ht="16.5" customHeight="1">
      <c r="A60" s="21">
        <v>9</v>
      </c>
      <c r="B60" s="94" t="s">
        <v>148</v>
      </c>
      <c r="C60" s="115" t="s">
        <v>149</v>
      </c>
      <c r="D60" s="94" t="s">
        <v>170</v>
      </c>
      <c r="E60" s="128">
        <v>120</v>
      </c>
      <c r="F60" s="114">
        <f>E60*12</f>
        <v>1440</v>
      </c>
      <c r="G60" s="27">
        <v>1.4</v>
      </c>
      <c r="H60" s="71"/>
      <c r="I60" s="10">
        <f>G60*F60/12</f>
        <v>167.99999999999997</v>
      </c>
    </row>
    <row r="61" spans="1:9" ht="15.75" hidden="1" customHeight="1">
      <c r="A61" s="21"/>
      <c r="B61" s="79" t="s">
        <v>43</v>
      </c>
      <c r="C61" s="67"/>
      <c r="D61" s="68"/>
      <c r="E61" s="69"/>
      <c r="F61" s="70"/>
      <c r="G61" s="70"/>
      <c r="H61" s="71" t="s">
        <v>113</v>
      </c>
      <c r="I61" s="10"/>
    </row>
    <row r="62" spans="1:9" ht="15.75" hidden="1" customHeight="1">
      <c r="A62" s="21">
        <v>11</v>
      </c>
      <c r="B62" s="11" t="s">
        <v>44</v>
      </c>
      <c r="C62" s="13" t="s">
        <v>104</v>
      </c>
      <c r="D62" s="11" t="s">
        <v>172</v>
      </c>
      <c r="E62" s="15">
        <v>8</v>
      </c>
      <c r="F62" s="61">
        <v>8</v>
      </c>
      <c r="G62" s="27">
        <v>318.82</v>
      </c>
      <c r="H62" s="72">
        <f t="shared" ref="H62:H78" si="7">SUM(F62*G62/1000)</f>
        <v>2.5505599999999999</v>
      </c>
      <c r="I62" s="10">
        <f>G62*2</f>
        <v>637.64</v>
      </c>
    </row>
    <row r="63" spans="1:9" ht="15.75" hidden="1" customHeight="1">
      <c r="A63" s="21"/>
      <c r="B63" s="11" t="s">
        <v>45</v>
      </c>
      <c r="C63" s="13" t="s">
        <v>104</v>
      </c>
      <c r="D63" s="11" t="s">
        <v>64</v>
      </c>
      <c r="E63" s="15">
        <v>3</v>
      </c>
      <c r="F63" s="61">
        <v>3</v>
      </c>
      <c r="G63" s="10">
        <v>81.510000000000005</v>
      </c>
      <c r="H63" s="72">
        <f t="shared" si="7"/>
        <v>0.24453000000000003</v>
      </c>
      <c r="I63" s="10">
        <v>0</v>
      </c>
    </row>
    <row r="64" spans="1:9" ht="15.75" hidden="1" customHeight="1">
      <c r="A64" s="21"/>
      <c r="B64" s="11" t="s">
        <v>46</v>
      </c>
      <c r="C64" s="13" t="s">
        <v>107</v>
      </c>
      <c r="D64" s="11" t="s">
        <v>52</v>
      </c>
      <c r="E64" s="60">
        <v>8539</v>
      </c>
      <c r="F64" s="10">
        <f>SUM(E64/100)</f>
        <v>85.39</v>
      </c>
      <c r="G64" s="10">
        <v>226.79</v>
      </c>
      <c r="H64" s="72">
        <f t="shared" si="7"/>
        <v>19.3655981</v>
      </c>
      <c r="I64" s="10">
        <v>0</v>
      </c>
    </row>
    <row r="65" spans="1:9" ht="15.75" hidden="1" customHeight="1">
      <c r="A65" s="21"/>
      <c r="B65" s="11" t="s">
        <v>47</v>
      </c>
      <c r="C65" s="13" t="s">
        <v>108</v>
      </c>
      <c r="D65" s="11"/>
      <c r="E65" s="60">
        <v>8539</v>
      </c>
      <c r="F65" s="10">
        <f>SUM(E65/1000)</f>
        <v>8.5389999999999997</v>
      </c>
      <c r="G65" s="10">
        <v>176.61</v>
      </c>
      <c r="H65" s="72">
        <f t="shared" si="7"/>
        <v>1.5080727900000002</v>
      </c>
      <c r="I65" s="10">
        <v>0</v>
      </c>
    </row>
    <row r="66" spans="1:9" ht="15.75" hidden="1" customHeight="1">
      <c r="A66" s="21"/>
      <c r="B66" s="11" t="s">
        <v>48</v>
      </c>
      <c r="C66" s="13" t="s">
        <v>74</v>
      </c>
      <c r="D66" s="11" t="s">
        <v>52</v>
      </c>
      <c r="E66" s="60">
        <v>1370</v>
      </c>
      <c r="F66" s="10">
        <f>SUM(E66/100)</f>
        <v>13.7</v>
      </c>
      <c r="G66" s="10">
        <v>2217.7800000000002</v>
      </c>
      <c r="H66" s="72">
        <f t="shared" si="7"/>
        <v>30.383586000000005</v>
      </c>
      <c r="I66" s="10">
        <v>0</v>
      </c>
    </row>
    <row r="67" spans="1:9" ht="15.75" hidden="1" customHeight="1">
      <c r="A67" s="21"/>
      <c r="B67" s="73" t="s">
        <v>109</v>
      </c>
      <c r="C67" s="13" t="s">
        <v>31</v>
      </c>
      <c r="D67" s="11"/>
      <c r="E67" s="60">
        <v>9</v>
      </c>
      <c r="F67" s="10">
        <f>SUM(E67)</f>
        <v>9</v>
      </c>
      <c r="G67" s="10">
        <v>42.67</v>
      </c>
      <c r="H67" s="72">
        <f t="shared" si="7"/>
        <v>0.38403000000000004</v>
      </c>
      <c r="I67" s="10">
        <v>0</v>
      </c>
    </row>
    <row r="68" spans="1:9" ht="15.75" hidden="1" customHeight="1">
      <c r="A68" s="21"/>
      <c r="B68" s="73" t="s">
        <v>110</v>
      </c>
      <c r="C68" s="13" t="s">
        <v>31</v>
      </c>
      <c r="D68" s="11"/>
      <c r="E68" s="60">
        <v>9</v>
      </c>
      <c r="F68" s="10">
        <f>SUM(E68)</f>
        <v>9</v>
      </c>
      <c r="G68" s="10">
        <v>39.81</v>
      </c>
      <c r="H68" s="72">
        <f t="shared" si="7"/>
        <v>0.35829</v>
      </c>
      <c r="I68" s="10">
        <v>0</v>
      </c>
    </row>
    <row r="69" spans="1:9" ht="15.75" hidden="1" customHeight="1">
      <c r="A69" s="21"/>
      <c r="B69" s="11" t="s">
        <v>55</v>
      </c>
      <c r="C69" s="13" t="s">
        <v>56</v>
      </c>
      <c r="D69" s="11" t="s">
        <v>52</v>
      </c>
      <c r="E69" s="15">
        <v>3</v>
      </c>
      <c r="F69" s="61">
        <v>3</v>
      </c>
      <c r="G69" s="10">
        <v>53.62</v>
      </c>
      <c r="H69" s="72">
        <f t="shared" si="7"/>
        <v>0.16085999999999998</v>
      </c>
      <c r="I69" s="10">
        <v>0</v>
      </c>
    </row>
    <row r="70" spans="1:9" ht="15.75" customHeight="1">
      <c r="A70" s="21"/>
      <c r="B70" s="116" t="s">
        <v>156</v>
      </c>
      <c r="C70" s="117"/>
      <c r="D70" s="118"/>
      <c r="E70" s="119"/>
      <c r="F70" s="120"/>
      <c r="G70" s="120"/>
      <c r="H70" s="10"/>
      <c r="I70" s="10"/>
    </row>
    <row r="71" spans="1:9" ht="33" customHeight="1">
      <c r="A71" s="21">
        <v>10</v>
      </c>
      <c r="B71" s="94" t="s">
        <v>157</v>
      </c>
      <c r="C71" s="121" t="s">
        <v>158</v>
      </c>
      <c r="D71" s="118"/>
      <c r="E71" s="119">
        <v>2054.6</v>
      </c>
      <c r="F71" s="120">
        <f>E71*12</f>
        <v>24655.199999999997</v>
      </c>
      <c r="G71" s="120">
        <v>2.4900000000000002</v>
      </c>
      <c r="H71" s="10"/>
      <c r="I71" s="10">
        <f>G71*F71/12</f>
        <v>5115.9539999999997</v>
      </c>
    </row>
    <row r="72" spans="1:9" ht="15.75" customHeight="1">
      <c r="A72" s="21"/>
      <c r="B72" s="23" t="s">
        <v>69</v>
      </c>
      <c r="C72" s="13"/>
      <c r="D72" s="11"/>
      <c r="E72" s="15"/>
      <c r="F72" s="10"/>
      <c r="G72" s="10"/>
      <c r="H72" s="72" t="s">
        <v>113</v>
      </c>
      <c r="I72" s="10"/>
    </row>
    <row r="73" spans="1:9" ht="15.75" hidden="1" customHeight="1">
      <c r="A73" s="21"/>
      <c r="B73" s="11" t="s">
        <v>70</v>
      </c>
      <c r="C73" s="13" t="s">
        <v>72</v>
      </c>
      <c r="D73" s="11"/>
      <c r="E73" s="15">
        <v>2</v>
      </c>
      <c r="F73" s="10">
        <v>0.2</v>
      </c>
      <c r="G73" s="10">
        <v>536.23</v>
      </c>
      <c r="H73" s="72">
        <f t="shared" si="7"/>
        <v>0.10724600000000001</v>
      </c>
      <c r="I73" s="10">
        <v>0</v>
      </c>
    </row>
    <row r="74" spans="1:9" ht="15.75" hidden="1" customHeight="1">
      <c r="A74" s="21"/>
      <c r="B74" s="11" t="s">
        <v>71</v>
      </c>
      <c r="C74" s="13" t="s">
        <v>29</v>
      </c>
      <c r="D74" s="11"/>
      <c r="E74" s="15">
        <v>1</v>
      </c>
      <c r="F74" s="54">
        <v>1</v>
      </c>
      <c r="G74" s="10">
        <v>911.85</v>
      </c>
      <c r="H74" s="72">
        <f>F74*G74/1000</f>
        <v>0.91185000000000005</v>
      </c>
      <c r="I74" s="10">
        <v>0</v>
      </c>
    </row>
    <row r="75" spans="1:9" ht="15.75" hidden="1" customHeight="1">
      <c r="A75" s="21"/>
      <c r="B75" s="11" t="s">
        <v>120</v>
      </c>
      <c r="C75" s="13" t="s">
        <v>29</v>
      </c>
      <c r="D75" s="11"/>
      <c r="E75" s="15">
        <v>1</v>
      </c>
      <c r="F75" s="10">
        <v>1</v>
      </c>
      <c r="G75" s="10">
        <v>383.25</v>
      </c>
      <c r="H75" s="72">
        <f>G75*F75/1000</f>
        <v>0.38324999999999998</v>
      </c>
      <c r="I75" s="10">
        <v>0</v>
      </c>
    </row>
    <row r="76" spans="1:9" ht="15.75" customHeight="1">
      <c r="A76" s="21">
        <v>11</v>
      </c>
      <c r="B76" s="94" t="s">
        <v>155</v>
      </c>
      <c r="C76" s="115" t="s">
        <v>104</v>
      </c>
      <c r="D76" s="94" t="s">
        <v>171</v>
      </c>
      <c r="E76" s="14">
        <v>2</v>
      </c>
      <c r="F76" s="27">
        <f>E76*12</f>
        <v>24</v>
      </c>
      <c r="G76" s="27">
        <v>404</v>
      </c>
      <c r="H76" s="72"/>
      <c r="I76" s="10">
        <f>G76*2</f>
        <v>808</v>
      </c>
    </row>
    <row r="77" spans="1:9" ht="15.75" hidden="1" customHeight="1">
      <c r="A77" s="21"/>
      <c r="B77" s="74" t="s">
        <v>73</v>
      </c>
      <c r="C77" s="13"/>
      <c r="D77" s="11"/>
      <c r="E77" s="15"/>
      <c r="F77" s="10"/>
      <c r="G77" s="10" t="s">
        <v>113</v>
      </c>
      <c r="H77" s="72" t="s">
        <v>113</v>
      </c>
      <c r="I77" s="10"/>
    </row>
    <row r="78" spans="1:9" ht="15.75" hidden="1" customHeight="1">
      <c r="A78" s="21"/>
      <c r="B78" s="36" t="s">
        <v>114</v>
      </c>
      <c r="C78" s="13" t="s">
        <v>74</v>
      </c>
      <c r="D78" s="11"/>
      <c r="E78" s="15"/>
      <c r="F78" s="10">
        <v>1.35</v>
      </c>
      <c r="G78" s="10">
        <v>2949.85</v>
      </c>
      <c r="H78" s="72">
        <f t="shared" si="7"/>
        <v>3.9822975</v>
      </c>
      <c r="I78" s="10">
        <v>0</v>
      </c>
    </row>
    <row r="79" spans="1:9" ht="19.5" hidden="1" customHeight="1">
      <c r="A79" s="21"/>
      <c r="B79" s="53" t="s">
        <v>86</v>
      </c>
      <c r="C79" s="75"/>
      <c r="D79" s="23"/>
      <c r="E79" s="24"/>
      <c r="F79" s="64"/>
      <c r="G79" s="64"/>
      <c r="H79" s="76">
        <f>SUM(H58:H78)</f>
        <v>71.322334374000008</v>
      </c>
      <c r="I79" s="64"/>
    </row>
    <row r="80" spans="1:9" ht="15" hidden="1" customHeight="1">
      <c r="A80" s="21">
        <v>14</v>
      </c>
      <c r="B80" s="58" t="s">
        <v>111</v>
      </c>
      <c r="C80" s="13"/>
      <c r="D80" s="11"/>
      <c r="E80" s="77"/>
      <c r="F80" s="10">
        <v>1</v>
      </c>
      <c r="G80" s="10">
        <v>1046.8</v>
      </c>
      <c r="H80" s="72">
        <f>G80*F80/1000</f>
        <v>1.0468</v>
      </c>
      <c r="I80" s="10">
        <f>G80*1</f>
        <v>1046.8</v>
      </c>
    </row>
    <row r="81" spans="1:9" ht="15.75" customHeight="1">
      <c r="A81" s="163" t="s">
        <v>134</v>
      </c>
      <c r="B81" s="164"/>
      <c r="C81" s="164"/>
      <c r="D81" s="164"/>
      <c r="E81" s="164"/>
      <c r="F81" s="164"/>
      <c r="G81" s="164"/>
      <c r="H81" s="164"/>
      <c r="I81" s="165"/>
    </row>
    <row r="82" spans="1:9" ht="15.75" customHeight="1">
      <c r="A82" s="21">
        <v>12</v>
      </c>
      <c r="B82" s="94" t="s">
        <v>112</v>
      </c>
      <c r="C82" s="115" t="s">
        <v>53</v>
      </c>
      <c r="D82" s="133"/>
      <c r="E82" s="27">
        <v>2054.6</v>
      </c>
      <c r="F82" s="27">
        <f>SUM(E82*12)</f>
        <v>24655.199999999997</v>
      </c>
      <c r="G82" s="27">
        <v>3.38</v>
      </c>
      <c r="H82" s="72">
        <f>SUM(F82*G82/1000)</f>
        <v>83.334575999999984</v>
      </c>
      <c r="I82" s="10">
        <f>F82/12*G82</f>
        <v>6944.5479999999998</v>
      </c>
    </row>
    <row r="83" spans="1:9" ht="31.5" customHeight="1">
      <c r="A83" s="21">
        <v>13</v>
      </c>
      <c r="B83" s="94" t="s">
        <v>159</v>
      </c>
      <c r="C83" s="115" t="s">
        <v>53</v>
      </c>
      <c r="D83" s="131"/>
      <c r="E83" s="132">
        <f>E82</f>
        <v>2054.6</v>
      </c>
      <c r="F83" s="124">
        <f>E83*12</f>
        <v>24655.199999999997</v>
      </c>
      <c r="G83" s="124">
        <v>3.05</v>
      </c>
      <c r="H83" s="72">
        <f>F83*G83/1000</f>
        <v>75.19835999999998</v>
      </c>
      <c r="I83" s="10">
        <f>F83/12*G83</f>
        <v>6266.53</v>
      </c>
    </row>
    <row r="84" spans="1:9" ht="15.75" customHeight="1">
      <c r="A84" s="21"/>
      <c r="B84" s="28" t="s">
        <v>76</v>
      </c>
      <c r="C84" s="75"/>
      <c r="D84" s="74"/>
      <c r="E84" s="64"/>
      <c r="F84" s="64"/>
      <c r="G84" s="64"/>
      <c r="H84" s="76">
        <f>H83</f>
        <v>75.19835999999998</v>
      </c>
      <c r="I84" s="64">
        <f>I83+I82+I76+I71+I60+I33+I31+I30+I21+I20+I18+I17+I16</f>
        <v>28951.345417999997</v>
      </c>
    </row>
    <row r="85" spans="1:9" ht="15.75" customHeight="1">
      <c r="A85" s="177" t="s">
        <v>58</v>
      </c>
      <c r="B85" s="178"/>
      <c r="C85" s="178"/>
      <c r="D85" s="178"/>
      <c r="E85" s="178"/>
      <c r="F85" s="178"/>
      <c r="G85" s="178"/>
      <c r="H85" s="178"/>
      <c r="I85" s="179"/>
    </row>
    <row r="86" spans="1:9" ht="18" customHeight="1">
      <c r="A86" s="21">
        <v>14</v>
      </c>
      <c r="B86" s="153" t="s">
        <v>234</v>
      </c>
      <c r="C86" s="149" t="s">
        <v>184</v>
      </c>
      <c r="D86" s="39" t="s">
        <v>253</v>
      </c>
      <c r="E86" s="27"/>
      <c r="F86" s="27">
        <v>5</v>
      </c>
      <c r="G86" s="27">
        <v>295.36</v>
      </c>
      <c r="H86" s="10"/>
      <c r="I86" s="10">
        <v>0</v>
      </c>
    </row>
    <row r="87" spans="1:9" ht="15.75" hidden="1" customHeight="1">
      <c r="A87" s="21">
        <v>18</v>
      </c>
      <c r="B87" s="88"/>
      <c r="C87" s="40"/>
      <c r="D87" s="39"/>
      <c r="E87" s="27"/>
      <c r="F87" s="27">
        <v>5.5</v>
      </c>
      <c r="G87" s="27"/>
      <c r="H87" s="87">
        <f t="shared" ref="H87" si="8">G87*F87/1000</f>
        <v>0</v>
      </c>
      <c r="I87" s="10"/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I86</f>
        <v>0</v>
      </c>
    </row>
    <row r="89" spans="1:9" ht="15.75" customHeight="1">
      <c r="A89" s="21"/>
      <c r="B89" s="36" t="s">
        <v>75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50</v>
      </c>
      <c r="C90" s="26"/>
      <c r="D90" s="26"/>
      <c r="E90" s="26"/>
      <c r="F90" s="26"/>
      <c r="G90" s="26"/>
      <c r="H90" s="26"/>
      <c r="I90" s="33">
        <f>I84+I88</f>
        <v>28951.345417999997</v>
      </c>
    </row>
    <row r="91" spans="1:9" ht="15.75">
      <c r="A91" s="176" t="s">
        <v>254</v>
      </c>
      <c r="B91" s="176"/>
      <c r="C91" s="176"/>
      <c r="D91" s="176"/>
      <c r="E91" s="176"/>
      <c r="F91" s="176"/>
      <c r="G91" s="176"/>
      <c r="H91" s="176"/>
      <c r="I91" s="176"/>
    </row>
    <row r="92" spans="1:9" ht="15.75">
      <c r="A92" s="46"/>
      <c r="B92" s="171" t="s">
        <v>255</v>
      </c>
      <c r="C92" s="171"/>
      <c r="D92" s="171"/>
      <c r="E92" s="171"/>
      <c r="F92" s="171"/>
      <c r="G92" s="171"/>
      <c r="H92" s="57"/>
      <c r="I92" s="2"/>
    </row>
    <row r="93" spans="1:9">
      <c r="A93" s="49"/>
      <c r="B93" s="167" t="s">
        <v>6</v>
      </c>
      <c r="C93" s="167"/>
      <c r="D93" s="167"/>
      <c r="E93" s="167"/>
      <c r="F93" s="167"/>
      <c r="G93" s="167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72" t="s">
        <v>7</v>
      </c>
      <c r="B95" s="172"/>
      <c r="C95" s="172"/>
      <c r="D95" s="172"/>
      <c r="E95" s="172"/>
      <c r="F95" s="172"/>
      <c r="G95" s="172"/>
      <c r="H95" s="172"/>
      <c r="I95" s="172"/>
    </row>
    <row r="96" spans="1:9" ht="15.75">
      <c r="A96" s="172" t="s">
        <v>8</v>
      </c>
      <c r="B96" s="172"/>
      <c r="C96" s="172"/>
      <c r="D96" s="172"/>
      <c r="E96" s="172"/>
      <c r="F96" s="172"/>
      <c r="G96" s="172"/>
      <c r="H96" s="172"/>
      <c r="I96" s="172"/>
    </row>
    <row r="97" spans="1:9" ht="15.75">
      <c r="A97" s="173" t="s">
        <v>59</v>
      </c>
      <c r="B97" s="173"/>
      <c r="C97" s="173"/>
      <c r="D97" s="173"/>
      <c r="E97" s="173"/>
      <c r="F97" s="173"/>
      <c r="G97" s="173"/>
      <c r="H97" s="173"/>
      <c r="I97" s="173"/>
    </row>
    <row r="98" spans="1:9" ht="15.75">
      <c r="A98" s="8"/>
    </row>
    <row r="99" spans="1:9" ht="15.75">
      <c r="A99" s="174" t="s">
        <v>9</v>
      </c>
      <c r="B99" s="174"/>
      <c r="C99" s="174"/>
      <c r="D99" s="174"/>
      <c r="E99" s="174"/>
      <c r="F99" s="174"/>
      <c r="G99" s="174"/>
      <c r="H99" s="174"/>
      <c r="I99" s="174"/>
    </row>
    <row r="100" spans="1:9" ht="15.75">
      <c r="A100" s="3"/>
    </row>
    <row r="101" spans="1:9" ht="15.75">
      <c r="B101" s="50" t="s">
        <v>10</v>
      </c>
      <c r="C101" s="166" t="s">
        <v>192</v>
      </c>
      <c r="D101" s="166"/>
      <c r="E101" s="166"/>
      <c r="F101" s="55"/>
      <c r="I101" s="48"/>
    </row>
    <row r="102" spans="1:9">
      <c r="A102" s="49"/>
      <c r="C102" s="167" t="s">
        <v>11</v>
      </c>
      <c r="D102" s="167"/>
      <c r="E102" s="167"/>
      <c r="F102" s="16"/>
      <c r="I102" s="47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0" t="s">
        <v>13</v>
      </c>
      <c r="C104" s="168"/>
      <c r="D104" s="168"/>
      <c r="E104" s="168"/>
      <c r="F104" s="56"/>
      <c r="I104" s="48"/>
    </row>
    <row r="105" spans="1:9">
      <c r="A105" s="49"/>
      <c r="C105" s="169" t="s">
        <v>11</v>
      </c>
      <c r="D105" s="169"/>
      <c r="E105" s="169"/>
      <c r="F105" s="49"/>
      <c r="I105" s="47" t="s">
        <v>12</v>
      </c>
    </row>
    <row r="106" spans="1:9" ht="15.75">
      <c r="A106" s="3" t="s">
        <v>14</v>
      </c>
    </row>
    <row r="107" spans="1:9">
      <c r="A107" s="170" t="s">
        <v>15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45" customHeight="1">
      <c r="A108" s="162" t="s">
        <v>16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30" customHeight="1">
      <c r="A109" s="162" t="s">
        <v>17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21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15" customHeight="1">
      <c r="A111" s="162" t="s">
        <v>20</v>
      </c>
      <c r="B111" s="162"/>
      <c r="C111" s="162"/>
      <c r="D111" s="162"/>
      <c r="E111" s="162"/>
      <c r="F111" s="162"/>
      <c r="G111" s="162"/>
      <c r="H111" s="162"/>
      <c r="I111" s="162"/>
    </row>
  </sheetData>
  <mergeCells count="28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A99:I99"/>
    <mergeCell ref="A15:I15"/>
    <mergeCell ref="A28:I28"/>
    <mergeCell ref="A45:I45"/>
    <mergeCell ref="A56:I56"/>
    <mergeCell ref="A81:I81"/>
    <mergeCell ref="A91:I91"/>
    <mergeCell ref="B92:G92"/>
    <mergeCell ref="B93:G93"/>
    <mergeCell ref="A95:I95"/>
    <mergeCell ref="A96:I96"/>
    <mergeCell ref="A97:I97"/>
    <mergeCell ref="A85:I8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0"/>
  <sheetViews>
    <sheetView topLeftCell="A71" workbookViewId="0">
      <selection activeCell="A94" sqref="A94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146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256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81"/>
      <c r="C6" s="81"/>
      <c r="D6" s="81"/>
      <c r="E6" s="81"/>
      <c r="F6" s="81"/>
      <c r="G6" s="81"/>
      <c r="H6" s="81"/>
      <c r="I6" s="22">
        <v>44530</v>
      </c>
    </row>
    <row r="7" spans="1:9" ht="15.75">
      <c r="B7" s="82"/>
      <c r="C7" s="82"/>
      <c r="D7" s="82"/>
      <c r="E7" s="2"/>
      <c r="F7" s="2"/>
      <c r="G7" s="2"/>
      <c r="H7" s="2"/>
    </row>
    <row r="8" spans="1:9" ht="78.75" customHeight="1">
      <c r="A8" s="184" t="s">
        <v>163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170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7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63" t="s">
        <v>78</v>
      </c>
      <c r="B29" s="164"/>
      <c r="C29" s="164"/>
      <c r="D29" s="164"/>
      <c r="E29" s="164"/>
      <c r="F29" s="164"/>
      <c r="G29" s="164"/>
      <c r="H29" s="164"/>
      <c r="I29" s="165"/>
    </row>
    <row r="30" spans="1:9" ht="15.75" hidden="1" customHeight="1">
      <c r="A30" s="21"/>
      <c r="B30" s="78" t="s">
        <v>27</v>
      </c>
      <c r="C30" s="59"/>
      <c r="D30" s="58"/>
      <c r="E30" s="60"/>
      <c r="F30" s="61"/>
      <c r="G30" s="61"/>
      <c r="H30" s="62"/>
      <c r="I30" s="10"/>
    </row>
    <row r="31" spans="1:9" ht="15.75" hidden="1" customHeight="1">
      <c r="A31" s="21">
        <v>7</v>
      </c>
      <c r="B31" s="58" t="s">
        <v>102</v>
      </c>
      <c r="C31" s="59" t="s">
        <v>83</v>
      </c>
      <c r="D31" s="58" t="s">
        <v>144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58" t="s">
        <v>101</v>
      </c>
      <c r="C32" s="59" t="s">
        <v>83</v>
      </c>
      <c r="D32" s="58" t="s">
        <v>145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83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58" t="s">
        <v>100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62</v>
      </c>
      <c r="C35" s="59" t="s">
        <v>31</v>
      </c>
      <c r="D35" s="58" t="s">
        <v>64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63</v>
      </c>
      <c r="C36" s="59" t="s">
        <v>30</v>
      </c>
      <c r="D36" s="58" t="s">
        <v>64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8" t="s">
        <v>5</v>
      </c>
      <c r="C37" s="59"/>
      <c r="D37" s="58"/>
      <c r="E37" s="60"/>
      <c r="F37" s="61"/>
      <c r="G37" s="61"/>
      <c r="H37" s="62" t="s">
        <v>113</v>
      </c>
      <c r="I37" s="10"/>
    </row>
    <row r="38" spans="1:9" ht="15.75" customHeight="1">
      <c r="A38" s="21">
        <v>6</v>
      </c>
      <c r="B38" s="105" t="s">
        <v>25</v>
      </c>
      <c r="C38" s="29" t="s">
        <v>30</v>
      </c>
      <c r="D38" s="25" t="s">
        <v>257</v>
      </c>
      <c r="E38" s="102"/>
      <c r="F38" s="103">
        <v>5</v>
      </c>
      <c r="G38" s="103">
        <v>1855</v>
      </c>
      <c r="H38" s="62">
        <f t="shared" ref="H38:H44" si="4">SUM(F38*G38/1000)</f>
        <v>9.2750000000000004</v>
      </c>
      <c r="I38" s="10">
        <f>G38*1</f>
        <v>1855</v>
      </c>
    </row>
    <row r="39" spans="1:9" ht="15.75" customHeight="1">
      <c r="A39" s="21">
        <v>7</v>
      </c>
      <c r="B39" s="105" t="s">
        <v>117</v>
      </c>
      <c r="C39" s="106" t="s">
        <v>28</v>
      </c>
      <c r="D39" s="25" t="s">
        <v>179</v>
      </c>
      <c r="E39" s="102">
        <v>186.39</v>
      </c>
      <c r="F39" s="107">
        <f>E39*30/1000</f>
        <v>5.5916999999999994</v>
      </c>
      <c r="G39" s="103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126</v>
      </c>
      <c r="C40" s="29" t="s">
        <v>127</v>
      </c>
      <c r="D40" s="25" t="s">
        <v>153</v>
      </c>
      <c r="E40" s="102"/>
      <c r="F40" s="107">
        <v>13</v>
      </c>
      <c r="G40" s="103">
        <v>330</v>
      </c>
      <c r="H40" s="62">
        <f>G40*F40/1000</f>
        <v>4.29</v>
      </c>
      <c r="I40" s="10">
        <v>0</v>
      </c>
    </row>
    <row r="41" spans="1:9" ht="15.75" customHeight="1">
      <c r="A41" s="21">
        <v>8</v>
      </c>
      <c r="B41" s="25" t="s">
        <v>65</v>
      </c>
      <c r="C41" s="29" t="s">
        <v>28</v>
      </c>
      <c r="D41" s="25" t="s">
        <v>169</v>
      </c>
      <c r="E41" s="103">
        <v>186.39</v>
      </c>
      <c r="F41" s="107">
        <f>SUM(E41*155/1000)</f>
        <v>28.890449999999998</v>
      </c>
      <c r="G41" s="103">
        <v>502.82</v>
      </c>
      <c r="H41" s="62">
        <f t="shared" si="4"/>
        <v>14.526696068999998</v>
      </c>
      <c r="I41" s="10">
        <f>F41/6*G41</f>
        <v>2421.1160114999998</v>
      </c>
    </row>
    <row r="42" spans="1:9" ht="47.25" customHeight="1">
      <c r="A42" s="21">
        <v>9</v>
      </c>
      <c r="B42" s="25" t="s">
        <v>77</v>
      </c>
      <c r="C42" s="29" t="s">
        <v>83</v>
      </c>
      <c r="D42" s="25" t="s">
        <v>168</v>
      </c>
      <c r="E42" s="103">
        <v>52.2</v>
      </c>
      <c r="F42" s="107">
        <f>E42*24/1000</f>
        <v>1.2528000000000001</v>
      </c>
      <c r="G42" s="103">
        <v>8319.2999999999993</v>
      </c>
      <c r="H42" s="62">
        <f t="shared" si="4"/>
        <v>10.422419040000001</v>
      </c>
      <c r="I42" s="10">
        <f>F42/6*G42</f>
        <v>1737.0698399999999</v>
      </c>
    </row>
    <row r="43" spans="1:9" ht="15.75" hidden="1" customHeight="1">
      <c r="A43" s="21">
        <v>10</v>
      </c>
      <c r="B43" s="25" t="s">
        <v>119</v>
      </c>
      <c r="C43" s="29" t="s">
        <v>83</v>
      </c>
      <c r="D43" s="25" t="s">
        <v>170</v>
      </c>
      <c r="E43" s="103">
        <v>52.2</v>
      </c>
      <c r="F43" s="107">
        <f>SUM(E43*15/1000)</f>
        <v>0.78300000000000003</v>
      </c>
      <c r="G43" s="103">
        <v>614.55999999999995</v>
      </c>
      <c r="H43" s="62">
        <f t="shared" si="4"/>
        <v>0.48120047999999999</v>
      </c>
      <c r="I43" s="10">
        <f>G43*F43/15*1</f>
        <v>32.080031999999996</v>
      </c>
    </row>
    <row r="44" spans="1:9" ht="15.75" hidden="1" customHeight="1">
      <c r="A44" s="21">
        <v>11</v>
      </c>
      <c r="B44" s="105" t="s">
        <v>67</v>
      </c>
      <c r="C44" s="106" t="s">
        <v>31</v>
      </c>
      <c r="D44" s="105"/>
      <c r="E44" s="104"/>
      <c r="F44" s="107">
        <v>0.5</v>
      </c>
      <c r="G44" s="107">
        <v>800</v>
      </c>
      <c r="H44" s="62">
        <f t="shared" si="4"/>
        <v>0.4</v>
      </c>
      <c r="I44" s="10">
        <f>G44*F44/15*1</f>
        <v>26.666666666666668</v>
      </c>
    </row>
    <row r="45" spans="1:9" ht="31.5" customHeight="1">
      <c r="A45" s="21">
        <v>10</v>
      </c>
      <c r="B45" s="146" t="s">
        <v>152</v>
      </c>
      <c r="C45" s="106" t="s">
        <v>83</v>
      </c>
      <c r="D45" s="105" t="s">
        <v>172</v>
      </c>
      <c r="E45" s="104">
        <v>1.8</v>
      </c>
      <c r="F45" s="107">
        <f>E45*12/1000</f>
        <v>2.1600000000000001E-2</v>
      </c>
      <c r="G45" s="107">
        <v>19757.060000000001</v>
      </c>
      <c r="H45" s="54"/>
      <c r="I45" s="10">
        <f>G45*F45/6</f>
        <v>71.125416000000016</v>
      </c>
    </row>
    <row r="46" spans="1:9" ht="15.75" hidden="1" customHeight="1">
      <c r="A46" s="163" t="s">
        <v>122</v>
      </c>
      <c r="B46" s="164"/>
      <c r="C46" s="164"/>
      <c r="D46" s="164"/>
      <c r="E46" s="164"/>
      <c r="F46" s="164"/>
      <c r="G46" s="164"/>
      <c r="H46" s="164"/>
      <c r="I46" s="165"/>
    </row>
    <row r="47" spans="1:9" ht="15.7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5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5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5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5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5"/>
        <v>0.10041360000000001</v>
      </c>
      <c r="I51" s="10">
        <v>0</v>
      </c>
    </row>
    <row r="52" spans="1:9" ht="15.75" hidden="1" customHeight="1">
      <c r="A52" s="21">
        <v>14</v>
      </c>
      <c r="B52" s="58" t="s">
        <v>54</v>
      </c>
      <c r="C52" s="59" t="s">
        <v>83</v>
      </c>
      <c r="D52" s="58" t="s">
        <v>130</v>
      </c>
      <c r="E52" s="60">
        <v>678.4</v>
      </c>
      <c r="F52" s="61">
        <f>SUM(E52*5/1000)</f>
        <v>3.3919999999999999</v>
      </c>
      <c r="G52" s="10">
        <v>1297.28</v>
      </c>
      <c r="H52" s="62">
        <f t="shared" si="5"/>
        <v>4.4003737599999999</v>
      </c>
      <c r="I52" s="10">
        <f>F52/5*G52</f>
        <v>880.07475199999999</v>
      </c>
    </row>
    <row r="53" spans="1:9" ht="31.5" hidden="1" customHeight="1">
      <c r="A53" s="21">
        <v>14</v>
      </c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5"/>
        <v>1.7601495039999999</v>
      </c>
      <c r="I53" s="10">
        <f>F53/2*G53</f>
        <v>880.07475199999999</v>
      </c>
    </row>
    <row r="54" spans="1:9" ht="31.5" hidden="1" customHeight="1">
      <c r="A54" s="21">
        <v>15</v>
      </c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5"/>
        <v>0.70053359999999998</v>
      </c>
      <c r="I54" s="10">
        <f t="shared" ref="I54:I55" si="6">F54/2*G54</f>
        <v>350.26679999999999</v>
      </c>
    </row>
    <row r="55" spans="1:9" ht="15.75" hidden="1" customHeight="1">
      <c r="A55" s="21">
        <v>16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5"/>
        <v>0.1208424</v>
      </c>
      <c r="I55" s="10">
        <f t="shared" si="6"/>
        <v>60.421199999999999</v>
      </c>
    </row>
    <row r="56" spans="1:9" ht="24.75" hidden="1" customHeight="1">
      <c r="A56" s="21">
        <v>15</v>
      </c>
      <c r="B56" s="58" t="s">
        <v>40</v>
      </c>
      <c r="C56" s="59" t="s">
        <v>104</v>
      </c>
      <c r="D56" s="58" t="s">
        <v>68</v>
      </c>
      <c r="E56" s="60">
        <v>72</v>
      </c>
      <c r="F56" s="61">
        <f>SUM(E56)*3</f>
        <v>216</v>
      </c>
      <c r="G56" s="10">
        <v>70.209999999999994</v>
      </c>
      <c r="H56" s="62">
        <f t="shared" si="5"/>
        <v>15.165359999999998</v>
      </c>
      <c r="I56" s="10">
        <f>E56*G56</f>
        <v>5055.12</v>
      </c>
    </row>
    <row r="57" spans="1:9" ht="21.75" customHeight="1">
      <c r="A57" s="163" t="s">
        <v>133</v>
      </c>
      <c r="B57" s="164"/>
      <c r="C57" s="164"/>
      <c r="D57" s="164"/>
      <c r="E57" s="164"/>
      <c r="F57" s="164"/>
      <c r="G57" s="164"/>
      <c r="H57" s="164"/>
      <c r="I57" s="165"/>
    </row>
    <row r="58" spans="1:9" ht="17.25" hidden="1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19.5" hidden="1" customHeight="1">
      <c r="A59" s="21">
        <v>17</v>
      </c>
      <c r="B59" s="58" t="s">
        <v>105</v>
      </c>
      <c r="C59" s="59" t="s">
        <v>80</v>
      </c>
      <c r="D59" s="58" t="s">
        <v>106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F59/6*G59</f>
        <v>1830.360664</v>
      </c>
    </row>
    <row r="60" spans="1:9" ht="19.5" customHeight="1">
      <c r="A60" s="21"/>
      <c r="B60" s="113" t="s">
        <v>154</v>
      </c>
      <c r="C60" s="109"/>
      <c r="D60" s="108"/>
      <c r="E60" s="110"/>
      <c r="F60" s="114"/>
      <c r="G60" s="27"/>
      <c r="H60" s="95"/>
      <c r="I60" s="10"/>
    </row>
    <row r="61" spans="1:9" ht="19.5" customHeight="1">
      <c r="A61" s="21">
        <v>11</v>
      </c>
      <c r="B61" s="94" t="s">
        <v>148</v>
      </c>
      <c r="C61" s="115" t="s">
        <v>149</v>
      </c>
      <c r="D61" s="94" t="s">
        <v>170</v>
      </c>
      <c r="E61" s="128">
        <v>120</v>
      </c>
      <c r="F61" s="114">
        <f>E61*12</f>
        <v>1440</v>
      </c>
      <c r="G61" s="27">
        <v>1.4</v>
      </c>
      <c r="H61" s="71"/>
      <c r="I61" s="10">
        <f>G61*F61/12</f>
        <v>167.99999999999997</v>
      </c>
    </row>
    <row r="62" spans="1:9" ht="19.5" hidden="1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8.75" hidden="1" customHeight="1">
      <c r="A63" s="21">
        <v>14</v>
      </c>
      <c r="B63" s="11" t="s">
        <v>44</v>
      </c>
      <c r="C63" s="13" t="s">
        <v>104</v>
      </c>
      <c r="D63" s="11" t="s">
        <v>172</v>
      </c>
      <c r="E63" s="15">
        <v>8</v>
      </c>
      <c r="F63" s="61">
        <v>8</v>
      </c>
      <c r="G63" s="90">
        <v>318.82</v>
      </c>
      <c r="H63" s="72">
        <f t="shared" ref="H63:H79" si="7">SUM(F63*G63/1000)</f>
        <v>2.5505599999999999</v>
      </c>
      <c r="I63" s="10">
        <f>G63*2</f>
        <v>637.64</v>
      </c>
    </row>
    <row r="64" spans="1:9" ht="20.2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7"/>
        <v>0.24453000000000003</v>
      </c>
      <c r="I64" s="10">
        <v>0</v>
      </c>
    </row>
    <row r="65" spans="1:9" ht="16.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7"/>
        <v>19.3655981</v>
      </c>
      <c r="I65" s="10">
        <v>0</v>
      </c>
    </row>
    <row r="66" spans="1:9" ht="18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7"/>
        <v>1.5080727900000002</v>
      </c>
      <c r="I66" s="10">
        <v>0</v>
      </c>
    </row>
    <row r="67" spans="1:9" ht="18.7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7"/>
        <v>30.383586000000005</v>
      </c>
      <c r="I67" s="10">
        <v>0</v>
      </c>
    </row>
    <row r="68" spans="1:9" ht="18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7"/>
        <v>0.38403000000000004</v>
      </c>
      <c r="I68" s="10">
        <v>0</v>
      </c>
    </row>
    <row r="69" spans="1:9" ht="25.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7"/>
        <v>0.35829</v>
      </c>
      <c r="I69" s="10">
        <v>0</v>
      </c>
    </row>
    <row r="70" spans="1:9" ht="18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7"/>
        <v>0.16085999999999998</v>
      </c>
      <c r="I70" s="10">
        <v>0</v>
      </c>
    </row>
    <row r="71" spans="1:9" ht="18" customHeight="1">
      <c r="A71" s="21"/>
      <c r="B71" s="116" t="s">
        <v>156</v>
      </c>
      <c r="C71" s="117"/>
      <c r="D71" s="118"/>
      <c r="E71" s="119"/>
      <c r="F71" s="120"/>
      <c r="G71" s="120"/>
      <c r="H71" s="10"/>
      <c r="I71" s="10"/>
    </row>
    <row r="72" spans="1:9" ht="29.25" customHeight="1">
      <c r="A72" s="21">
        <v>12</v>
      </c>
      <c r="B72" s="94" t="s">
        <v>157</v>
      </c>
      <c r="C72" s="121" t="s">
        <v>158</v>
      </c>
      <c r="D72" s="118"/>
      <c r="E72" s="119">
        <v>2054.6</v>
      </c>
      <c r="F72" s="120">
        <f>E72*12</f>
        <v>24655.199999999997</v>
      </c>
      <c r="G72" s="120">
        <v>2.4900000000000002</v>
      </c>
      <c r="H72" s="10"/>
      <c r="I72" s="10">
        <f>G72*F72/12</f>
        <v>5115.9539999999997</v>
      </c>
    </row>
    <row r="73" spans="1:9" ht="15" customHeight="1">
      <c r="A73" s="21"/>
      <c r="B73" s="80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21.75" hidden="1" customHeight="1">
      <c r="A74" s="21">
        <v>18</v>
      </c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7"/>
        <v>0.10724600000000001</v>
      </c>
      <c r="I74" s="10">
        <f>G74*0.2</f>
        <v>107.24600000000001</v>
      </c>
    </row>
    <row r="75" spans="1:9" ht="16.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8.7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8.75" customHeight="1">
      <c r="A77" s="21">
        <v>13</v>
      </c>
      <c r="B77" s="94" t="s">
        <v>155</v>
      </c>
      <c r="C77" s="115" t="s">
        <v>104</v>
      </c>
      <c r="D77" s="94" t="s">
        <v>171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6.5" hidden="1" customHeight="1">
      <c r="A78" s="21"/>
      <c r="B78" s="74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7.25" hidden="1" customHeight="1">
      <c r="A79" s="21">
        <v>13</v>
      </c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7"/>
        <v>3.9822975</v>
      </c>
      <c r="I79" s="10">
        <f>G79*0.12</f>
        <v>353.98199999999997</v>
      </c>
    </row>
    <row r="80" spans="1:9" ht="17.25" customHeight="1">
      <c r="A80" s="21"/>
      <c r="B80" s="53" t="s">
        <v>86</v>
      </c>
      <c r="C80" s="75"/>
      <c r="D80" s="23"/>
      <c r="E80" s="24"/>
      <c r="F80" s="64"/>
      <c r="G80" s="64"/>
      <c r="H80" s="76">
        <f>SUM(H59:H79)</f>
        <v>71.322334374000008</v>
      </c>
      <c r="I80" s="64"/>
    </row>
    <row r="81" spans="1:9" ht="21" customHeight="1">
      <c r="A81" s="21">
        <v>14</v>
      </c>
      <c r="B81" s="58" t="s">
        <v>111</v>
      </c>
      <c r="C81" s="13"/>
      <c r="D81" s="11"/>
      <c r="E81" s="77"/>
      <c r="F81" s="10">
        <v>1</v>
      </c>
      <c r="G81" s="10">
        <v>304.8</v>
      </c>
      <c r="H81" s="72">
        <f>G81*F81/1000</f>
        <v>0.30480000000000002</v>
      </c>
      <c r="I81" s="10">
        <f>G81*1</f>
        <v>304.8</v>
      </c>
    </row>
    <row r="82" spans="1:9" ht="15.75" customHeight="1">
      <c r="A82" s="163" t="s">
        <v>134</v>
      </c>
      <c r="B82" s="164"/>
      <c r="C82" s="164"/>
      <c r="D82" s="164"/>
      <c r="E82" s="164"/>
      <c r="F82" s="164"/>
      <c r="G82" s="164"/>
      <c r="H82" s="164"/>
      <c r="I82" s="165"/>
    </row>
    <row r="83" spans="1:9" ht="15.75" customHeight="1">
      <c r="A83" s="21">
        <v>15</v>
      </c>
      <c r="B83" s="94" t="s">
        <v>112</v>
      </c>
      <c r="C83" s="115" t="s">
        <v>53</v>
      </c>
      <c r="D83" s="133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16</v>
      </c>
      <c r="B84" s="94" t="s">
        <v>159</v>
      </c>
      <c r="C84" s="115" t="s">
        <v>53</v>
      </c>
      <c r="D84" s="131"/>
      <c r="E84" s="132">
        <f>E83</f>
        <v>2054.6</v>
      </c>
      <c r="F84" s="124">
        <f>E84*12</f>
        <v>24655.199999999997</v>
      </c>
      <c r="G84" s="124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I84+I83+I81+I77+I72+I61+I45+I42+I41+I39+I38++I21+I20+I18+I17+I16</f>
        <v>35554.258057499988</v>
      </c>
    </row>
    <row r="86" spans="1:9" ht="15.75" customHeight="1">
      <c r="A86" s="177" t="s">
        <v>58</v>
      </c>
      <c r="B86" s="178"/>
      <c r="C86" s="178"/>
      <c r="D86" s="178"/>
      <c r="E86" s="178"/>
      <c r="F86" s="178"/>
      <c r="G86" s="178"/>
      <c r="H86" s="178"/>
      <c r="I86" s="179"/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v>0</v>
      </c>
    </row>
    <row r="88" spans="1:9" ht="15.75" customHeight="1">
      <c r="A88" s="21"/>
      <c r="B88" s="36" t="s">
        <v>75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50</v>
      </c>
      <c r="C89" s="26"/>
      <c r="D89" s="26"/>
      <c r="E89" s="26"/>
      <c r="F89" s="26"/>
      <c r="G89" s="26"/>
      <c r="H89" s="26"/>
      <c r="I89" s="33">
        <f>I85+I87</f>
        <v>35554.258057499988</v>
      </c>
    </row>
    <row r="90" spans="1:9" ht="15.75">
      <c r="A90" s="176" t="s">
        <v>258</v>
      </c>
      <c r="B90" s="176"/>
      <c r="C90" s="176"/>
      <c r="D90" s="176"/>
      <c r="E90" s="176"/>
      <c r="F90" s="176"/>
      <c r="G90" s="176"/>
      <c r="H90" s="176"/>
      <c r="I90" s="176"/>
    </row>
    <row r="91" spans="1:9" ht="15.75">
      <c r="A91" s="46"/>
      <c r="B91" s="171" t="s">
        <v>259</v>
      </c>
      <c r="C91" s="171"/>
      <c r="D91" s="171"/>
      <c r="E91" s="171"/>
      <c r="F91" s="171"/>
      <c r="G91" s="171"/>
      <c r="H91" s="57"/>
      <c r="I91" s="2"/>
    </row>
    <row r="92" spans="1:9">
      <c r="A92" s="85"/>
      <c r="B92" s="167" t="s">
        <v>6</v>
      </c>
      <c r="C92" s="167"/>
      <c r="D92" s="167"/>
      <c r="E92" s="167"/>
      <c r="F92" s="167"/>
      <c r="G92" s="167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72" t="s">
        <v>7</v>
      </c>
      <c r="B94" s="172"/>
      <c r="C94" s="172"/>
      <c r="D94" s="172"/>
      <c r="E94" s="172"/>
      <c r="F94" s="172"/>
      <c r="G94" s="172"/>
      <c r="H94" s="172"/>
      <c r="I94" s="172"/>
    </row>
    <row r="95" spans="1:9" ht="15.75">
      <c r="A95" s="172" t="s">
        <v>8</v>
      </c>
      <c r="B95" s="172"/>
      <c r="C95" s="172"/>
      <c r="D95" s="172"/>
      <c r="E95" s="172"/>
      <c r="F95" s="172"/>
      <c r="G95" s="172"/>
      <c r="H95" s="172"/>
      <c r="I95" s="172"/>
    </row>
    <row r="96" spans="1:9" ht="15.75">
      <c r="A96" s="173" t="s">
        <v>59</v>
      </c>
      <c r="B96" s="173"/>
      <c r="C96" s="173"/>
      <c r="D96" s="173"/>
      <c r="E96" s="173"/>
      <c r="F96" s="173"/>
      <c r="G96" s="173"/>
      <c r="H96" s="173"/>
      <c r="I96" s="173"/>
    </row>
    <row r="97" spans="1:9" ht="15.75">
      <c r="A97" s="8"/>
    </row>
    <row r="98" spans="1:9" ht="15.75">
      <c r="A98" s="174" t="s">
        <v>9</v>
      </c>
      <c r="B98" s="174"/>
      <c r="C98" s="174"/>
      <c r="D98" s="174"/>
      <c r="E98" s="174"/>
      <c r="F98" s="174"/>
      <c r="G98" s="174"/>
      <c r="H98" s="174"/>
      <c r="I98" s="174"/>
    </row>
    <row r="99" spans="1:9" ht="15.75">
      <c r="A99" s="3"/>
    </row>
    <row r="100" spans="1:9" ht="15.75">
      <c r="B100" s="82" t="s">
        <v>10</v>
      </c>
      <c r="C100" s="166" t="s">
        <v>192</v>
      </c>
      <c r="D100" s="166"/>
      <c r="E100" s="166"/>
      <c r="F100" s="55"/>
      <c r="I100" s="84"/>
    </row>
    <row r="101" spans="1:9">
      <c r="A101" s="85"/>
      <c r="C101" s="167" t="s">
        <v>11</v>
      </c>
      <c r="D101" s="167"/>
      <c r="E101" s="167"/>
      <c r="F101" s="16"/>
      <c r="I101" s="83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82" t="s">
        <v>13</v>
      </c>
      <c r="C103" s="168"/>
      <c r="D103" s="168"/>
      <c r="E103" s="168"/>
      <c r="F103" s="56"/>
      <c r="I103" s="84"/>
    </row>
    <row r="104" spans="1:9">
      <c r="A104" s="85"/>
      <c r="C104" s="169" t="s">
        <v>11</v>
      </c>
      <c r="D104" s="169"/>
      <c r="E104" s="169"/>
      <c r="F104" s="85"/>
      <c r="I104" s="83" t="s">
        <v>12</v>
      </c>
    </row>
    <row r="105" spans="1:9" ht="15.75">
      <c r="A105" s="3" t="s">
        <v>14</v>
      </c>
    </row>
    <row r="106" spans="1:9">
      <c r="A106" s="170" t="s">
        <v>15</v>
      </c>
      <c r="B106" s="170"/>
      <c r="C106" s="170"/>
      <c r="D106" s="170"/>
      <c r="E106" s="170"/>
      <c r="F106" s="170"/>
      <c r="G106" s="170"/>
      <c r="H106" s="170"/>
      <c r="I106" s="170"/>
    </row>
    <row r="107" spans="1:9" ht="45" customHeight="1">
      <c r="A107" s="162" t="s">
        <v>16</v>
      </c>
      <c r="B107" s="162"/>
      <c r="C107" s="162"/>
      <c r="D107" s="162"/>
      <c r="E107" s="162"/>
      <c r="F107" s="162"/>
      <c r="G107" s="162"/>
      <c r="H107" s="162"/>
      <c r="I107" s="162"/>
    </row>
    <row r="108" spans="1:9" ht="30" customHeight="1">
      <c r="A108" s="162" t="s">
        <v>17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30" customHeight="1">
      <c r="A109" s="162" t="s">
        <v>21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15" customHeight="1">
      <c r="A110" s="162" t="s">
        <v>20</v>
      </c>
      <c r="B110" s="162"/>
      <c r="C110" s="162"/>
      <c r="D110" s="162"/>
      <c r="E110" s="162"/>
      <c r="F110" s="162"/>
      <c r="G110" s="162"/>
      <c r="H110" s="162"/>
      <c r="I110" s="162"/>
    </row>
  </sheetData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6:I46"/>
    <mergeCell ref="A57:I57"/>
    <mergeCell ref="A82:I82"/>
    <mergeCell ref="A86:I86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8"/>
  <sheetViews>
    <sheetView tabSelected="1" topLeftCell="A95" workbookViewId="0">
      <selection activeCell="I100" sqref="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147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260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81"/>
      <c r="C6" s="81"/>
      <c r="D6" s="81"/>
      <c r="E6" s="81"/>
      <c r="F6" s="81"/>
      <c r="G6" s="81"/>
      <c r="H6" s="81"/>
      <c r="I6" s="22">
        <v>44561</v>
      </c>
    </row>
    <row r="7" spans="1:9" ht="15.75">
      <c r="B7" s="82"/>
      <c r="C7" s="82"/>
      <c r="D7" s="82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6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63" t="s">
        <v>78</v>
      </c>
      <c r="B29" s="164"/>
      <c r="C29" s="164"/>
      <c r="D29" s="164"/>
      <c r="E29" s="164"/>
      <c r="F29" s="164"/>
      <c r="G29" s="164"/>
      <c r="H29" s="164"/>
      <c r="I29" s="165"/>
    </row>
    <row r="30" spans="1:9" ht="15.75" hidden="1" customHeight="1">
      <c r="A30" s="21"/>
      <c r="B30" s="78" t="s">
        <v>27</v>
      </c>
      <c r="C30" s="59"/>
      <c r="D30" s="58"/>
      <c r="E30" s="60"/>
      <c r="F30" s="61"/>
      <c r="G30" s="61"/>
      <c r="H30" s="62"/>
      <c r="I30" s="10"/>
    </row>
    <row r="31" spans="1:9" ht="15.75" hidden="1" customHeight="1">
      <c r="A31" s="21">
        <v>7</v>
      </c>
      <c r="B31" s="58" t="s">
        <v>102</v>
      </c>
      <c r="C31" s="59" t="s">
        <v>83</v>
      </c>
      <c r="D31" s="58" t="s">
        <v>144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58" t="s">
        <v>101</v>
      </c>
      <c r="C32" s="59" t="s">
        <v>83</v>
      </c>
      <c r="D32" s="58" t="s">
        <v>145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83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58" t="s">
        <v>100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62</v>
      </c>
      <c r="C35" s="59" t="s">
        <v>31</v>
      </c>
      <c r="D35" s="58" t="s">
        <v>64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63</v>
      </c>
      <c r="C36" s="59" t="s">
        <v>30</v>
      </c>
      <c r="D36" s="58" t="s">
        <v>64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8" t="s">
        <v>5</v>
      </c>
      <c r="C37" s="59"/>
      <c r="D37" s="58"/>
      <c r="E37" s="60"/>
      <c r="F37" s="61"/>
      <c r="G37" s="61"/>
      <c r="H37" s="62" t="s">
        <v>113</v>
      </c>
      <c r="I37" s="10"/>
    </row>
    <row r="38" spans="1:9" ht="15.75" customHeight="1">
      <c r="A38" s="21">
        <v>6</v>
      </c>
      <c r="B38" s="58" t="s">
        <v>25</v>
      </c>
      <c r="C38" s="59" t="s">
        <v>30</v>
      </c>
      <c r="D38" s="58" t="s">
        <v>261</v>
      </c>
      <c r="E38" s="60"/>
      <c r="F38" s="61">
        <v>5</v>
      </c>
      <c r="G38" s="147">
        <v>1855</v>
      </c>
      <c r="H38" s="62">
        <f t="shared" ref="H38" si="4">SUM(F38*G38/1000)</f>
        <v>9.2750000000000004</v>
      </c>
      <c r="I38" s="10">
        <f>G38*1</f>
        <v>1855</v>
      </c>
    </row>
    <row r="39" spans="1:9" ht="15.75" customHeight="1">
      <c r="A39" s="21">
        <v>7</v>
      </c>
      <c r="B39" s="105" t="s">
        <v>117</v>
      </c>
      <c r="C39" s="106" t="s">
        <v>28</v>
      </c>
      <c r="D39" s="25" t="s">
        <v>179</v>
      </c>
      <c r="E39" s="102">
        <v>186.39</v>
      </c>
      <c r="F39" s="107">
        <f>E39*30/1000</f>
        <v>5.5916999999999994</v>
      </c>
      <c r="G39" s="103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126</v>
      </c>
      <c r="C40" s="29" t="s">
        <v>127</v>
      </c>
      <c r="D40" s="25" t="s">
        <v>153</v>
      </c>
      <c r="E40" s="102"/>
      <c r="F40" s="107">
        <v>13</v>
      </c>
      <c r="G40" s="103">
        <v>330</v>
      </c>
      <c r="H40" s="62">
        <f>G40*F40/1000</f>
        <v>4.29</v>
      </c>
      <c r="I40" s="10">
        <v>0</v>
      </c>
    </row>
    <row r="41" spans="1:9" ht="15.75" customHeight="1">
      <c r="A41" s="21">
        <v>8</v>
      </c>
      <c r="B41" s="25" t="s">
        <v>65</v>
      </c>
      <c r="C41" s="29" t="s">
        <v>28</v>
      </c>
      <c r="D41" s="25" t="s">
        <v>169</v>
      </c>
      <c r="E41" s="103">
        <v>186.39</v>
      </c>
      <c r="F41" s="107">
        <f>SUM(E41*155/1000)</f>
        <v>28.890449999999998</v>
      </c>
      <c r="G41" s="103">
        <v>502.82</v>
      </c>
      <c r="H41" s="62">
        <f t="shared" ref="H41:H44" si="5">SUM(F41*G41/1000)</f>
        <v>14.526696068999998</v>
      </c>
      <c r="I41" s="10">
        <f>F41/6*G41</f>
        <v>2421.1160114999998</v>
      </c>
    </row>
    <row r="42" spans="1:9" ht="47.25" customHeight="1">
      <c r="A42" s="21">
        <v>9</v>
      </c>
      <c r="B42" s="25" t="s">
        <v>77</v>
      </c>
      <c r="C42" s="29" t="s">
        <v>83</v>
      </c>
      <c r="D42" s="25" t="s">
        <v>168</v>
      </c>
      <c r="E42" s="103">
        <v>52.2</v>
      </c>
      <c r="F42" s="107">
        <f>E42*24/1000</f>
        <v>1.2528000000000001</v>
      </c>
      <c r="G42" s="103">
        <v>8319.2999999999993</v>
      </c>
      <c r="H42" s="62">
        <f t="shared" si="5"/>
        <v>10.422419040000001</v>
      </c>
      <c r="I42" s="10">
        <f>F42/6*G42</f>
        <v>1737.0698399999999</v>
      </c>
    </row>
    <row r="43" spans="1:9" ht="15.75" hidden="1" customHeight="1">
      <c r="A43" s="21">
        <v>11</v>
      </c>
      <c r="B43" s="25" t="s">
        <v>119</v>
      </c>
      <c r="C43" s="29" t="s">
        <v>83</v>
      </c>
      <c r="D43" s="25" t="s">
        <v>172</v>
      </c>
      <c r="E43" s="103">
        <v>52.2</v>
      </c>
      <c r="F43" s="107">
        <f>SUM(E43*15/1000)</f>
        <v>0.78300000000000003</v>
      </c>
      <c r="G43" s="103">
        <v>614.55999999999995</v>
      </c>
      <c r="H43" s="62">
        <f t="shared" si="5"/>
        <v>0.48120047999999999</v>
      </c>
      <c r="I43" s="10">
        <f>F43/7.5*G43</f>
        <v>64.160063999999991</v>
      </c>
    </row>
    <row r="44" spans="1:9" ht="15.75" hidden="1" customHeight="1">
      <c r="A44" s="21">
        <v>12</v>
      </c>
      <c r="B44" s="105" t="s">
        <v>67</v>
      </c>
      <c r="C44" s="106" t="s">
        <v>31</v>
      </c>
      <c r="D44" s="105"/>
      <c r="E44" s="104"/>
      <c r="F44" s="107">
        <v>0.5</v>
      </c>
      <c r="G44" s="107">
        <v>800</v>
      </c>
      <c r="H44" s="62">
        <f t="shared" si="5"/>
        <v>0.4</v>
      </c>
      <c r="I44" s="10">
        <f>F44/7.5*G44</f>
        <v>53.333333333333336</v>
      </c>
    </row>
    <row r="45" spans="1:9" ht="31.5" customHeight="1">
      <c r="A45" s="21">
        <v>10</v>
      </c>
      <c r="B45" s="146" t="s">
        <v>152</v>
      </c>
      <c r="C45" s="106" t="s">
        <v>83</v>
      </c>
      <c r="D45" s="105" t="s">
        <v>172</v>
      </c>
      <c r="E45" s="104">
        <v>1.8</v>
      </c>
      <c r="F45" s="107">
        <f>E45*12/1000</f>
        <v>2.1600000000000001E-2</v>
      </c>
      <c r="G45" s="107">
        <v>19757.060000000001</v>
      </c>
      <c r="H45" s="54"/>
      <c r="I45" s="10">
        <f>G45*F45/6</f>
        <v>71.125416000000016</v>
      </c>
    </row>
    <row r="46" spans="1:9" ht="15.75" customHeight="1">
      <c r="A46" s="163" t="s">
        <v>122</v>
      </c>
      <c r="B46" s="164"/>
      <c r="C46" s="164"/>
      <c r="D46" s="164"/>
      <c r="E46" s="164"/>
      <c r="F46" s="164"/>
      <c r="G46" s="164"/>
      <c r="H46" s="164"/>
      <c r="I46" s="165"/>
    </row>
    <row r="47" spans="1:9" ht="15.7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6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6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6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6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6"/>
        <v>0.10041360000000001</v>
      </c>
      <c r="I51" s="10">
        <v>0</v>
      </c>
    </row>
    <row r="52" spans="1:9" ht="15.75" customHeight="1">
      <c r="A52" s="21">
        <v>11</v>
      </c>
      <c r="B52" s="25" t="s">
        <v>54</v>
      </c>
      <c r="C52" s="29" t="s">
        <v>83</v>
      </c>
      <c r="D52" s="25" t="s">
        <v>170</v>
      </c>
      <c r="E52" s="102">
        <v>2054.6</v>
      </c>
      <c r="F52" s="103">
        <f>SUM(E52*5/1000)</f>
        <v>10.273</v>
      </c>
      <c r="G52" s="90">
        <v>1739.68</v>
      </c>
      <c r="H52" s="62">
        <f t="shared" si="6"/>
        <v>17.871732639999998</v>
      </c>
      <c r="I52" s="10">
        <f>F52/5*G52</f>
        <v>3574.3465279999996</v>
      </c>
    </row>
    <row r="53" spans="1:9" ht="31.5" hidden="1" customHeight="1">
      <c r="A53" s="21">
        <v>14</v>
      </c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6"/>
        <v>1.7601495039999999</v>
      </c>
      <c r="I53" s="10">
        <f>F53/2*G53</f>
        <v>880.07475199999999</v>
      </c>
    </row>
    <row r="54" spans="1:9" ht="31.5" hidden="1" customHeight="1">
      <c r="A54" s="21">
        <v>15</v>
      </c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6"/>
        <v>0.70053359999999998</v>
      </c>
      <c r="I54" s="10">
        <f t="shared" ref="I54:I55" si="7">F54/2*G54</f>
        <v>350.26679999999999</v>
      </c>
    </row>
    <row r="55" spans="1:9" ht="15.75" hidden="1" customHeight="1">
      <c r="A55" s="21">
        <v>16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6"/>
        <v>0.1208424</v>
      </c>
      <c r="I55" s="10">
        <f t="shared" si="7"/>
        <v>60.421199999999999</v>
      </c>
    </row>
    <row r="56" spans="1:9" ht="15.75" hidden="1" customHeight="1">
      <c r="A56" s="21">
        <v>13</v>
      </c>
      <c r="B56" s="58" t="s">
        <v>40</v>
      </c>
      <c r="C56" s="59" t="s">
        <v>104</v>
      </c>
      <c r="D56" s="152">
        <v>44176</v>
      </c>
      <c r="E56" s="60">
        <v>72</v>
      </c>
      <c r="F56" s="61">
        <f>SUM(E56)*3</f>
        <v>216</v>
      </c>
      <c r="G56" s="151">
        <v>87.32</v>
      </c>
      <c r="H56" s="62">
        <f t="shared" si="6"/>
        <v>18.86112</v>
      </c>
      <c r="I56" s="10">
        <f>E56*G56</f>
        <v>6287.0399999999991</v>
      </c>
    </row>
    <row r="57" spans="1:9" ht="15.75" customHeight="1">
      <c r="A57" s="163" t="s">
        <v>123</v>
      </c>
      <c r="B57" s="164"/>
      <c r="C57" s="164"/>
      <c r="D57" s="164"/>
      <c r="E57" s="164"/>
      <c r="F57" s="164"/>
      <c r="G57" s="164"/>
      <c r="H57" s="164"/>
      <c r="I57" s="165"/>
    </row>
    <row r="58" spans="1:9" ht="15.75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31.5" customHeight="1">
      <c r="A59" s="21">
        <v>12</v>
      </c>
      <c r="B59" s="58" t="s">
        <v>105</v>
      </c>
      <c r="C59" s="59" t="s">
        <v>80</v>
      </c>
      <c r="D59" s="58"/>
      <c r="E59" s="60">
        <v>110.66</v>
      </c>
      <c r="F59" s="61">
        <f>SUM(E59*6/100)</f>
        <v>6.6396000000000006</v>
      </c>
      <c r="G59" s="90">
        <v>2218.11</v>
      </c>
      <c r="H59" s="62">
        <f>SUM(F59*G59/1000)</f>
        <v>14.727363156000003</v>
      </c>
      <c r="I59" s="10">
        <f>G59*0.64</f>
        <v>1419.5904</v>
      </c>
    </row>
    <row r="60" spans="1:9" ht="17.25" customHeight="1">
      <c r="A60" s="21">
        <v>13</v>
      </c>
      <c r="B60" s="108" t="s">
        <v>128</v>
      </c>
      <c r="C60" s="109" t="s">
        <v>129</v>
      </c>
      <c r="D60" s="108" t="s">
        <v>214</v>
      </c>
      <c r="E60" s="110"/>
      <c r="F60" s="111">
        <v>5</v>
      </c>
      <c r="G60" s="112">
        <v>1730</v>
      </c>
      <c r="H60" s="95"/>
      <c r="I60" s="10">
        <f>G60*1</f>
        <v>1730</v>
      </c>
    </row>
    <row r="61" spans="1:9" ht="20.25" customHeight="1">
      <c r="A61" s="21"/>
      <c r="B61" s="113" t="s">
        <v>154</v>
      </c>
      <c r="C61" s="109"/>
      <c r="D61" s="108"/>
      <c r="E61" s="110"/>
      <c r="F61" s="114"/>
      <c r="G61" s="27"/>
      <c r="H61" s="95"/>
      <c r="I61" s="10"/>
    </row>
    <row r="62" spans="1:9" ht="17.25" customHeight="1">
      <c r="A62" s="21">
        <v>14</v>
      </c>
      <c r="B62" s="94" t="s">
        <v>148</v>
      </c>
      <c r="C62" s="115" t="s">
        <v>149</v>
      </c>
      <c r="D62" s="94" t="s">
        <v>170</v>
      </c>
      <c r="E62" s="128">
        <v>120</v>
      </c>
      <c r="F62" s="114">
        <f>E62*12</f>
        <v>1440</v>
      </c>
      <c r="G62" s="27">
        <v>1.4</v>
      </c>
      <c r="H62" s="71"/>
      <c r="I62" s="10">
        <f>G62*F62/12</f>
        <v>167.99999999999997</v>
      </c>
    </row>
    <row r="63" spans="1:9" ht="17.25" hidden="1" customHeight="1">
      <c r="A63" s="21"/>
      <c r="B63" s="79" t="s">
        <v>43</v>
      </c>
      <c r="C63" s="67"/>
      <c r="D63" s="68"/>
      <c r="E63" s="69"/>
      <c r="F63" s="70"/>
      <c r="G63" s="70"/>
      <c r="H63" s="71" t="s">
        <v>113</v>
      </c>
      <c r="I63" s="10"/>
    </row>
    <row r="64" spans="1:9" ht="18" hidden="1" customHeight="1">
      <c r="A64" s="21">
        <v>14</v>
      </c>
      <c r="B64" s="11" t="s">
        <v>44</v>
      </c>
      <c r="C64" s="13" t="s">
        <v>104</v>
      </c>
      <c r="D64" s="11" t="s">
        <v>64</v>
      </c>
      <c r="E64" s="15">
        <v>8</v>
      </c>
      <c r="F64" s="61">
        <v>8</v>
      </c>
      <c r="G64" s="10">
        <v>237.74</v>
      </c>
      <c r="H64" s="72">
        <f t="shared" ref="H64:H80" si="8">SUM(F64*G64/1000)</f>
        <v>1.9019200000000001</v>
      </c>
      <c r="I64" s="10">
        <f>G64*1</f>
        <v>237.74</v>
      </c>
    </row>
    <row r="65" spans="1:9" ht="24.75" hidden="1" customHeight="1">
      <c r="A65" s="21"/>
      <c r="B65" s="11" t="s">
        <v>45</v>
      </c>
      <c r="C65" s="13" t="s">
        <v>104</v>
      </c>
      <c r="D65" s="11" t="s">
        <v>64</v>
      </c>
      <c r="E65" s="15">
        <v>3</v>
      </c>
      <c r="F65" s="61">
        <v>3</v>
      </c>
      <c r="G65" s="10">
        <v>81.510000000000005</v>
      </c>
      <c r="H65" s="72">
        <f t="shared" si="8"/>
        <v>0.24453000000000003</v>
      </c>
      <c r="I65" s="10">
        <v>0</v>
      </c>
    </row>
    <row r="66" spans="1:9" ht="21" hidden="1" customHeight="1">
      <c r="A66" s="21"/>
      <c r="B66" s="11" t="s">
        <v>46</v>
      </c>
      <c r="C66" s="13" t="s">
        <v>107</v>
      </c>
      <c r="D66" s="11" t="s">
        <v>52</v>
      </c>
      <c r="E66" s="60">
        <v>8539</v>
      </c>
      <c r="F66" s="10">
        <f>SUM(E66/100)</f>
        <v>85.39</v>
      </c>
      <c r="G66" s="10">
        <v>226.79</v>
      </c>
      <c r="H66" s="72">
        <f t="shared" si="8"/>
        <v>19.3655981</v>
      </c>
      <c r="I66" s="10">
        <v>0</v>
      </c>
    </row>
    <row r="67" spans="1:9" ht="18.75" hidden="1" customHeight="1">
      <c r="A67" s="21"/>
      <c r="B67" s="11" t="s">
        <v>47</v>
      </c>
      <c r="C67" s="13" t="s">
        <v>108</v>
      </c>
      <c r="D67" s="11"/>
      <c r="E67" s="60">
        <v>8539</v>
      </c>
      <c r="F67" s="10">
        <f>SUM(E67/1000)</f>
        <v>8.5389999999999997</v>
      </c>
      <c r="G67" s="10">
        <v>176.61</v>
      </c>
      <c r="H67" s="72">
        <f t="shared" si="8"/>
        <v>1.5080727900000002</v>
      </c>
      <c r="I67" s="10">
        <v>0</v>
      </c>
    </row>
    <row r="68" spans="1:9" ht="21" hidden="1" customHeight="1">
      <c r="A68" s="21"/>
      <c r="B68" s="11" t="s">
        <v>48</v>
      </c>
      <c r="C68" s="13" t="s">
        <v>74</v>
      </c>
      <c r="D68" s="11" t="s">
        <v>52</v>
      </c>
      <c r="E68" s="60">
        <v>1370</v>
      </c>
      <c r="F68" s="10">
        <f>SUM(E68/100)</f>
        <v>13.7</v>
      </c>
      <c r="G68" s="10">
        <v>2217.7800000000002</v>
      </c>
      <c r="H68" s="72">
        <f t="shared" si="8"/>
        <v>30.383586000000005</v>
      </c>
      <c r="I68" s="10">
        <v>0</v>
      </c>
    </row>
    <row r="69" spans="1:9" ht="19.5" hidden="1" customHeight="1">
      <c r="A69" s="21"/>
      <c r="B69" s="73" t="s">
        <v>109</v>
      </c>
      <c r="C69" s="13" t="s">
        <v>31</v>
      </c>
      <c r="D69" s="11"/>
      <c r="E69" s="60">
        <v>9</v>
      </c>
      <c r="F69" s="10">
        <f>SUM(E69)</f>
        <v>9</v>
      </c>
      <c r="G69" s="10">
        <v>42.67</v>
      </c>
      <c r="H69" s="72">
        <f t="shared" si="8"/>
        <v>0.38403000000000004</v>
      </c>
      <c r="I69" s="10">
        <v>0</v>
      </c>
    </row>
    <row r="70" spans="1:9" ht="21" hidden="1" customHeight="1">
      <c r="A70" s="21"/>
      <c r="B70" s="73" t="s">
        <v>110</v>
      </c>
      <c r="C70" s="13" t="s">
        <v>31</v>
      </c>
      <c r="D70" s="11"/>
      <c r="E70" s="60">
        <v>9</v>
      </c>
      <c r="F70" s="10">
        <f>SUM(E70)</f>
        <v>9</v>
      </c>
      <c r="G70" s="10">
        <v>39.81</v>
      </c>
      <c r="H70" s="72">
        <f t="shared" si="8"/>
        <v>0.35829</v>
      </c>
      <c r="I70" s="10">
        <v>0</v>
      </c>
    </row>
    <row r="71" spans="1:9" ht="18" hidden="1" customHeight="1">
      <c r="A71" s="21"/>
      <c r="B71" s="11" t="s">
        <v>55</v>
      </c>
      <c r="C71" s="13" t="s">
        <v>56</v>
      </c>
      <c r="D71" s="11" t="s">
        <v>52</v>
      </c>
      <c r="E71" s="15">
        <v>3</v>
      </c>
      <c r="F71" s="61">
        <v>3</v>
      </c>
      <c r="G71" s="10">
        <v>53.62</v>
      </c>
      <c r="H71" s="72">
        <f t="shared" si="8"/>
        <v>0.16085999999999998</v>
      </c>
      <c r="I71" s="10">
        <v>0</v>
      </c>
    </row>
    <row r="72" spans="1:9" ht="18" customHeight="1">
      <c r="A72" s="21"/>
      <c r="B72" s="116" t="s">
        <v>156</v>
      </c>
      <c r="C72" s="117"/>
      <c r="D72" s="118"/>
      <c r="E72" s="119"/>
      <c r="F72" s="120"/>
      <c r="G72" s="120"/>
      <c r="H72" s="10"/>
      <c r="I72" s="10"/>
    </row>
    <row r="73" spans="1:9" ht="30" customHeight="1">
      <c r="A73" s="21">
        <v>15</v>
      </c>
      <c r="B73" s="94" t="s">
        <v>157</v>
      </c>
      <c r="C73" s="121" t="s">
        <v>158</v>
      </c>
      <c r="D73" s="118"/>
      <c r="E73" s="119">
        <v>2054.6</v>
      </c>
      <c r="F73" s="120">
        <f>E73*12</f>
        <v>24655.199999999997</v>
      </c>
      <c r="G73" s="120">
        <v>2.4900000000000002</v>
      </c>
      <c r="H73" s="10"/>
      <c r="I73" s="10">
        <f>G73*F73/12</f>
        <v>5115.9539999999997</v>
      </c>
    </row>
    <row r="74" spans="1:9" ht="20.25" customHeight="1">
      <c r="A74" s="21"/>
      <c r="B74" s="80" t="s">
        <v>69</v>
      </c>
      <c r="C74" s="13"/>
      <c r="D74" s="11"/>
      <c r="E74" s="15"/>
      <c r="F74" s="10"/>
      <c r="G74" s="10"/>
      <c r="H74" s="72" t="s">
        <v>113</v>
      </c>
      <c r="I74" s="10"/>
    </row>
    <row r="75" spans="1:9" ht="23.25" hidden="1" customHeight="1">
      <c r="A75" s="21">
        <v>18</v>
      </c>
      <c r="B75" s="11" t="s">
        <v>70</v>
      </c>
      <c r="C75" s="13" t="s">
        <v>72</v>
      </c>
      <c r="D75" s="11"/>
      <c r="E75" s="15">
        <v>2</v>
      </c>
      <c r="F75" s="10">
        <v>0.2</v>
      </c>
      <c r="G75" s="10">
        <v>536.23</v>
      </c>
      <c r="H75" s="72">
        <f t="shared" si="8"/>
        <v>0.10724600000000001</v>
      </c>
      <c r="I75" s="10">
        <f>G75*0.2</f>
        <v>107.24600000000001</v>
      </c>
    </row>
    <row r="76" spans="1:9" ht="21.75" hidden="1" customHeight="1">
      <c r="A76" s="21"/>
      <c r="B76" s="11" t="s">
        <v>71</v>
      </c>
      <c r="C76" s="13" t="s">
        <v>29</v>
      </c>
      <c r="D76" s="11"/>
      <c r="E76" s="15">
        <v>1</v>
      </c>
      <c r="F76" s="54">
        <v>1</v>
      </c>
      <c r="G76" s="10">
        <v>911.85</v>
      </c>
      <c r="H76" s="72">
        <f>F76*G76/1000</f>
        <v>0.91185000000000005</v>
      </c>
      <c r="I76" s="10">
        <v>0</v>
      </c>
    </row>
    <row r="77" spans="1:9" ht="23.25" hidden="1" customHeight="1">
      <c r="A77" s="21"/>
      <c r="B77" s="11" t="s">
        <v>120</v>
      </c>
      <c r="C77" s="13" t="s">
        <v>29</v>
      </c>
      <c r="D77" s="11"/>
      <c r="E77" s="15">
        <v>1</v>
      </c>
      <c r="F77" s="10">
        <v>1</v>
      </c>
      <c r="G77" s="10">
        <v>383.25</v>
      </c>
      <c r="H77" s="72">
        <f>G77*F77/1000</f>
        <v>0.38324999999999998</v>
      </c>
      <c r="I77" s="10">
        <v>0</v>
      </c>
    </row>
    <row r="78" spans="1:9" ht="16.5" customHeight="1">
      <c r="A78" s="21">
        <v>16</v>
      </c>
      <c r="B78" s="94" t="s">
        <v>155</v>
      </c>
      <c r="C78" s="115" t="s">
        <v>104</v>
      </c>
      <c r="D78" s="94" t="s">
        <v>171</v>
      </c>
      <c r="E78" s="14">
        <v>2</v>
      </c>
      <c r="F78" s="27">
        <f>E78*12</f>
        <v>24</v>
      </c>
      <c r="G78" s="27">
        <v>404</v>
      </c>
      <c r="H78" s="72"/>
      <c r="I78" s="10">
        <f>G78*2</f>
        <v>808</v>
      </c>
    </row>
    <row r="79" spans="1:9" ht="24.75" hidden="1" customHeight="1">
      <c r="A79" s="21"/>
      <c r="B79" s="74" t="s">
        <v>73</v>
      </c>
      <c r="C79" s="13"/>
      <c r="D79" s="11"/>
      <c r="E79" s="15"/>
      <c r="F79" s="10"/>
      <c r="G79" s="10" t="s">
        <v>113</v>
      </c>
      <c r="H79" s="72" t="s">
        <v>113</v>
      </c>
      <c r="I79" s="10"/>
    </row>
    <row r="80" spans="1:9" ht="18.75" hidden="1" customHeight="1">
      <c r="A80" s="21"/>
      <c r="B80" s="36" t="s">
        <v>114</v>
      </c>
      <c r="C80" s="13" t="s">
        <v>74</v>
      </c>
      <c r="D80" s="11"/>
      <c r="E80" s="15"/>
      <c r="F80" s="10">
        <v>1.35</v>
      </c>
      <c r="G80" s="10">
        <v>2949.85</v>
      </c>
      <c r="H80" s="72">
        <f t="shared" si="8"/>
        <v>3.9822975</v>
      </c>
      <c r="I80" s="10">
        <v>0</v>
      </c>
    </row>
    <row r="81" spans="1:9" ht="18" hidden="1" customHeight="1">
      <c r="A81" s="21"/>
      <c r="B81" s="53" t="s">
        <v>86</v>
      </c>
      <c r="C81" s="75"/>
      <c r="D81" s="23"/>
      <c r="E81" s="24"/>
      <c r="F81" s="64"/>
      <c r="G81" s="64"/>
      <c r="H81" s="76">
        <f>SUM(H59:H80)</f>
        <v>74.418893546000007</v>
      </c>
      <c r="I81" s="64"/>
    </row>
    <row r="82" spans="1:9" ht="15" hidden="1" customHeight="1">
      <c r="A82" s="21">
        <v>17</v>
      </c>
      <c r="B82" s="58" t="s">
        <v>111</v>
      </c>
      <c r="C82" s="13"/>
      <c r="D82" s="11"/>
      <c r="E82" s="77"/>
      <c r="F82" s="10">
        <v>1</v>
      </c>
      <c r="G82" s="10">
        <v>74.8</v>
      </c>
      <c r="H82" s="72">
        <f>G82*F82/1000</f>
        <v>7.4799999999999991E-2</v>
      </c>
      <c r="I82" s="10">
        <f>G82*1</f>
        <v>74.8</v>
      </c>
    </row>
    <row r="83" spans="1:9" ht="15.75" customHeight="1">
      <c r="A83" s="163" t="s">
        <v>124</v>
      </c>
      <c r="B83" s="164"/>
      <c r="C83" s="164"/>
      <c r="D83" s="164"/>
      <c r="E83" s="164"/>
      <c r="F83" s="164"/>
      <c r="G83" s="164"/>
      <c r="H83" s="164"/>
      <c r="I83" s="165"/>
    </row>
    <row r="84" spans="1:9" ht="15.75" customHeight="1">
      <c r="A84" s="21">
        <v>17</v>
      </c>
      <c r="B84" s="94" t="s">
        <v>112</v>
      </c>
      <c r="C84" s="115" t="s">
        <v>53</v>
      </c>
      <c r="D84" s="133"/>
      <c r="E84" s="27">
        <v>2054.6</v>
      </c>
      <c r="F84" s="27">
        <f>SUM(E84*12)</f>
        <v>24655.199999999997</v>
      </c>
      <c r="G84" s="27">
        <v>3.38</v>
      </c>
      <c r="H84" s="72">
        <f>SUM(F84*G84/1000)</f>
        <v>83.334575999999984</v>
      </c>
      <c r="I84" s="10">
        <f>F84/12*G84</f>
        <v>6944.5479999999998</v>
      </c>
    </row>
    <row r="85" spans="1:9" ht="31.5" customHeight="1">
      <c r="A85" s="21">
        <v>18</v>
      </c>
      <c r="B85" s="94" t="s">
        <v>159</v>
      </c>
      <c r="C85" s="115" t="s">
        <v>53</v>
      </c>
      <c r="D85" s="131"/>
      <c r="E85" s="132">
        <f>E84</f>
        <v>2054.6</v>
      </c>
      <c r="F85" s="124">
        <f>E85*12</f>
        <v>24655.199999999997</v>
      </c>
      <c r="G85" s="124">
        <v>3.05</v>
      </c>
      <c r="H85" s="72">
        <f>F85*G85/1000</f>
        <v>75.19835999999998</v>
      </c>
      <c r="I85" s="10">
        <f>F85/12*G85</f>
        <v>6266.53</v>
      </c>
    </row>
    <row r="86" spans="1:9" ht="15.75" customHeight="1">
      <c r="A86" s="21"/>
      <c r="B86" s="28" t="s">
        <v>76</v>
      </c>
      <c r="C86" s="75"/>
      <c r="D86" s="74"/>
      <c r="E86" s="64"/>
      <c r="F86" s="64"/>
      <c r="G86" s="64"/>
      <c r="H86" s="76">
        <f>H85</f>
        <v>75.19835999999998</v>
      </c>
      <c r="I86" s="64">
        <f>I85+I84+I78+I73+I62+I59+I52+I45+I42+I41+I39+I38+I21+I20++I17+I18+I16+I60</f>
        <v>41973.394985499988</v>
      </c>
    </row>
    <row r="87" spans="1:9" ht="15.75" customHeight="1">
      <c r="A87" s="177" t="s">
        <v>58</v>
      </c>
      <c r="B87" s="178"/>
      <c r="C87" s="178"/>
      <c r="D87" s="178"/>
      <c r="E87" s="178"/>
      <c r="F87" s="178"/>
      <c r="G87" s="178"/>
      <c r="H87" s="178"/>
      <c r="I87" s="179"/>
    </row>
    <row r="88" spans="1:9" ht="15.75" customHeight="1">
      <c r="A88" s="30">
        <v>19</v>
      </c>
      <c r="B88" s="88" t="s">
        <v>262</v>
      </c>
      <c r="C88" s="40" t="s">
        <v>104</v>
      </c>
      <c r="D88" s="39" t="s">
        <v>270</v>
      </c>
      <c r="E88" s="27"/>
      <c r="F88" s="27">
        <v>1</v>
      </c>
      <c r="G88" s="27">
        <v>218.81</v>
      </c>
      <c r="H88" s="30"/>
      <c r="I88" s="148">
        <v>0</v>
      </c>
    </row>
    <row r="89" spans="1:9" ht="15.75" customHeight="1">
      <c r="A89" s="30">
        <v>20</v>
      </c>
      <c r="B89" s="88" t="s">
        <v>38</v>
      </c>
      <c r="C89" s="40" t="s">
        <v>263</v>
      </c>
      <c r="D89" s="39" t="s">
        <v>170</v>
      </c>
      <c r="E89" s="27"/>
      <c r="F89" s="27">
        <v>0.01</v>
      </c>
      <c r="G89" s="27">
        <v>8763.7900000000009</v>
      </c>
      <c r="H89" s="30"/>
      <c r="I89" s="148">
        <v>0</v>
      </c>
    </row>
    <row r="90" spans="1:9" ht="15.75" customHeight="1">
      <c r="A90" s="30">
        <v>21</v>
      </c>
      <c r="B90" s="88" t="s">
        <v>264</v>
      </c>
      <c r="C90" s="40" t="s">
        <v>104</v>
      </c>
      <c r="D90" s="39"/>
      <c r="E90" s="27"/>
      <c r="F90" s="27">
        <v>2</v>
      </c>
      <c r="G90" s="27">
        <v>516.29</v>
      </c>
      <c r="H90" s="30"/>
      <c r="I90" s="148">
        <f>G90*2</f>
        <v>1032.58</v>
      </c>
    </row>
    <row r="91" spans="1:9" ht="15.75" customHeight="1">
      <c r="A91" s="30">
        <v>22</v>
      </c>
      <c r="B91" s="88" t="s">
        <v>265</v>
      </c>
      <c r="C91" s="40" t="s">
        <v>185</v>
      </c>
      <c r="D91" s="39" t="s">
        <v>269</v>
      </c>
      <c r="E91" s="27"/>
      <c r="F91" s="27">
        <v>1</v>
      </c>
      <c r="G91" s="27">
        <v>370.63</v>
      </c>
      <c r="H91" s="30"/>
      <c r="I91" s="148">
        <f>G91*1</f>
        <v>370.63</v>
      </c>
    </row>
    <row r="92" spans="1:9" ht="30" customHeight="1">
      <c r="A92" s="21">
        <v>23</v>
      </c>
      <c r="B92" s="160" t="s">
        <v>266</v>
      </c>
      <c r="C92" s="161" t="s">
        <v>267</v>
      </c>
      <c r="D92" s="39" t="s">
        <v>268</v>
      </c>
      <c r="E92" s="27"/>
      <c r="F92" s="27">
        <v>1</v>
      </c>
      <c r="G92" s="27">
        <v>477.25</v>
      </c>
      <c r="H92" s="30"/>
      <c r="I92" s="148">
        <f>G92*1</f>
        <v>477.25</v>
      </c>
    </row>
    <row r="93" spans="1:9" ht="15.75" customHeight="1">
      <c r="A93" s="21">
        <v>24</v>
      </c>
      <c r="B93" s="88" t="s">
        <v>215</v>
      </c>
      <c r="C93" s="40" t="s">
        <v>39</v>
      </c>
      <c r="D93" s="39" t="s">
        <v>172</v>
      </c>
      <c r="E93" s="27"/>
      <c r="F93" s="27">
        <v>0.04</v>
      </c>
      <c r="G93" s="27">
        <v>28224.75</v>
      </c>
      <c r="H93" s="30"/>
      <c r="I93" s="148">
        <v>0</v>
      </c>
    </row>
    <row r="94" spans="1:9" ht="15.75" customHeight="1">
      <c r="A94" s="21">
        <v>25</v>
      </c>
      <c r="B94" s="153" t="s">
        <v>234</v>
      </c>
      <c r="C94" s="149" t="s">
        <v>184</v>
      </c>
      <c r="D94" s="39" t="s">
        <v>244</v>
      </c>
      <c r="E94" s="27"/>
      <c r="F94" s="27">
        <v>7</v>
      </c>
      <c r="G94" s="27">
        <v>295.36</v>
      </c>
      <c r="H94" s="30"/>
      <c r="I94" s="148">
        <v>0</v>
      </c>
    </row>
    <row r="95" spans="1:9" ht="15.75" customHeight="1">
      <c r="A95" s="21"/>
      <c r="B95" s="34" t="s">
        <v>49</v>
      </c>
      <c r="C95" s="30"/>
      <c r="D95" s="37"/>
      <c r="E95" s="30">
        <v>1</v>
      </c>
      <c r="F95" s="30"/>
      <c r="G95" s="30"/>
      <c r="H95" s="30"/>
      <c r="I95" s="24">
        <f>SUM(I88:I93)</f>
        <v>1880.46</v>
      </c>
    </row>
    <row r="96" spans="1:9" ht="15.75" customHeight="1">
      <c r="A96" s="21"/>
      <c r="B96" s="36" t="s">
        <v>75</v>
      </c>
      <c r="C96" s="12"/>
      <c r="D96" s="12"/>
      <c r="E96" s="31"/>
      <c r="F96" s="31"/>
      <c r="G96" s="32"/>
      <c r="H96" s="32"/>
      <c r="I96" s="14">
        <v>0</v>
      </c>
    </row>
    <row r="97" spans="1:9" ht="15.75" customHeight="1">
      <c r="A97" s="38"/>
      <c r="B97" s="35" t="s">
        <v>50</v>
      </c>
      <c r="C97" s="26"/>
      <c r="D97" s="26"/>
      <c r="E97" s="26"/>
      <c r="F97" s="26"/>
      <c r="G97" s="26"/>
      <c r="H97" s="26"/>
      <c r="I97" s="33">
        <f>I86+I95</f>
        <v>43853.854985499987</v>
      </c>
    </row>
    <row r="98" spans="1:9" ht="15.75">
      <c r="A98" s="176" t="s">
        <v>271</v>
      </c>
      <c r="B98" s="176"/>
      <c r="C98" s="176"/>
      <c r="D98" s="176"/>
      <c r="E98" s="176"/>
      <c r="F98" s="176"/>
      <c r="G98" s="176"/>
      <c r="H98" s="176"/>
      <c r="I98" s="176"/>
    </row>
    <row r="99" spans="1:9" ht="15.75">
      <c r="A99" s="46"/>
      <c r="B99" s="171" t="s">
        <v>272</v>
      </c>
      <c r="C99" s="171"/>
      <c r="D99" s="171"/>
      <c r="E99" s="171"/>
      <c r="F99" s="171"/>
      <c r="G99" s="171"/>
      <c r="H99" s="57"/>
      <c r="I99" s="2"/>
    </row>
    <row r="100" spans="1:9">
      <c r="A100" s="85"/>
      <c r="B100" s="167" t="s">
        <v>6</v>
      </c>
      <c r="C100" s="167"/>
      <c r="D100" s="167"/>
      <c r="E100" s="167"/>
      <c r="F100" s="167"/>
      <c r="G100" s="167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172" t="s">
        <v>7</v>
      </c>
      <c r="B102" s="172"/>
      <c r="C102" s="172"/>
      <c r="D102" s="172"/>
      <c r="E102" s="172"/>
      <c r="F102" s="172"/>
      <c r="G102" s="172"/>
      <c r="H102" s="172"/>
      <c r="I102" s="172"/>
    </row>
    <row r="103" spans="1:9" ht="15.75">
      <c r="A103" s="172" t="s">
        <v>8</v>
      </c>
      <c r="B103" s="172"/>
      <c r="C103" s="172"/>
      <c r="D103" s="172"/>
      <c r="E103" s="172"/>
      <c r="F103" s="172"/>
      <c r="G103" s="172"/>
      <c r="H103" s="172"/>
      <c r="I103" s="172"/>
    </row>
    <row r="104" spans="1:9" ht="15.75">
      <c r="A104" s="173" t="s">
        <v>59</v>
      </c>
      <c r="B104" s="173"/>
      <c r="C104" s="173"/>
      <c r="D104" s="173"/>
      <c r="E104" s="173"/>
      <c r="F104" s="173"/>
      <c r="G104" s="173"/>
      <c r="H104" s="173"/>
      <c r="I104" s="173"/>
    </row>
    <row r="105" spans="1:9" ht="15.75">
      <c r="A105" s="8"/>
    </row>
    <row r="106" spans="1:9" ht="15.75">
      <c r="A106" s="174" t="s">
        <v>9</v>
      </c>
      <c r="B106" s="174"/>
      <c r="C106" s="174"/>
      <c r="D106" s="174"/>
      <c r="E106" s="174"/>
      <c r="F106" s="174"/>
      <c r="G106" s="174"/>
      <c r="H106" s="174"/>
      <c r="I106" s="174"/>
    </row>
    <row r="107" spans="1:9" ht="15.75">
      <c r="A107" s="3"/>
    </row>
    <row r="108" spans="1:9" ht="15.75">
      <c r="B108" s="82" t="s">
        <v>10</v>
      </c>
      <c r="C108" s="166" t="s">
        <v>192</v>
      </c>
      <c r="D108" s="166"/>
      <c r="E108" s="166"/>
      <c r="F108" s="55"/>
      <c r="I108" s="84"/>
    </row>
    <row r="109" spans="1:9">
      <c r="A109" s="85"/>
      <c r="C109" s="167" t="s">
        <v>11</v>
      </c>
      <c r="D109" s="167"/>
      <c r="E109" s="167"/>
      <c r="F109" s="16"/>
      <c r="I109" s="83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82" t="s">
        <v>13</v>
      </c>
      <c r="C111" s="168"/>
      <c r="D111" s="168"/>
      <c r="E111" s="168"/>
      <c r="F111" s="56"/>
      <c r="I111" s="84"/>
    </row>
    <row r="112" spans="1:9">
      <c r="A112" s="85"/>
      <c r="C112" s="169" t="s">
        <v>11</v>
      </c>
      <c r="D112" s="169"/>
      <c r="E112" s="169"/>
      <c r="F112" s="85"/>
      <c r="I112" s="83" t="s">
        <v>12</v>
      </c>
    </row>
    <row r="113" spans="1:9" ht="15.75">
      <c r="A113" s="3" t="s">
        <v>14</v>
      </c>
    </row>
    <row r="114" spans="1:9">
      <c r="A114" s="170" t="s">
        <v>15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45" customHeight="1">
      <c r="A115" s="162" t="s">
        <v>16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0" customHeight="1">
      <c r="A116" s="162" t="s">
        <v>17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0" customHeight="1">
      <c r="A117" s="162" t="s">
        <v>21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15" customHeight="1">
      <c r="A118" s="162" t="s">
        <v>20</v>
      </c>
      <c r="B118" s="162"/>
      <c r="C118" s="162"/>
      <c r="D118" s="162"/>
      <c r="E118" s="162"/>
      <c r="F118" s="162"/>
      <c r="G118" s="162"/>
      <c r="H118" s="162"/>
      <c r="I118" s="162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9:I29"/>
    <mergeCell ref="A46:I46"/>
    <mergeCell ref="A57:I57"/>
    <mergeCell ref="A83:I83"/>
    <mergeCell ref="A87:I87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1"/>
  <sheetViews>
    <sheetView topLeftCell="A52" workbookViewId="0">
      <selection activeCell="C98" sqref="C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131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203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44255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170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7.2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6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63" t="s">
        <v>78</v>
      </c>
      <c r="B29" s="164"/>
      <c r="C29" s="164"/>
      <c r="D29" s="164"/>
      <c r="E29" s="164"/>
      <c r="F29" s="164"/>
      <c r="G29" s="164"/>
      <c r="H29" s="164"/>
      <c r="I29" s="165"/>
    </row>
    <row r="30" spans="1:9" ht="15.75" hidden="1" customHeight="1">
      <c r="A30" s="21"/>
      <c r="B30" s="78" t="s">
        <v>27</v>
      </c>
      <c r="C30" s="59"/>
      <c r="D30" s="58"/>
      <c r="E30" s="60"/>
      <c r="F30" s="61"/>
      <c r="G30" s="61"/>
      <c r="H30" s="62"/>
      <c r="I30" s="10"/>
    </row>
    <row r="31" spans="1:9" ht="31.5" hidden="1" customHeight="1">
      <c r="A31" s="21">
        <v>8</v>
      </c>
      <c r="B31" s="58" t="s">
        <v>102</v>
      </c>
      <c r="C31" s="59" t="s">
        <v>83</v>
      </c>
      <c r="D31" s="58" t="s">
        <v>98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58" t="s">
        <v>101</v>
      </c>
      <c r="C32" s="59" t="s">
        <v>83</v>
      </c>
      <c r="D32" s="58" t="s">
        <v>99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83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58" t="s">
        <v>100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62</v>
      </c>
      <c r="C35" s="59" t="s">
        <v>31</v>
      </c>
      <c r="D35" s="58" t="s">
        <v>64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63</v>
      </c>
      <c r="C36" s="59" t="s">
        <v>30</v>
      </c>
      <c r="D36" s="58" t="s">
        <v>64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8" t="s">
        <v>5</v>
      </c>
      <c r="C37" s="59"/>
      <c r="D37" s="58"/>
      <c r="E37" s="60"/>
      <c r="F37" s="61"/>
      <c r="G37" s="61"/>
      <c r="H37" s="62" t="s">
        <v>113</v>
      </c>
      <c r="I37" s="10"/>
    </row>
    <row r="38" spans="1:9" ht="15.75" customHeight="1">
      <c r="A38" s="21">
        <v>7</v>
      </c>
      <c r="B38" s="58" t="s">
        <v>25</v>
      </c>
      <c r="C38" s="59" t="s">
        <v>30</v>
      </c>
      <c r="D38" s="58" t="s">
        <v>198</v>
      </c>
      <c r="E38" s="60"/>
      <c r="F38" s="61">
        <v>5</v>
      </c>
      <c r="G38" s="103">
        <v>1855</v>
      </c>
      <c r="H38" s="62">
        <f t="shared" ref="H38:H44" si="4">SUM(F38*G38/1000)</f>
        <v>9.2750000000000004</v>
      </c>
      <c r="I38" s="10">
        <f>G38*1</f>
        <v>1855</v>
      </c>
    </row>
    <row r="39" spans="1:9" ht="15.75" customHeight="1">
      <c r="A39" s="21">
        <v>8</v>
      </c>
      <c r="B39" s="105" t="s">
        <v>117</v>
      </c>
      <c r="C39" s="106" t="s">
        <v>28</v>
      </c>
      <c r="D39" s="25" t="s">
        <v>179</v>
      </c>
      <c r="E39" s="102">
        <v>186.39</v>
      </c>
      <c r="F39" s="107">
        <f>E39*30/1000</f>
        <v>5.5916999999999994</v>
      </c>
      <c r="G39" s="103">
        <v>3014.36</v>
      </c>
      <c r="H39" s="62">
        <f>G39*F39/1000</f>
        <v>16.855396811999999</v>
      </c>
      <c r="I39" s="10">
        <f>F39/6*G39</f>
        <v>2809.232802</v>
      </c>
    </row>
    <row r="40" spans="1:9" ht="18" customHeight="1">
      <c r="A40" s="21">
        <v>9</v>
      </c>
      <c r="B40" s="25" t="s">
        <v>126</v>
      </c>
      <c r="C40" s="29" t="s">
        <v>127</v>
      </c>
      <c r="D40" s="25" t="s">
        <v>199</v>
      </c>
      <c r="E40" s="102"/>
      <c r="F40" s="107">
        <v>13</v>
      </c>
      <c r="G40" s="103">
        <v>330</v>
      </c>
      <c r="H40" s="62">
        <f>G40*F40/1000</f>
        <v>4.29</v>
      </c>
      <c r="I40" s="10">
        <f>G40*26</f>
        <v>8580</v>
      </c>
    </row>
    <row r="41" spans="1:9" ht="15.75" customHeight="1">
      <c r="A41" s="21">
        <v>10</v>
      </c>
      <c r="B41" s="25" t="s">
        <v>65</v>
      </c>
      <c r="C41" s="29" t="s">
        <v>28</v>
      </c>
      <c r="D41" s="25" t="s">
        <v>169</v>
      </c>
      <c r="E41" s="103">
        <v>186.39</v>
      </c>
      <c r="F41" s="107">
        <f>SUM(E41*155/1000)</f>
        <v>28.890449999999998</v>
      </c>
      <c r="G41" s="103">
        <v>502.82</v>
      </c>
      <c r="H41" s="62">
        <f t="shared" ref="H41:H42" si="5">SUM(F41*G41/1000)</f>
        <v>14.526696068999998</v>
      </c>
      <c r="I41" s="10">
        <f>F41/6*G41</f>
        <v>2421.1160114999998</v>
      </c>
    </row>
    <row r="42" spans="1:9" ht="47.25" customHeight="1">
      <c r="A42" s="21">
        <v>11</v>
      </c>
      <c r="B42" s="25" t="s">
        <v>77</v>
      </c>
      <c r="C42" s="29" t="s">
        <v>83</v>
      </c>
      <c r="D42" s="25" t="s">
        <v>168</v>
      </c>
      <c r="E42" s="103">
        <v>52.2</v>
      </c>
      <c r="F42" s="107">
        <f>E42*24/1000</f>
        <v>1.2528000000000001</v>
      </c>
      <c r="G42" s="103">
        <v>8319.2999999999993</v>
      </c>
      <c r="H42" s="62">
        <f t="shared" si="5"/>
        <v>10.422419040000001</v>
      </c>
      <c r="I42" s="10">
        <f>F42/6*G42</f>
        <v>1737.0698399999999</v>
      </c>
    </row>
    <row r="43" spans="1:9" ht="15.75" hidden="1" customHeight="1">
      <c r="A43" s="21">
        <v>10</v>
      </c>
      <c r="B43" s="58" t="s">
        <v>119</v>
      </c>
      <c r="C43" s="59" t="s">
        <v>83</v>
      </c>
      <c r="D43" s="58" t="s">
        <v>66</v>
      </c>
      <c r="E43" s="61">
        <v>52.2</v>
      </c>
      <c r="F43" s="61">
        <f>SUM(E43*45/1000)</f>
        <v>2.3490000000000002</v>
      </c>
      <c r="G43" s="61">
        <v>458.28</v>
      </c>
      <c r="H43" s="62">
        <f t="shared" si="4"/>
        <v>1.0764997199999999</v>
      </c>
      <c r="I43" s="10">
        <f>F43/7.5*G43</f>
        <v>143.53329600000001</v>
      </c>
    </row>
    <row r="44" spans="1:9" ht="15.75" hidden="1" customHeight="1">
      <c r="A44" s="21">
        <v>11</v>
      </c>
      <c r="B44" s="58" t="s">
        <v>67</v>
      </c>
      <c r="C44" s="59" t="s">
        <v>31</v>
      </c>
      <c r="D44" s="58"/>
      <c r="E44" s="60"/>
      <c r="F44" s="61">
        <v>0.5</v>
      </c>
      <c r="G44" s="61">
        <v>853.06</v>
      </c>
      <c r="H44" s="62">
        <f t="shared" si="4"/>
        <v>0.42652999999999996</v>
      </c>
      <c r="I44" s="10">
        <f>F44/7.5*G44</f>
        <v>56.870666666666665</v>
      </c>
    </row>
    <row r="45" spans="1:9" ht="31.5" customHeight="1">
      <c r="A45" s="21">
        <v>12</v>
      </c>
      <c r="B45" s="146" t="s">
        <v>152</v>
      </c>
      <c r="C45" s="106" t="s">
        <v>83</v>
      </c>
      <c r="D45" s="105" t="s">
        <v>172</v>
      </c>
      <c r="E45" s="104">
        <v>1.8</v>
      </c>
      <c r="F45" s="107">
        <f>E45*12/1000</f>
        <v>2.1600000000000001E-2</v>
      </c>
      <c r="G45" s="107">
        <v>19757.060000000001</v>
      </c>
      <c r="H45" s="54"/>
      <c r="I45" s="10">
        <f>G45*F45/6</f>
        <v>71.125416000000016</v>
      </c>
    </row>
    <row r="46" spans="1:9" ht="15.75" customHeight="1">
      <c r="A46" s="163" t="s">
        <v>122</v>
      </c>
      <c r="B46" s="164"/>
      <c r="C46" s="164"/>
      <c r="D46" s="164"/>
      <c r="E46" s="164"/>
      <c r="F46" s="164"/>
      <c r="G46" s="164"/>
      <c r="H46" s="164"/>
      <c r="I46" s="165"/>
    </row>
    <row r="47" spans="1:9" ht="15.7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6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6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6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6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6"/>
        <v>0.10041360000000001</v>
      </c>
      <c r="I51" s="10">
        <v>0</v>
      </c>
    </row>
    <row r="52" spans="1:9" ht="15.75" customHeight="1">
      <c r="A52" s="21">
        <v>13</v>
      </c>
      <c r="B52" s="25" t="s">
        <v>54</v>
      </c>
      <c r="C52" s="29" t="s">
        <v>83</v>
      </c>
      <c r="D52" s="25" t="s">
        <v>170</v>
      </c>
      <c r="E52" s="102">
        <v>2054.6</v>
      </c>
      <c r="F52" s="103">
        <f>SUM(E52*5/1000)</f>
        <v>10.273</v>
      </c>
      <c r="G52" s="27">
        <v>1739.68</v>
      </c>
      <c r="H52" s="62">
        <f t="shared" si="6"/>
        <v>17.871732639999998</v>
      </c>
      <c r="I52" s="10">
        <f>F52/5*G52</f>
        <v>3574.3465279999996</v>
      </c>
    </row>
    <row r="53" spans="1:9" ht="31.5" hidden="1" customHeight="1">
      <c r="A53" s="21"/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6"/>
        <v>1.7601495039999999</v>
      </c>
      <c r="I53" s="10">
        <v>0</v>
      </c>
    </row>
    <row r="54" spans="1:9" ht="31.5" hidden="1" customHeight="1">
      <c r="A54" s="21"/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6"/>
        <v>0.70053359999999998</v>
      </c>
      <c r="I54" s="10">
        <v>0</v>
      </c>
    </row>
    <row r="55" spans="1:9" ht="15.75" hidden="1" customHeight="1">
      <c r="A55" s="21"/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6"/>
        <v>0.1208424</v>
      </c>
      <c r="I55" s="10">
        <v>0</v>
      </c>
    </row>
    <row r="56" spans="1:9" ht="15.75" hidden="1" customHeight="1">
      <c r="A56" s="21">
        <v>15</v>
      </c>
      <c r="B56" s="58" t="s">
        <v>40</v>
      </c>
      <c r="C56" s="59" t="s">
        <v>104</v>
      </c>
      <c r="D56" s="58" t="s">
        <v>68</v>
      </c>
      <c r="E56" s="60">
        <v>72</v>
      </c>
      <c r="F56" s="61">
        <f>SUM(E56)*3</f>
        <v>216</v>
      </c>
      <c r="G56" s="10">
        <v>70.209999999999994</v>
      </c>
      <c r="H56" s="62">
        <f t="shared" si="6"/>
        <v>15.165359999999998</v>
      </c>
      <c r="I56" s="10">
        <f>E56*G56</f>
        <v>5055.12</v>
      </c>
    </row>
    <row r="57" spans="1:9" ht="15.75" customHeight="1">
      <c r="A57" s="163" t="s">
        <v>123</v>
      </c>
      <c r="B57" s="164"/>
      <c r="C57" s="164"/>
      <c r="D57" s="164"/>
      <c r="E57" s="164"/>
      <c r="F57" s="164"/>
      <c r="G57" s="164"/>
      <c r="H57" s="164"/>
      <c r="I57" s="165"/>
    </row>
    <row r="58" spans="1:9" ht="15.75" hidden="1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31.5" hidden="1" customHeight="1">
      <c r="A59" s="21">
        <v>14</v>
      </c>
      <c r="B59" s="58" t="s">
        <v>105</v>
      </c>
      <c r="C59" s="59" t="s">
        <v>80</v>
      </c>
      <c r="D59" s="58" t="s">
        <v>106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G59*0.14</f>
        <v>231.56560000000002</v>
      </c>
    </row>
    <row r="60" spans="1:9" ht="16.5" customHeight="1">
      <c r="A60" s="21"/>
      <c r="B60" s="113" t="s">
        <v>154</v>
      </c>
      <c r="C60" s="109"/>
      <c r="D60" s="108"/>
      <c r="E60" s="110"/>
      <c r="F60" s="114"/>
      <c r="G60" s="27"/>
      <c r="H60" s="95"/>
      <c r="I60" s="10"/>
    </row>
    <row r="61" spans="1:9" ht="17.25" customHeight="1">
      <c r="A61" s="21">
        <v>14</v>
      </c>
      <c r="B61" s="94" t="s">
        <v>148</v>
      </c>
      <c r="C61" s="115" t="s">
        <v>149</v>
      </c>
      <c r="D61" s="94" t="s">
        <v>170</v>
      </c>
      <c r="E61" s="128">
        <v>120</v>
      </c>
      <c r="F61" s="114">
        <f>E61*12</f>
        <v>1440</v>
      </c>
      <c r="G61" s="27">
        <v>1.4</v>
      </c>
      <c r="H61" s="71"/>
      <c r="I61" s="10">
        <f>G61*F61/12</f>
        <v>167.99999999999997</v>
      </c>
    </row>
    <row r="62" spans="1:9" ht="15.75" hidden="1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5.75" hidden="1" customHeight="1">
      <c r="A63" s="21">
        <v>15</v>
      </c>
      <c r="B63" s="11" t="s">
        <v>44</v>
      </c>
      <c r="C63" s="13" t="s">
        <v>104</v>
      </c>
      <c r="D63" s="11" t="s">
        <v>64</v>
      </c>
      <c r="E63" s="15">
        <v>8</v>
      </c>
      <c r="F63" s="61">
        <v>8</v>
      </c>
      <c r="G63" s="10">
        <v>237.74</v>
      </c>
      <c r="H63" s="72">
        <f t="shared" ref="H63:H79" si="7">SUM(F63*G63/1000)</f>
        <v>1.9019200000000001</v>
      </c>
      <c r="I63" s="10">
        <f>G63*2</f>
        <v>475.48</v>
      </c>
    </row>
    <row r="64" spans="1:9" ht="15.7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7"/>
        <v>0.24453000000000003</v>
      </c>
      <c r="I64" s="10">
        <v>0</v>
      </c>
    </row>
    <row r="65" spans="1:9" ht="15.7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7"/>
        <v>19.3655981</v>
      </c>
      <c r="I65" s="10">
        <v>0</v>
      </c>
    </row>
    <row r="66" spans="1:9" ht="15.75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7"/>
        <v>1.5080727900000002</v>
      </c>
      <c r="I66" s="10">
        <v>0</v>
      </c>
    </row>
    <row r="67" spans="1:9" ht="15.7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7"/>
        <v>30.383586000000005</v>
      </c>
      <c r="I67" s="10">
        <v>0</v>
      </c>
    </row>
    <row r="68" spans="1:9" ht="15.75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7"/>
        <v>0.38403000000000004</v>
      </c>
      <c r="I68" s="10">
        <v>0</v>
      </c>
    </row>
    <row r="69" spans="1:9" ht="15.7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7"/>
        <v>0.35829</v>
      </c>
      <c r="I69" s="10">
        <v>0</v>
      </c>
    </row>
    <row r="70" spans="1:9" ht="15.7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7"/>
        <v>0.16085999999999998</v>
      </c>
      <c r="I70" s="10">
        <v>0</v>
      </c>
    </row>
    <row r="71" spans="1:9" ht="15.75" customHeight="1">
      <c r="A71" s="21"/>
      <c r="B71" s="116" t="s">
        <v>156</v>
      </c>
      <c r="C71" s="117"/>
      <c r="D71" s="118"/>
      <c r="E71" s="119"/>
      <c r="F71" s="120"/>
      <c r="G71" s="120"/>
      <c r="H71" s="10"/>
      <c r="I71" s="10"/>
    </row>
    <row r="72" spans="1:9" ht="30.75" customHeight="1">
      <c r="A72" s="21">
        <v>15</v>
      </c>
      <c r="B72" s="94" t="s">
        <v>157</v>
      </c>
      <c r="C72" s="121" t="s">
        <v>158</v>
      </c>
      <c r="D72" s="118"/>
      <c r="E72" s="119">
        <v>2054.6</v>
      </c>
      <c r="F72" s="120">
        <f>E72*12</f>
        <v>24655.199999999997</v>
      </c>
      <c r="G72" s="120">
        <v>2.4900000000000002</v>
      </c>
      <c r="H72" s="10"/>
      <c r="I72" s="10">
        <f>G72*F72/12</f>
        <v>5115.9539999999997</v>
      </c>
    </row>
    <row r="73" spans="1:9" ht="15.75" customHeight="1">
      <c r="A73" s="21"/>
      <c r="B73" s="51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15.75" hidden="1" customHeight="1">
      <c r="A74" s="21">
        <v>16</v>
      </c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7"/>
        <v>0.10724600000000001</v>
      </c>
      <c r="I74" s="10">
        <f>G74*0.2</f>
        <v>107.24600000000001</v>
      </c>
    </row>
    <row r="75" spans="1:9" ht="15.7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5.7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5.75" customHeight="1">
      <c r="A77" s="21">
        <v>16</v>
      </c>
      <c r="B77" s="94" t="s">
        <v>155</v>
      </c>
      <c r="C77" s="115" t="s">
        <v>104</v>
      </c>
      <c r="D77" s="94" t="s">
        <v>171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5.75" hidden="1" customHeight="1">
      <c r="A78" s="21"/>
      <c r="B78" s="75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5.75" hidden="1" customHeight="1">
      <c r="A79" s="21"/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7"/>
        <v>3.9822975</v>
      </c>
      <c r="I79" s="10">
        <v>0</v>
      </c>
    </row>
    <row r="80" spans="1:9" ht="15.75" hidden="1" customHeight="1">
      <c r="A80" s="21"/>
      <c r="B80" s="51" t="s">
        <v>86</v>
      </c>
      <c r="C80" s="75"/>
      <c r="D80" s="23"/>
      <c r="E80" s="24"/>
      <c r="F80" s="64"/>
      <c r="G80" s="64"/>
      <c r="H80" s="76">
        <f>SUM(H59:H79)</f>
        <v>70.673694374000007</v>
      </c>
      <c r="I80" s="64"/>
    </row>
    <row r="81" spans="1:9" ht="15.75" hidden="1" customHeight="1">
      <c r="A81" s="21"/>
      <c r="B81" s="58" t="s">
        <v>111</v>
      </c>
      <c r="C81" s="13"/>
      <c r="D81" s="11"/>
      <c r="E81" s="77"/>
      <c r="F81" s="10">
        <v>1</v>
      </c>
      <c r="G81" s="10">
        <v>7101.4</v>
      </c>
      <c r="H81" s="72">
        <f>G81*F81/1000</f>
        <v>7.1013999999999999</v>
      </c>
      <c r="I81" s="10">
        <v>0</v>
      </c>
    </row>
    <row r="82" spans="1:9" ht="15.75" customHeight="1">
      <c r="A82" s="163" t="s">
        <v>124</v>
      </c>
      <c r="B82" s="164"/>
      <c r="C82" s="164"/>
      <c r="D82" s="164"/>
      <c r="E82" s="164"/>
      <c r="F82" s="164"/>
      <c r="G82" s="164"/>
      <c r="H82" s="164"/>
      <c r="I82" s="165"/>
    </row>
    <row r="83" spans="1:9" ht="15.75" customHeight="1">
      <c r="A83" s="21">
        <v>17</v>
      </c>
      <c r="B83" s="94" t="s">
        <v>112</v>
      </c>
      <c r="C83" s="115" t="s">
        <v>53</v>
      </c>
      <c r="D83" s="133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18</v>
      </c>
      <c r="B84" s="94" t="s">
        <v>159</v>
      </c>
      <c r="C84" s="115" t="s">
        <v>53</v>
      </c>
      <c r="D84" s="131"/>
      <c r="E84" s="132">
        <f>E83</f>
        <v>2054.6</v>
      </c>
      <c r="F84" s="124">
        <f>E84*12</f>
        <v>24655.199999999997</v>
      </c>
      <c r="G84" s="124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I84+I83+I77+I72+I61+I52+I45+I42+I41+I40+I39+I38+I27+I21+I20+I18+I17+I16</f>
        <v>48200.960085499988</v>
      </c>
    </row>
    <row r="86" spans="1:9" ht="15.75" customHeight="1">
      <c r="A86" s="177" t="s">
        <v>58</v>
      </c>
      <c r="B86" s="178"/>
      <c r="C86" s="178"/>
      <c r="D86" s="178"/>
      <c r="E86" s="178"/>
      <c r="F86" s="178"/>
      <c r="G86" s="178"/>
      <c r="H86" s="178"/>
      <c r="I86" s="179"/>
    </row>
    <row r="87" spans="1:9" ht="15.75" customHeight="1">
      <c r="A87" s="21">
        <v>19</v>
      </c>
      <c r="B87" s="153" t="s">
        <v>200</v>
      </c>
      <c r="C87" s="149" t="s">
        <v>104</v>
      </c>
      <c r="D87" s="39" t="s">
        <v>201</v>
      </c>
      <c r="E87" s="27"/>
      <c r="F87" s="27">
        <v>3</v>
      </c>
      <c r="G87" s="27">
        <v>1500</v>
      </c>
      <c r="H87" s="71"/>
      <c r="I87" s="89">
        <f>G87*3</f>
        <v>4500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SUM(I87:I87)</f>
        <v>4500</v>
      </c>
    </row>
    <row r="89" spans="1:9" ht="15.75" customHeight="1">
      <c r="A89" s="21"/>
      <c r="B89" s="36" t="s">
        <v>75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143</v>
      </c>
      <c r="C90" s="26"/>
      <c r="D90" s="26"/>
      <c r="E90" s="26"/>
      <c r="F90" s="26"/>
      <c r="G90" s="26"/>
      <c r="H90" s="26"/>
      <c r="I90" s="33">
        <f>I85+I88</f>
        <v>52700.960085499988</v>
      </c>
    </row>
    <row r="91" spans="1:9" ht="15.75">
      <c r="A91" s="176" t="s">
        <v>204</v>
      </c>
      <c r="B91" s="176"/>
      <c r="C91" s="176"/>
      <c r="D91" s="176"/>
      <c r="E91" s="176"/>
      <c r="F91" s="176"/>
      <c r="G91" s="176"/>
      <c r="H91" s="176"/>
      <c r="I91" s="176"/>
    </row>
    <row r="92" spans="1:9" ht="15.75">
      <c r="A92" s="46"/>
      <c r="B92" s="171" t="s">
        <v>202</v>
      </c>
      <c r="C92" s="171"/>
      <c r="D92" s="171"/>
      <c r="E92" s="171"/>
      <c r="F92" s="171"/>
      <c r="G92" s="171"/>
      <c r="H92" s="57"/>
      <c r="I92" s="2"/>
    </row>
    <row r="93" spans="1:9">
      <c r="A93" s="49"/>
      <c r="B93" s="167" t="s">
        <v>6</v>
      </c>
      <c r="C93" s="167"/>
      <c r="D93" s="167"/>
      <c r="E93" s="167"/>
      <c r="F93" s="167"/>
      <c r="G93" s="167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72" t="s">
        <v>7</v>
      </c>
      <c r="B95" s="172"/>
      <c r="C95" s="172"/>
      <c r="D95" s="172"/>
      <c r="E95" s="172"/>
      <c r="F95" s="172"/>
      <c r="G95" s="172"/>
      <c r="H95" s="172"/>
      <c r="I95" s="172"/>
    </row>
    <row r="96" spans="1:9" ht="15.75">
      <c r="A96" s="172" t="s">
        <v>8</v>
      </c>
      <c r="B96" s="172"/>
      <c r="C96" s="172"/>
      <c r="D96" s="172"/>
      <c r="E96" s="172"/>
      <c r="F96" s="172"/>
      <c r="G96" s="172"/>
      <c r="H96" s="172"/>
      <c r="I96" s="172"/>
    </row>
    <row r="97" spans="1:9" ht="15.75">
      <c r="A97" s="173" t="s">
        <v>59</v>
      </c>
      <c r="B97" s="173"/>
      <c r="C97" s="173"/>
      <c r="D97" s="173"/>
      <c r="E97" s="173"/>
      <c r="F97" s="173"/>
      <c r="G97" s="173"/>
      <c r="H97" s="173"/>
      <c r="I97" s="173"/>
    </row>
    <row r="98" spans="1:9" ht="15.75">
      <c r="A98" s="8"/>
    </row>
    <row r="99" spans="1:9" ht="15.75">
      <c r="A99" s="174" t="s">
        <v>9</v>
      </c>
      <c r="B99" s="174"/>
      <c r="C99" s="174"/>
      <c r="D99" s="174"/>
      <c r="E99" s="174"/>
      <c r="F99" s="174"/>
      <c r="G99" s="174"/>
      <c r="H99" s="174"/>
      <c r="I99" s="174"/>
    </row>
    <row r="100" spans="1:9" ht="15.75">
      <c r="A100" s="3"/>
    </row>
    <row r="101" spans="1:9" ht="15.75">
      <c r="B101" s="50" t="s">
        <v>10</v>
      </c>
      <c r="C101" s="166" t="s">
        <v>192</v>
      </c>
      <c r="D101" s="166"/>
      <c r="E101" s="166"/>
      <c r="F101" s="55"/>
      <c r="I101" s="48"/>
    </row>
    <row r="102" spans="1:9">
      <c r="A102" s="49"/>
      <c r="C102" s="167" t="s">
        <v>11</v>
      </c>
      <c r="D102" s="167"/>
      <c r="E102" s="167"/>
      <c r="F102" s="16"/>
      <c r="I102" s="47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0" t="s">
        <v>13</v>
      </c>
      <c r="C104" s="168"/>
      <c r="D104" s="168"/>
      <c r="E104" s="168"/>
      <c r="F104" s="56"/>
      <c r="I104" s="48"/>
    </row>
    <row r="105" spans="1:9">
      <c r="A105" s="49"/>
      <c r="C105" s="169" t="s">
        <v>11</v>
      </c>
      <c r="D105" s="169"/>
      <c r="E105" s="169"/>
      <c r="F105" s="49"/>
      <c r="I105" s="47" t="s">
        <v>12</v>
      </c>
    </row>
    <row r="106" spans="1:9" ht="15.75">
      <c r="A106" s="3" t="s">
        <v>14</v>
      </c>
    </row>
    <row r="107" spans="1:9">
      <c r="A107" s="170" t="s">
        <v>15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45" customHeight="1">
      <c r="A108" s="162" t="s">
        <v>16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30" customHeight="1">
      <c r="A109" s="162" t="s">
        <v>17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21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15" customHeight="1">
      <c r="A111" s="162" t="s">
        <v>20</v>
      </c>
      <c r="B111" s="162"/>
      <c r="C111" s="162"/>
      <c r="D111" s="162"/>
      <c r="E111" s="162"/>
      <c r="F111" s="162"/>
      <c r="G111" s="162"/>
      <c r="H111" s="162"/>
      <c r="I111" s="162"/>
    </row>
  </sheetData>
  <mergeCells count="28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A99:I99"/>
    <mergeCell ref="A15:I15"/>
    <mergeCell ref="A29:I29"/>
    <mergeCell ref="A46:I46"/>
    <mergeCell ref="A57:I57"/>
    <mergeCell ref="A82:I82"/>
    <mergeCell ref="A91:I91"/>
    <mergeCell ref="B92:G92"/>
    <mergeCell ref="B93:G93"/>
    <mergeCell ref="A95:I95"/>
    <mergeCell ref="A96:I96"/>
    <mergeCell ref="A97:I97"/>
    <mergeCell ref="A14:I14"/>
    <mergeCell ref="A86:I86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3"/>
  <sheetViews>
    <sheetView topLeftCell="A43" workbookViewId="0">
      <selection activeCell="G105" sqref="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7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132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205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44286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206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170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F18/18*1*G18</f>
        <v>1591.1060000000002</v>
      </c>
    </row>
    <row r="19" spans="1:9" ht="15.75" hidden="1" customHeight="1">
      <c r="A19" s="21">
        <v>4</v>
      </c>
      <c r="B19" s="58" t="s">
        <v>87</v>
      </c>
      <c r="C19" s="59" t="s">
        <v>88</v>
      </c>
      <c r="D19" s="58" t="s">
        <v>89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58" t="s">
        <v>92</v>
      </c>
      <c r="C22" s="59" t="s">
        <v>51</v>
      </c>
      <c r="D22" s="58" t="s">
        <v>89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58" t="s">
        <v>93</v>
      </c>
      <c r="C23" s="59" t="s">
        <v>51</v>
      </c>
      <c r="D23" s="58" t="s">
        <v>89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58" t="s">
        <v>94</v>
      </c>
      <c r="C24" s="59" t="s">
        <v>51</v>
      </c>
      <c r="D24" s="58" t="s">
        <v>95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58" t="s">
        <v>96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58" t="s">
        <v>97</v>
      </c>
      <c r="C26" s="59" t="s">
        <v>51</v>
      </c>
      <c r="D26" s="58" t="s">
        <v>89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hidden="1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102</v>
      </c>
      <c r="C30" s="59" t="s">
        <v>83</v>
      </c>
      <c r="D30" s="58" t="s">
        <v>98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101</v>
      </c>
      <c r="C31" s="59" t="s">
        <v>83</v>
      </c>
      <c r="D31" s="58" t="s">
        <v>99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83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100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customHeight="1">
      <c r="A37" s="21">
        <v>6</v>
      </c>
      <c r="B37" s="105" t="s">
        <v>25</v>
      </c>
      <c r="C37" s="29" t="s">
        <v>30</v>
      </c>
      <c r="D37" s="25" t="s">
        <v>207</v>
      </c>
      <c r="E37" s="102"/>
      <c r="F37" s="103">
        <v>5</v>
      </c>
      <c r="G37" s="103">
        <v>1855</v>
      </c>
      <c r="H37" s="62">
        <f t="shared" ref="H37:H43" si="3">SUM(F37*G37/1000)</f>
        <v>9.2750000000000004</v>
      </c>
      <c r="I37" s="10">
        <f>G37*1.5</f>
        <v>2782.5</v>
      </c>
    </row>
    <row r="38" spans="1:9" ht="15.75" customHeight="1">
      <c r="A38" s="21">
        <v>7</v>
      </c>
      <c r="B38" s="105" t="s">
        <v>117</v>
      </c>
      <c r="C38" s="106" t="s">
        <v>28</v>
      </c>
      <c r="D38" s="25" t="s">
        <v>179</v>
      </c>
      <c r="E38" s="102">
        <v>186.39</v>
      </c>
      <c r="F38" s="107">
        <f>E38*30/1000</f>
        <v>5.5916999999999994</v>
      </c>
      <c r="G38" s="103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8</v>
      </c>
      <c r="B40" s="25" t="s">
        <v>65</v>
      </c>
      <c r="C40" s="29" t="s">
        <v>28</v>
      </c>
      <c r="D40" s="25" t="s">
        <v>169</v>
      </c>
      <c r="E40" s="103">
        <v>186.39</v>
      </c>
      <c r="F40" s="107">
        <f>SUM(E40*155/1000)</f>
        <v>28.890449999999998</v>
      </c>
      <c r="G40" s="103">
        <v>502.82</v>
      </c>
      <c r="H40" s="62">
        <f t="shared" si="3"/>
        <v>14.526696068999998</v>
      </c>
      <c r="I40" s="10">
        <f>F40/6*G40</f>
        <v>2421.1160114999998</v>
      </c>
    </row>
    <row r="41" spans="1:9" ht="47.25" customHeight="1">
      <c r="A41" s="21">
        <v>9</v>
      </c>
      <c r="B41" s="25" t="s">
        <v>77</v>
      </c>
      <c r="C41" s="29" t="s">
        <v>83</v>
      </c>
      <c r="D41" s="25" t="s">
        <v>168</v>
      </c>
      <c r="E41" s="103">
        <v>52.2</v>
      </c>
      <c r="F41" s="107">
        <f>E41*24/1000</f>
        <v>1.2528000000000001</v>
      </c>
      <c r="G41" s="103">
        <v>8319.2999999999993</v>
      </c>
      <c r="H41" s="62">
        <f t="shared" si="3"/>
        <v>10.422419040000001</v>
      </c>
      <c r="I41" s="10">
        <f>F41/6*G41</f>
        <v>1737.0698399999999</v>
      </c>
    </row>
    <row r="42" spans="1:9" ht="15.75" customHeight="1">
      <c r="A42" s="21">
        <v>10</v>
      </c>
      <c r="B42" s="25" t="s">
        <v>119</v>
      </c>
      <c r="C42" s="29" t="s">
        <v>83</v>
      </c>
      <c r="D42" s="25" t="s">
        <v>172</v>
      </c>
      <c r="E42" s="103">
        <v>52.2</v>
      </c>
      <c r="F42" s="107">
        <f>SUM(E42*15/1000)</f>
        <v>0.78300000000000003</v>
      </c>
      <c r="G42" s="103">
        <v>614.55999999999995</v>
      </c>
      <c r="H42" s="62">
        <f t="shared" si="3"/>
        <v>0.48120047999999999</v>
      </c>
      <c r="I42" s="10">
        <f>G42*F42/15*2</f>
        <v>64.160063999999991</v>
      </c>
    </row>
    <row r="43" spans="1:9" ht="15.75" customHeight="1">
      <c r="A43" s="21">
        <v>11</v>
      </c>
      <c r="B43" s="105" t="s">
        <v>67</v>
      </c>
      <c r="C43" s="106" t="s">
        <v>31</v>
      </c>
      <c r="D43" s="105"/>
      <c r="E43" s="104"/>
      <c r="F43" s="107">
        <v>0.5</v>
      </c>
      <c r="G43" s="107">
        <v>800</v>
      </c>
      <c r="H43" s="62">
        <f t="shared" si="3"/>
        <v>0.4</v>
      </c>
      <c r="I43" s="10">
        <f>G43*F43/15*2</f>
        <v>53.333333333333336</v>
      </c>
    </row>
    <row r="44" spans="1:9" ht="30.75" customHeight="1">
      <c r="A44" s="21">
        <v>12</v>
      </c>
      <c r="B44" s="105" t="s">
        <v>152</v>
      </c>
      <c r="C44" s="106" t="s">
        <v>83</v>
      </c>
      <c r="D44" s="105" t="s">
        <v>172</v>
      </c>
      <c r="E44" s="104">
        <v>1.8</v>
      </c>
      <c r="F44" s="107">
        <f>E44*12/1000</f>
        <v>2.1600000000000001E-2</v>
      </c>
      <c r="G44" s="107">
        <v>19757.060000000001</v>
      </c>
      <c r="H44" s="10"/>
      <c r="I44" s="10">
        <f>G44*F44/6</f>
        <v>71.125416000000016</v>
      </c>
    </row>
    <row r="45" spans="1:9" ht="15.75" customHeight="1">
      <c r="A45" s="163" t="s">
        <v>122</v>
      </c>
      <c r="B45" s="164"/>
      <c r="C45" s="164"/>
      <c r="D45" s="164"/>
      <c r="E45" s="164"/>
      <c r="F45" s="164"/>
      <c r="G45" s="164"/>
      <c r="H45" s="164"/>
      <c r="I45" s="165"/>
    </row>
    <row r="46" spans="1:9" ht="15.75" hidden="1" customHeight="1">
      <c r="A46" s="21"/>
      <c r="B46" s="58" t="s">
        <v>103</v>
      </c>
      <c r="C46" s="59" t="s">
        <v>83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58" t="s">
        <v>34</v>
      </c>
      <c r="C47" s="59" t="s">
        <v>83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4"/>
        <v>5.9468160000000006E-2</v>
      </c>
      <c r="I47" s="10">
        <v>0</v>
      </c>
    </row>
    <row r="48" spans="1:9" ht="15.75" hidden="1" customHeight="1">
      <c r="A48" s="21"/>
      <c r="B48" s="58" t="s">
        <v>35</v>
      </c>
      <c r="C48" s="59" t="s">
        <v>83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4"/>
        <v>1.161363608</v>
      </c>
      <c r="I48" s="10">
        <v>0</v>
      </c>
    </row>
    <row r="49" spans="1:9" ht="15.75" hidden="1" customHeight="1">
      <c r="A49" s="21"/>
      <c r="B49" s="58" t="s">
        <v>36</v>
      </c>
      <c r="C49" s="59" t="s">
        <v>83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4"/>
        <v>1.6128822783999999</v>
      </c>
      <c r="I49" s="10">
        <v>0</v>
      </c>
    </row>
    <row r="50" spans="1:9" ht="15.7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58" t="s">
        <v>54</v>
      </c>
      <c r="C51" s="59" t="s">
        <v>83</v>
      </c>
      <c r="D51" s="58" t="s">
        <v>130</v>
      </c>
      <c r="E51" s="60">
        <v>678.4</v>
      </c>
      <c r="F51" s="61">
        <f>SUM(E51*5/1000)</f>
        <v>3.3919999999999999</v>
      </c>
      <c r="G51" s="10">
        <v>1297.28</v>
      </c>
      <c r="H51" s="62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58" t="s">
        <v>84</v>
      </c>
      <c r="C52" s="59" t="s">
        <v>83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4"/>
        <v>1.7601495039999999</v>
      </c>
      <c r="I52" s="10">
        <v>0</v>
      </c>
    </row>
    <row r="53" spans="1:9" ht="31.5" hidden="1" customHeight="1">
      <c r="A53" s="21"/>
      <c r="B53" s="58" t="s">
        <v>85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4"/>
        <v>0.70053359999999998</v>
      </c>
      <c r="I53" s="10">
        <v>0</v>
      </c>
    </row>
    <row r="54" spans="1:9" ht="15.75" hidden="1" customHeight="1">
      <c r="A54" s="21">
        <v>14</v>
      </c>
      <c r="B54" s="68" t="s">
        <v>38</v>
      </c>
      <c r="C54" s="67" t="s">
        <v>39</v>
      </c>
      <c r="D54" s="68" t="s">
        <v>41</v>
      </c>
      <c r="E54" s="69">
        <v>1</v>
      </c>
      <c r="F54" s="70">
        <v>0.02</v>
      </c>
      <c r="G54" s="89">
        <v>6042.12</v>
      </c>
      <c r="H54" s="71">
        <f t="shared" si="4"/>
        <v>0.1208424</v>
      </c>
      <c r="I54" s="89">
        <f>F54/2*G54</f>
        <v>60.421199999999999</v>
      </c>
    </row>
    <row r="55" spans="1:9" ht="15.75" customHeight="1">
      <c r="A55" s="91">
        <v>13</v>
      </c>
      <c r="B55" s="11" t="s">
        <v>40</v>
      </c>
      <c r="C55" s="13" t="s">
        <v>104</v>
      </c>
      <c r="D55" s="154">
        <v>44265</v>
      </c>
      <c r="E55" s="15">
        <v>72</v>
      </c>
      <c r="F55" s="147">
        <f>SUM(E55)*3</f>
        <v>216</v>
      </c>
      <c r="G55" s="151">
        <v>87.32</v>
      </c>
      <c r="H55" s="10">
        <f t="shared" si="4"/>
        <v>18.86112</v>
      </c>
      <c r="I55" s="10">
        <f>E55*G55</f>
        <v>6287.0399999999991</v>
      </c>
    </row>
    <row r="56" spans="1:9" ht="15.75" customHeight="1">
      <c r="A56" s="163" t="s">
        <v>123</v>
      </c>
      <c r="B56" s="164"/>
      <c r="C56" s="164"/>
      <c r="D56" s="164"/>
      <c r="E56" s="164"/>
      <c r="F56" s="164"/>
      <c r="G56" s="164"/>
      <c r="H56" s="164"/>
      <c r="I56" s="165"/>
    </row>
    <row r="57" spans="1:9" ht="15.75" customHeight="1">
      <c r="A57" s="21"/>
      <c r="B57" s="78" t="s">
        <v>42</v>
      </c>
      <c r="C57" s="59"/>
      <c r="D57" s="58"/>
      <c r="E57" s="60"/>
      <c r="F57" s="61"/>
      <c r="G57" s="61"/>
      <c r="H57" s="62"/>
      <c r="I57" s="10"/>
    </row>
    <row r="58" spans="1:9" ht="33" customHeight="1">
      <c r="A58" s="21">
        <v>14</v>
      </c>
      <c r="B58" s="25" t="s">
        <v>105</v>
      </c>
      <c r="C58" s="29" t="s">
        <v>80</v>
      </c>
      <c r="D58" s="25"/>
      <c r="E58" s="102">
        <v>80.69</v>
      </c>
      <c r="F58" s="103">
        <f>SUM(E58*6/100)</f>
        <v>4.8414000000000001</v>
      </c>
      <c r="G58" s="27">
        <v>2218.11</v>
      </c>
      <c r="H58" s="62">
        <f>SUM(F58*G58/1000)</f>
        <v>10.738757754</v>
      </c>
      <c r="I58" s="10">
        <f>G58*1.1</f>
        <v>2439.9210000000003</v>
      </c>
    </row>
    <row r="59" spans="1:9" ht="18" customHeight="1">
      <c r="A59" s="21">
        <v>15</v>
      </c>
      <c r="B59" s="108" t="s">
        <v>128</v>
      </c>
      <c r="C59" s="109" t="s">
        <v>129</v>
      </c>
      <c r="D59" s="108" t="s">
        <v>208</v>
      </c>
      <c r="E59" s="110"/>
      <c r="F59" s="111">
        <v>5</v>
      </c>
      <c r="G59" s="112">
        <v>1730</v>
      </c>
      <c r="H59" s="71"/>
      <c r="I59" s="10">
        <f>G59*3</f>
        <v>5190</v>
      </c>
    </row>
    <row r="60" spans="1:9" ht="15.75" customHeight="1">
      <c r="A60" s="21"/>
      <c r="B60" s="113" t="s">
        <v>154</v>
      </c>
      <c r="C60" s="109"/>
      <c r="D60" s="108"/>
      <c r="E60" s="110"/>
      <c r="F60" s="114"/>
      <c r="G60" s="27"/>
      <c r="H60" s="95"/>
      <c r="I60" s="10"/>
    </row>
    <row r="61" spans="1:9" ht="17.25" customHeight="1">
      <c r="A61" s="21">
        <v>16</v>
      </c>
      <c r="B61" s="108" t="s">
        <v>148</v>
      </c>
      <c r="C61" s="109" t="s">
        <v>149</v>
      </c>
      <c r="D61" s="108" t="s">
        <v>171</v>
      </c>
      <c r="E61" s="110">
        <v>120</v>
      </c>
      <c r="F61" s="114">
        <f>E61*12</f>
        <v>1440</v>
      </c>
      <c r="G61" s="27">
        <v>1.4</v>
      </c>
      <c r="H61" s="71"/>
      <c r="I61" s="10">
        <f>G61*F61/12</f>
        <v>167.99999999999997</v>
      </c>
    </row>
    <row r="62" spans="1:9" ht="17.25" customHeight="1">
      <c r="A62" s="21">
        <v>17</v>
      </c>
      <c r="B62" s="108" t="s">
        <v>209</v>
      </c>
      <c r="C62" s="109" t="s">
        <v>51</v>
      </c>
      <c r="D62" s="155">
        <v>44266</v>
      </c>
      <c r="E62" s="110">
        <v>120</v>
      </c>
      <c r="F62" s="114">
        <f>E62/100</f>
        <v>1.2</v>
      </c>
      <c r="G62" s="27">
        <v>1137.68</v>
      </c>
      <c r="H62" s="71"/>
      <c r="I62" s="10">
        <f>G62*F62</f>
        <v>1365.2160000000001</v>
      </c>
    </row>
    <row r="63" spans="1:9" ht="15.75" hidden="1" customHeight="1">
      <c r="A63" s="21"/>
      <c r="B63" s="79" t="s">
        <v>43</v>
      </c>
      <c r="C63" s="67"/>
      <c r="D63" s="68"/>
      <c r="E63" s="69"/>
      <c r="F63" s="70"/>
      <c r="G63" s="70"/>
      <c r="H63" s="71" t="s">
        <v>113</v>
      </c>
      <c r="I63" s="10"/>
    </row>
    <row r="64" spans="1:9" ht="15.75" hidden="1" customHeight="1">
      <c r="A64" s="21">
        <v>15</v>
      </c>
      <c r="B64" s="11" t="s">
        <v>44</v>
      </c>
      <c r="C64" s="13" t="s">
        <v>104</v>
      </c>
      <c r="D64" s="11"/>
      <c r="E64" s="15">
        <v>8</v>
      </c>
      <c r="F64" s="61">
        <v>8</v>
      </c>
      <c r="G64" s="90">
        <v>318.82</v>
      </c>
      <c r="H64" s="72">
        <f t="shared" ref="H64:H78" si="5">SUM(F64*G64/1000)</f>
        <v>2.5505599999999999</v>
      </c>
      <c r="I64" s="10">
        <f>G64</f>
        <v>318.82</v>
      </c>
    </row>
    <row r="65" spans="1:9" ht="26.25" hidden="1" customHeight="1">
      <c r="A65" s="21"/>
      <c r="B65" s="11" t="s">
        <v>45</v>
      </c>
      <c r="C65" s="13" t="s">
        <v>104</v>
      </c>
      <c r="D65" s="11" t="s">
        <v>64</v>
      </c>
      <c r="E65" s="15">
        <v>3</v>
      </c>
      <c r="F65" s="61">
        <v>3</v>
      </c>
      <c r="G65" s="10">
        <v>81.510000000000005</v>
      </c>
      <c r="H65" s="72">
        <f t="shared" si="5"/>
        <v>0.24453000000000003</v>
      </c>
      <c r="I65" s="10">
        <v>0</v>
      </c>
    </row>
    <row r="66" spans="1:9" ht="25.5" hidden="1" customHeight="1">
      <c r="A66" s="21"/>
      <c r="B66" s="11" t="s">
        <v>46</v>
      </c>
      <c r="C66" s="13" t="s">
        <v>107</v>
      </c>
      <c r="D66" s="11" t="s">
        <v>52</v>
      </c>
      <c r="E66" s="60">
        <v>8539</v>
      </c>
      <c r="F66" s="10">
        <f>SUM(E66/100)</f>
        <v>85.39</v>
      </c>
      <c r="G66" s="10">
        <v>226.79</v>
      </c>
      <c r="H66" s="72">
        <f t="shared" si="5"/>
        <v>19.3655981</v>
      </c>
      <c r="I66" s="10">
        <v>0</v>
      </c>
    </row>
    <row r="67" spans="1:9" ht="26.25" hidden="1" customHeight="1">
      <c r="A67" s="21"/>
      <c r="B67" s="11" t="s">
        <v>47</v>
      </c>
      <c r="C67" s="13" t="s">
        <v>108</v>
      </c>
      <c r="D67" s="11"/>
      <c r="E67" s="60">
        <v>8539</v>
      </c>
      <c r="F67" s="10">
        <f>SUM(E67/1000)</f>
        <v>8.5389999999999997</v>
      </c>
      <c r="G67" s="10">
        <v>176.61</v>
      </c>
      <c r="H67" s="72">
        <f t="shared" si="5"/>
        <v>1.5080727900000002</v>
      </c>
      <c r="I67" s="10">
        <v>0</v>
      </c>
    </row>
    <row r="68" spans="1:9" ht="26.25" hidden="1" customHeight="1">
      <c r="A68" s="21"/>
      <c r="B68" s="11" t="s">
        <v>48</v>
      </c>
      <c r="C68" s="13" t="s">
        <v>74</v>
      </c>
      <c r="D68" s="11" t="s">
        <v>52</v>
      </c>
      <c r="E68" s="60">
        <v>1370</v>
      </c>
      <c r="F68" s="10">
        <f>SUM(E68/100)</f>
        <v>13.7</v>
      </c>
      <c r="G68" s="10">
        <v>2217.7800000000002</v>
      </c>
      <c r="H68" s="72">
        <f t="shared" si="5"/>
        <v>30.383586000000005</v>
      </c>
      <c r="I68" s="10">
        <v>0</v>
      </c>
    </row>
    <row r="69" spans="1:9" ht="27.75" hidden="1" customHeight="1">
      <c r="A69" s="21"/>
      <c r="B69" s="73" t="s">
        <v>109</v>
      </c>
      <c r="C69" s="13" t="s">
        <v>31</v>
      </c>
      <c r="D69" s="11"/>
      <c r="E69" s="60">
        <v>9</v>
      </c>
      <c r="F69" s="10">
        <f>SUM(E69)</f>
        <v>9</v>
      </c>
      <c r="G69" s="10">
        <v>42.67</v>
      </c>
      <c r="H69" s="72">
        <f t="shared" si="5"/>
        <v>0.38403000000000004</v>
      </c>
      <c r="I69" s="10">
        <v>0</v>
      </c>
    </row>
    <row r="70" spans="1:9" ht="24.75" hidden="1" customHeight="1">
      <c r="A70" s="21"/>
      <c r="B70" s="73" t="s">
        <v>110</v>
      </c>
      <c r="C70" s="13" t="s">
        <v>31</v>
      </c>
      <c r="D70" s="11"/>
      <c r="E70" s="60">
        <v>9</v>
      </c>
      <c r="F70" s="10">
        <f>SUM(E70)</f>
        <v>9</v>
      </c>
      <c r="G70" s="10">
        <v>39.81</v>
      </c>
      <c r="H70" s="72">
        <f t="shared" si="5"/>
        <v>0.35829</v>
      </c>
      <c r="I70" s="10">
        <v>0</v>
      </c>
    </row>
    <row r="71" spans="1:9" ht="25.5" hidden="1" customHeight="1">
      <c r="A71" s="21"/>
      <c r="B71" s="11" t="s">
        <v>55</v>
      </c>
      <c r="C71" s="13" t="s">
        <v>56</v>
      </c>
      <c r="D71" s="11" t="s">
        <v>52</v>
      </c>
      <c r="E71" s="15">
        <v>3</v>
      </c>
      <c r="F71" s="61">
        <v>3</v>
      </c>
      <c r="G71" s="10">
        <v>53.62</v>
      </c>
      <c r="H71" s="72">
        <f t="shared" si="5"/>
        <v>0.16085999999999998</v>
      </c>
      <c r="I71" s="10">
        <v>0</v>
      </c>
    </row>
    <row r="72" spans="1:9" ht="15.75" customHeight="1">
      <c r="A72" s="21"/>
      <c r="B72" s="23" t="s">
        <v>69</v>
      </c>
      <c r="C72" s="13"/>
      <c r="D72" s="11"/>
      <c r="E72" s="15"/>
      <c r="F72" s="10"/>
      <c r="G72" s="10"/>
      <c r="H72" s="72" t="s">
        <v>113</v>
      </c>
      <c r="I72" s="10"/>
    </row>
    <row r="73" spans="1:9" ht="25.5" hidden="1" customHeight="1">
      <c r="A73" s="21"/>
      <c r="B73" s="11" t="s">
        <v>70</v>
      </c>
      <c r="C73" s="13" t="s">
        <v>72</v>
      </c>
      <c r="D73" s="11"/>
      <c r="E73" s="15">
        <v>2</v>
      </c>
      <c r="F73" s="10">
        <v>0.2</v>
      </c>
      <c r="G73" s="10">
        <v>536.23</v>
      </c>
      <c r="H73" s="72">
        <f t="shared" si="5"/>
        <v>0.10724600000000001</v>
      </c>
      <c r="I73" s="10">
        <v>0</v>
      </c>
    </row>
    <row r="74" spans="1:9" ht="21.75" hidden="1" customHeight="1">
      <c r="A74" s="21"/>
      <c r="B74" s="11" t="s">
        <v>71</v>
      </c>
      <c r="C74" s="13" t="s">
        <v>29</v>
      </c>
      <c r="D74" s="11"/>
      <c r="E74" s="15">
        <v>1</v>
      </c>
      <c r="F74" s="54">
        <v>1</v>
      </c>
      <c r="G74" s="10">
        <v>911.85</v>
      </c>
      <c r="H74" s="72">
        <f>F74*G74/1000</f>
        <v>0.91185000000000005</v>
      </c>
      <c r="I74" s="10">
        <v>0</v>
      </c>
    </row>
    <row r="75" spans="1:9" ht="24" hidden="1" customHeight="1">
      <c r="A75" s="21"/>
      <c r="B75" s="11" t="s">
        <v>120</v>
      </c>
      <c r="C75" s="13" t="s">
        <v>29</v>
      </c>
      <c r="D75" s="11"/>
      <c r="E75" s="15">
        <v>1</v>
      </c>
      <c r="F75" s="10">
        <v>1</v>
      </c>
      <c r="G75" s="10">
        <v>383.25</v>
      </c>
      <c r="H75" s="72">
        <f>G75*F75/1000</f>
        <v>0.38324999999999998</v>
      </c>
      <c r="I75" s="10">
        <v>0</v>
      </c>
    </row>
    <row r="76" spans="1:9" ht="14.25" customHeight="1">
      <c r="A76" s="21">
        <v>18</v>
      </c>
      <c r="B76" s="94" t="s">
        <v>155</v>
      </c>
      <c r="C76" s="115" t="s">
        <v>104</v>
      </c>
      <c r="D76" s="94" t="s">
        <v>171</v>
      </c>
      <c r="E76" s="14">
        <v>2</v>
      </c>
      <c r="F76" s="27">
        <f>E76*12</f>
        <v>24</v>
      </c>
      <c r="G76" s="27">
        <v>404</v>
      </c>
      <c r="H76" s="72"/>
      <c r="I76" s="10">
        <f>G76*F76/12</f>
        <v>808</v>
      </c>
    </row>
    <row r="77" spans="1:9" ht="21.75" hidden="1" customHeight="1">
      <c r="A77" s="21"/>
      <c r="B77" s="74" t="s">
        <v>73</v>
      </c>
      <c r="C77" s="13"/>
      <c r="D77" s="11"/>
      <c r="E77" s="15"/>
      <c r="F77" s="10"/>
      <c r="G77" s="10" t="s">
        <v>113</v>
      </c>
      <c r="H77" s="72" t="s">
        <v>113</v>
      </c>
      <c r="I77" s="10"/>
    </row>
    <row r="78" spans="1:9" ht="21" hidden="1" customHeight="1">
      <c r="A78" s="21"/>
      <c r="B78" s="36" t="s">
        <v>114</v>
      </c>
      <c r="C78" s="13" t="s">
        <v>74</v>
      </c>
      <c r="D78" s="11"/>
      <c r="E78" s="15"/>
      <c r="F78" s="10">
        <v>1.35</v>
      </c>
      <c r="G78" s="10">
        <v>2949.85</v>
      </c>
      <c r="H78" s="72">
        <f t="shared" si="5"/>
        <v>3.9822975</v>
      </c>
      <c r="I78" s="10">
        <v>0</v>
      </c>
    </row>
    <row r="79" spans="1:9" ht="22.5" hidden="1" customHeight="1">
      <c r="A79" s="21"/>
      <c r="B79" s="53" t="s">
        <v>86</v>
      </c>
      <c r="C79" s="75"/>
      <c r="D79" s="23"/>
      <c r="E79" s="24"/>
      <c r="F79" s="64"/>
      <c r="G79" s="64"/>
      <c r="H79" s="76">
        <f>SUM(H58:H78)</f>
        <v>71.078928144000002</v>
      </c>
      <c r="I79" s="64"/>
    </row>
    <row r="80" spans="1:9" ht="19.5" hidden="1" customHeight="1">
      <c r="A80" s="91"/>
      <c r="B80" s="68" t="s">
        <v>111</v>
      </c>
      <c r="C80" s="96"/>
      <c r="D80" s="97"/>
      <c r="E80" s="77"/>
      <c r="F80" s="89">
        <v>1</v>
      </c>
      <c r="G80" s="89">
        <v>7101.4</v>
      </c>
      <c r="H80" s="98">
        <f>G80*F80/1000</f>
        <v>7.1013999999999999</v>
      </c>
      <c r="I80" s="89">
        <v>0</v>
      </c>
    </row>
    <row r="81" spans="1:9" ht="19.5" customHeight="1">
      <c r="A81" s="21"/>
      <c r="B81" s="116" t="s">
        <v>156</v>
      </c>
      <c r="C81" s="117"/>
      <c r="D81" s="118"/>
      <c r="E81" s="119"/>
      <c r="F81" s="120"/>
      <c r="G81" s="120"/>
      <c r="H81" s="10"/>
      <c r="I81" s="10"/>
    </row>
    <row r="82" spans="1:9" ht="32.25" customHeight="1">
      <c r="A82" s="21">
        <v>19</v>
      </c>
      <c r="B82" s="94" t="s">
        <v>157</v>
      </c>
      <c r="C82" s="121" t="s">
        <v>158</v>
      </c>
      <c r="D82" s="118"/>
      <c r="E82" s="119">
        <v>2054.6</v>
      </c>
      <c r="F82" s="120">
        <f>E82*12</f>
        <v>24655.199999999997</v>
      </c>
      <c r="G82" s="120">
        <v>2.4900000000000002</v>
      </c>
      <c r="H82" s="10"/>
      <c r="I82" s="10">
        <f>G82*F82/12</f>
        <v>5115.9539999999997</v>
      </c>
    </row>
    <row r="83" spans="1:9" ht="15.75" customHeight="1">
      <c r="A83" s="175" t="s">
        <v>124</v>
      </c>
      <c r="B83" s="175"/>
      <c r="C83" s="175"/>
      <c r="D83" s="175"/>
      <c r="E83" s="175"/>
      <c r="F83" s="175"/>
      <c r="G83" s="175"/>
      <c r="H83" s="175"/>
      <c r="I83" s="175"/>
    </row>
    <row r="84" spans="1:9" ht="15.75" customHeight="1">
      <c r="A84" s="99">
        <v>20</v>
      </c>
      <c r="B84" s="126" t="s">
        <v>112</v>
      </c>
      <c r="C84" s="122" t="s">
        <v>53</v>
      </c>
      <c r="D84" s="123"/>
      <c r="E84" s="124">
        <v>2054.6</v>
      </c>
      <c r="F84" s="124">
        <f>SUM(E84*12)</f>
        <v>24655.199999999997</v>
      </c>
      <c r="G84" s="124">
        <v>3.38</v>
      </c>
      <c r="H84" s="100">
        <f>SUM(F84*G84/1000)</f>
        <v>83.334575999999984</v>
      </c>
      <c r="I84" s="101">
        <f>F84/12*G84</f>
        <v>6944.5479999999998</v>
      </c>
    </row>
    <row r="85" spans="1:9" ht="31.5" customHeight="1">
      <c r="A85" s="21">
        <v>21</v>
      </c>
      <c r="B85" s="94" t="s">
        <v>159</v>
      </c>
      <c r="C85" s="115" t="s">
        <v>53</v>
      </c>
      <c r="D85" s="39"/>
      <c r="E85" s="102">
        <f>E84</f>
        <v>2054.6</v>
      </c>
      <c r="F85" s="27">
        <f>E85*12</f>
        <v>24655.199999999997</v>
      </c>
      <c r="G85" s="27">
        <v>3.05</v>
      </c>
      <c r="H85" s="72">
        <f>F85*G85/1000</f>
        <v>75.19835999999998</v>
      </c>
      <c r="I85" s="10">
        <f>F85/12*G85</f>
        <v>6266.53</v>
      </c>
    </row>
    <row r="86" spans="1:9" ht="31.5" hidden="1" customHeight="1">
      <c r="A86" s="21">
        <v>21</v>
      </c>
      <c r="B86" s="94" t="s">
        <v>160</v>
      </c>
      <c r="C86" s="115" t="s">
        <v>161</v>
      </c>
      <c r="D86" s="39"/>
      <c r="E86" s="125">
        <v>2054.6</v>
      </c>
      <c r="F86" s="27">
        <f>E86*1</f>
        <v>2054.6</v>
      </c>
      <c r="G86" s="27">
        <v>3.05</v>
      </c>
      <c r="H86" s="72"/>
      <c r="I86" s="10">
        <f>G86*F86*1</f>
        <v>6266.53</v>
      </c>
    </row>
    <row r="87" spans="1:9" ht="15.75" customHeight="1">
      <c r="A87" s="21"/>
      <c r="B87" s="28" t="s">
        <v>76</v>
      </c>
      <c r="C87" s="75"/>
      <c r="D87" s="74"/>
      <c r="E87" s="64"/>
      <c r="F87" s="64"/>
      <c r="G87" s="64"/>
      <c r="H87" s="76">
        <f>H85</f>
        <v>75.19835999999998</v>
      </c>
      <c r="I87" s="64">
        <f>I85+I84+I82+I76+I62+I61+I59+I58+I55+I44+I43+I42+I41+I40+I38+I37+I21+I20+I18+I17+I16</f>
        <v>51576.628454833335</v>
      </c>
    </row>
    <row r="88" spans="1:9" ht="15.75" customHeight="1">
      <c r="A88" s="177" t="s">
        <v>58</v>
      </c>
      <c r="B88" s="178"/>
      <c r="C88" s="178"/>
      <c r="D88" s="178"/>
      <c r="E88" s="178"/>
      <c r="F88" s="178"/>
      <c r="G88" s="178"/>
      <c r="H88" s="178"/>
      <c r="I88" s="179"/>
    </row>
    <row r="89" spans="1:9" ht="15.75" customHeight="1">
      <c r="A89" s="21"/>
      <c r="B89" s="34" t="s">
        <v>49</v>
      </c>
      <c r="C89" s="30"/>
      <c r="D89" s="37"/>
      <c r="E89" s="30">
        <v>1</v>
      </c>
      <c r="F89" s="30"/>
      <c r="G89" s="30"/>
      <c r="H89" s="30"/>
      <c r="I89" s="24">
        <v>0</v>
      </c>
    </row>
    <row r="90" spans="1:9" ht="15.75" customHeight="1">
      <c r="A90" s="21"/>
      <c r="B90" s="36" t="s">
        <v>75</v>
      </c>
      <c r="C90" s="12"/>
      <c r="D90" s="12"/>
      <c r="E90" s="31"/>
      <c r="F90" s="31"/>
      <c r="G90" s="32"/>
      <c r="H90" s="32"/>
      <c r="I90" s="14">
        <v>0</v>
      </c>
    </row>
    <row r="91" spans="1:9" ht="15.75" customHeight="1">
      <c r="A91" s="38"/>
      <c r="B91" s="35" t="s">
        <v>143</v>
      </c>
      <c r="C91" s="26"/>
      <c r="D91" s="26"/>
      <c r="E91" s="26"/>
      <c r="F91" s="26"/>
      <c r="G91" s="26"/>
      <c r="H91" s="26"/>
      <c r="I91" s="33">
        <f>I87+I89</f>
        <v>51576.628454833335</v>
      </c>
    </row>
    <row r="92" spans="1:9" ht="15.75" hidden="1" customHeight="1">
      <c r="A92" s="186"/>
      <c r="B92" s="187"/>
      <c r="C92" s="187"/>
      <c r="D92" s="187"/>
      <c r="E92" s="187"/>
      <c r="F92" s="187"/>
      <c r="G92" s="187"/>
      <c r="H92" s="187"/>
      <c r="I92" s="187"/>
    </row>
    <row r="93" spans="1:9" ht="15.75">
      <c r="A93" s="176" t="s">
        <v>210</v>
      </c>
      <c r="B93" s="176"/>
      <c r="C93" s="176"/>
      <c r="D93" s="176"/>
      <c r="E93" s="176"/>
      <c r="F93" s="176"/>
      <c r="G93" s="176"/>
      <c r="H93" s="176"/>
      <c r="I93" s="176"/>
    </row>
    <row r="94" spans="1:9" ht="15.75">
      <c r="A94" s="46"/>
      <c r="B94" s="171" t="s">
        <v>211</v>
      </c>
      <c r="C94" s="171"/>
      <c r="D94" s="171"/>
      <c r="E94" s="171"/>
      <c r="F94" s="171"/>
      <c r="G94" s="171"/>
      <c r="H94" s="57"/>
      <c r="I94" s="2"/>
    </row>
    <row r="95" spans="1:9">
      <c r="A95" s="49"/>
      <c r="B95" s="167" t="s">
        <v>6</v>
      </c>
      <c r="C95" s="167"/>
      <c r="D95" s="167"/>
      <c r="E95" s="167"/>
      <c r="F95" s="167"/>
      <c r="G95" s="167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72" t="s">
        <v>7</v>
      </c>
      <c r="B97" s="172"/>
      <c r="C97" s="172"/>
      <c r="D97" s="172"/>
      <c r="E97" s="172"/>
      <c r="F97" s="172"/>
      <c r="G97" s="172"/>
      <c r="H97" s="172"/>
      <c r="I97" s="172"/>
    </row>
    <row r="98" spans="1:9" ht="15.75">
      <c r="A98" s="172" t="s">
        <v>8</v>
      </c>
      <c r="B98" s="172"/>
      <c r="C98" s="172"/>
      <c r="D98" s="172"/>
      <c r="E98" s="172"/>
      <c r="F98" s="172"/>
      <c r="G98" s="172"/>
      <c r="H98" s="172"/>
      <c r="I98" s="172"/>
    </row>
    <row r="99" spans="1:9" ht="15.75">
      <c r="A99" s="173" t="s">
        <v>59</v>
      </c>
      <c r="B99" s="173"/>
      <c r="C99" s="173"/>
      <c r="D99" s="173"/>
      <c r="E99" s="173"/>
      <c r="F99" s="173"/>
      <c r="G99" s="173"/>
      <c r="H99" s="173"/>
      <c r="I99" s="173"/>
    </row>
    <row r="100" spans="1:9" ht="15.75">
      <c r="A100" s="8"/>
    </row>
    <row r="101" spans="1:9" ht="15.75">
      <c r="A101" s="174" t="s">
        <v>9</v>
      </c>
      <c r="B101" s="174"/>
      <c r="C101" s="174"/>
      <c r="D101" s="174"/>
      <c r="E101" s="174"/>
      <c r="F101" s="174"/>
      <c r="G101" s="174"/>
      <c r="H101" s="174"/>
      <c r="I101" s="174"/>
    </row>
    <row r="102" spans="1:9" ht="15.75">
      <c r="A102" s="3"/>
    </row>
    <row r="103" spans="1:9" ht="15.75">
      <c r="B103" s="50" t="s">
        <v>10</v>
      </c>
      <c r="C103" s="166" t="s">
        <v>192</v>
      </c>
      <c r="D103" s="166"/>
      <c r="E103" s="166"/>
      <c r="F103" s="55"/>
      <c r="I103" s="48"/>
    </row>
    <row r="104" spans="1:9">
      <c r="A104" s="49"/>
      <c r="C104" s="167" t="s">
        <v>11</v>
      </c>
      <c r="D104" s="167"/>
      <c r="E104" s="167"/>
      <c r="F104" s="16"/>
      <c r="I104" s="47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50" t="s">
        <v>13</v>
      </c>
      <c r="C106" s="168"/>
      <c r="D106" s="168"/>
      <c r="E106" s="168"/>
      <c r="F106" s="56"/>
      <c r="I106" s="48"/>
    </row>
    <row r="107" spans="1:9">
      <c r="A107" s="49"/>
      <c r="C107" s="169" t="s">
        <v>11</v>
      </c>
      <c r="D107" s="169"/>
      <c r="E107" s="169"/>
      <c r="F107" s="49"/>
      <c r="I107" s="47" t="s">
        <v>12</v>
      </c>
    </row>
    <row r="108" spans="1:9" ht="15.75">
      <c r="A108" s="3" t="s">
        <v>14</v>
      </c>
    </row>
    <row r="109" spans="1:9">
      <c r="A109" s="170" t="s">
        <v>15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45" customHeight="1">
      <c r="A110" s="162" t="s">
        <v>16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30" customHeight="1">
      <c r="A111" s="162" t="s">
        <v>17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30" customHeight="1">
      <c r="A112" s="162" t="s">
        <v>21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15" customHeight="1">
      <c r="A113" s="162" t="s">
        <v>20</v>
      </c>
      <c r="B113" s="162"/>
      <c r="C113" s="162"/>
      <c r="D113" s="162"/>
      <c r="E113" s="162"/>
      <c r="F113" s="162"/>
      <c r="G113" s="162"/>
      <c r="H113" s="162"/>
      <c r="I113" s="162"/>
    </row>
  </sheetData>
  <mergeCells count="29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5:I45"/>
    <mergeCell ref="A56:I56"/>
    <mergeCell ref="A83:I83"/>
    <mergeCell ref="A93:I93"/>
    <mergeCell ref="B94:G94"/>
    <mergeCell ref="B95:G95"/>
    <mergeCell ref="A97:I97"/>
    <mergeCell ref="A98:I98"/>
    <mergeCell ref="A99:I99"/>
    <mergeCell ref="A92:I92"/>
    <mergeCell ref="A14:I14"/>
    <mergeCell ref="A88:I88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4"/>
  <sheetViews>
    <sheetView topLeftCell="A45" workbookViewId="0">
      <selection activeCell="B60" sqref="B60:I6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135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212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44316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170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F18/18*1*G18</f>
        <v>1591.1060000000002</v>
      </c>
    </row>
    <row r="19" spans="1:9" ht="15.75" hidden="1" customHeight="1">
      <c r="A19" s="21">
        <v>4</v>
      </c>
      <c r="B19" s="58" t="s">
        <v>87</v>
      </c>
      <c r="C19" s="59" t="s">
        <v>88</v>
      </c>
      <c r="D19" s="58" t="s">
        <v>89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4.2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6.5" hidden="1" customHeight="1">
      <c r="A22" s="21">
        <v>7</v>
      </c>
      <c r="B22" s="58" t="s">
        <v>92</v>
      </c>
      <c r="C22" s="59" t="s">
        <v>51</v>
      </c>
      <c r="D22" s="58" t="s">
        <v>89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7.25" hidden="1" customHeight="1">
      <c r="A23" s="21">
        <v>8</v>
      </c>
      <c r="B23" s="58" t="s">
        <v>93</v>
      </c>
      <c r="C23" s="59" t="s">
        <v>51</v>
      </c>
      <c r="D23" s="58" t="s">
        <v>89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3.5" hidden="1" customHeight="1">
      <c r="A24" s="21">
        <v>9</v>
      </c>
      <c r="B24" s="58" t="s">
        <v>94</v>
      </c>
      <c r="C24" s="59" t="s">
        <v>51</v>
      </c>
      <c r="D24" s="58" t="s">
        <v>95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" hidden="1" customHeight="1">
      <c r="A25" s="21">
        <v>10</v>
      </c>
      <c r="B25" s="58" t="s">
        <v>96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8" hidden="1" customHeight="1">
      <c r="A26" s="21">
        <v>11</v>
      </c>
      <c r="B26" s="58" t="s">
        <v>97</v>
      </c>
      <c r="C26" s="59" t="s">
        <v>51</v>
      </c>
      <c r="D26" s="58" t="s">
        <v>89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hidden="1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102</v>
      </c>
      <c r="C30" s="59" t="s">
        <v>83</v>
      </c>
      <c r="D30" s="58" t="s">
        <v>98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101</v>
      </c>
      <c r="C31" s="59" t="s">
        <v>83</v>
      </c>
      <c r="D31" s="58" t="s">
        <v>99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83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100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8" customHeight="1">
      <c r="A37" s="21">
        <v>6</v>
      </c>
      <c r="B37" s="105" t="s">
        <v>25</v>
      </c>
      <c r="C37" s="29" t="s">
        <v>30</v>
      </c>
      <c r="D37" s="25" t="s">
        <v>213</v>
      </c>
      <c r="E37" s="102"/>
      <c r="F37" s="103">
        <v>5</v>
      </c>
      <c r="G37" s="103">
        <v>1855</v>
      </c>
      <c r="H37" s="62">
        <f t="shared" ref="H37:H44" si="3">SUM(F37*G37/1000)</f>
        <v>9.2750000000000004</v>
      </c>
      <c r="I37" s="10">
        <f>G37*0.5</f>
        <v>927.5</v>
      </c>
    </row>
    <row r="38" spans="1:9" ht="15.75" customHeight="1">
      <c r="A38" s="21">
        <v>7</v>
      </c>
      <c r="B38" s="105" t="s">
        <v>117</v>
      </c>
      <c r="C38" s="106" t="s">
        <v>28</v>
      </c>
      <c r="D38" s="25" t="s">
        <v>179</v>
      </c>
      <c r="E38" s="102">
        <v>186.39</v>
      </c>
      <c r="F38" s="107">
        <f>E38*30/1000</f>
        <v>5.5916999999999994</v>
      </c>
      <c r="G38" s="103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8</v>
      </c>
      <c r="B40" s="25" t="s">
        <v>65</v>
      </c>
      <c r="C40" s="29" t="s">
        <v>28</v>
      </c>
      <c r="D40" s="25" t="s">
        <v>169</v>
      </c>
      <c r="E40" s="103">
        <v>186.39</v>
      </c>
      <c r="F40" s="107">
        <f>SUM(E40*155/1000)</f>
        <v>28.890449999999998</v>
      </c>
      <c r="G40" s="103">
        <v>502.82</v>
      </c>
      <c r="H40" s="62">
        <f t="shared" si="3"/>
        <v>14.526696068999998</v>
      </c>
      <c r="I40" s="10">
        <f>F40/6*G40</f>
        <v>2421.1160114999998</v>
      </c>
    </row>
    <row r="41" spans="1:9" ht="15.75" hidden="1" customHeight="1">
      <c r="A41" s="21">
        <v>10</v>
      </c>
      <c r="B41" s="25" t="s">
        <v>126</v>
      </c>
      <c r="C41" s="29" t="s">
        <v>127</v>
      </c>
      <c r="D41" s="25" t="s">
        <v>162</v>
      </c>
      <c r="E41" s="102"/>
      <c r="F41" s="107">
        <v>13</v>
      </c>
      <c r="G41" s="103">
        <v>330</v>
      </c>
      <c r="H41" s="62"/>
      <c r="I41" s="10">
        <f>G41*13</f>
        <v>4290</v>
      </c>
    </row>
    <row r="42" spans="1:9" ht="47.25" customHeight="1">
      <c r="A42" s="21">
        <v>9</v>
      </c>
      <c r="B42" s="25" t="s">
        <v>77</v>
      </c>
      <c r="C42" s="29" t="s">
        <v>83</v>
      </c>
      <c r="D42" s="25" t="s">
        <v>180</v>
      </c>
      <c r="E42" s="103">
        <v>52.2</v>
      </c>
      <c r="F42" s="107">
        <f>E42*24/1000</f>
        <v>1.2528000000000001</v>
      </c>
      <c r="G42" s="103">
        <v>8319.2999999999993</v>
      </c>
      <c r="H42" s="62">
        <f t="shared" si="3"/>
        <v>10.422419040000001</v>
      </c>
      <c r="I42" s="10">
        <f>F42/6*G42</f>
        <v>1737.0698399999999</v>
      </c>
    </row>
    <row r="43" spans="1:9" ht="15.75" hidden="1" customHeight="1">
      <c r="A43" s="21">
        <v>12</v>
      </c>
      <c r="B43" s="25" t="s">
        <v>119</v>
      </c>
      <c r="C43" s="29" t="s">
        <v>83</v>
      </c>
      <c r="D43" s="25" t="s">
        <v>172</v>
      </c>
      <c r="E43" s="103">
        <v>52.2</v>
      </c>
      <c r="F43" s="107">
        <f>SUM(E43*15/1000)</f>
        <v>0.78300000000000003</v>
      </c>
      <c r="G43" s="103">
        <v>614.55999999999995</v>
      </c>
      <c r="H43" s="62">
        <f t="shared" si="3"/>
        <v>0.48120047999999999</v>
      </c>
      <c r="I43" s="10">
        <f>(F43/7.5*1.5)*G43</f>
        <v>96.240096000000008</v>
      </c>
    </row>
    <row r="44" spans="1:9" ht="15.75" hidden="1" customHeight="1">
      <c r="A44" s="91">
        <v>13</v>
      </c>
      <c r="B44" s="105" t="s">
        <v>67</v>
      </c>
      <c r="C44" s="106" t="s">
        <v>31</v>
      </c>
      <c r="D44" s="105"/>
      <c r="E44" s="104"/>
      <c r="F44" s="107">
        <v>0.5</v>
      </c>
      <c r="G44" s="107">
        <v>800</v>
      </c>
      <c r="H44" s="62">
        <f t="shared" si="3"/>
        <v>0.4</v>
      </c>
      <c r="I44" s="10">
        <f>(F44/7.5*1.5)*G44</f>
        <v>80</v>
      </c>
    </row>
    <row r="45" spans="1:9" ht="29.25" customHeight="1">
      <c r="A45" s="21">
        <v>10</v>
      </c>
      <c r="B45" s="105" t="s">
        <v>152</v>
      </c>
      <c r="C45" s="106" t="s">
        <v>83</v>
      </c>
      <c r="D45" s="105" t="s">
        <v>181</v>
      </c>
      <c r="E45" s="104">
        <v>1.8</v>
      </c>
      <c r="F45" s="107">
        <f>E45*12/1000</f>
        <v>2.1600000000000001E-2</v>
      </c>
      <c r="G45" s="107">
        <v>19757.060000000001</v>
      </c>
      <c r="H45" s="10"/>
      <c r="I45" s="10">
        <f>G45*F45/6</f>
        <v>71.125416000000016</v>
      </c>
    </row>
    <row r="46" spans="1:9" ht="20.25" hidden="1" customHeight="1">
      <c r="A46" s="163" t="s">
        <v>122</v>
      </c>
      <c r="B46" s="164"/>
      <c r="C46" s="164"/>
      <c r="D46" s="164"/>
      <c r="E46" s="164"/>
      <c r="F46" s="164"/>
      <c r="G46" s="164"/>
      <c r="H46" s="164"/>
      <c r="I46" s="165"/>
    </row>
    <row r="47" spans="1:9" ht="28.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4">SUM(F47*G47/1000)</f>
        <v>1.5888271549999999</v>
      </c>
      <c r="I47" s="10">
        <v>0</v>
      </c>
    </row>
    <row r="48" spans="1:9" ht="30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4"/>
        <v>5.9468160000000006E-2</v>
      </c>
      <c r="I48" s="10">
        <v>0</v>
      </c>
    </row>
    <row r="49" spans="1:9" ht="31.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4"/>
        <v>1.161363608</v>
      </c>
      <c r="I49" s="10">
        <v>0</v>
      </c>
    </row>
    <row r="50" spans="1:9" ht="24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4"/>
        <v>1.6128822783999999</v>
      </c>
      <c r="I50" s="10">
        <v>0</v>
      </c>
    </row>
    <row r="51" spans="1:9" ht="19.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4"/>
        <v>0.10041360000000001</v>
      </c>
      <c r="I51" s="10">
        <v>0</v>
      </c>
    </row>
    <row r="52" spans="1:9" ht="27" hidden="1" customHeight="1">
      <c r="A52" s="21">
        <v>14</v>
      </c>
      <c r="B52" s="58" t="s">
        <v>54</v>
      </c>
      <c r="C52" s="59" t="s">
        <v>83</v>
      </c>
      <c r="D52" s="58" t="s">
        <v>130</v>
      </c>
      <c r="E52" s="60">
        <v>678.4</v>
      </c>
      <c r="F52" s="61">
        <f>SUM(E52*5/1000)</f>
        <v>3.3919999999999999</v>
      </c>
      <c r="G52" s="10">
        <v>1297.28</v>
      </c>
      <c r="H52" s="62">
        <f t="shared" si="4"/>
        <v>4.4003737599999999</v>
      </c>
      <c r="I52" s="10">
        <f>F52/5*G52</f>
        <v>880.07475199999999</v>
      </c>
    </row>
    <row r="53" spans="1:9" ht="38.25" hidden="1" customHeight="1">
      <c r="A53" s="21">
        <v>13</v>
      </c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4"/>
        <v>1.7601495039999999</v>
      </c>
      <c r="I53" s="10">
        <f>F53/2*G53</f>
        <v>880.07475199999999</v>
      </c>
    </row>
    <row r="54" spans="1:9" ht="33.75" hidden="1" customHeight="1">
      <c r="A54" s="21">
        <v>14</v>
      </c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4"/>
        <v>0.70053359999999998</v>
      </c>
      <c r="I54" s="10">
        <f t="shared" ref="I54:I55" si="5">F54/2*G54</f>
        <v>350.26679999999999</v>
      </c>
    </row>
    <row r="55" spans="1:9" ht="22.5" hidden="1" customHeight="1">
      <c r="A55" s="21">
        <v>15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4"/>
        <v>0.1208424</v>
      </c>
      <c r="I55" s="10">
        <f t="shared" si="5"/>
        <v>60.421199999999999</v>
      </c>
    </row>
    <row r="56" spans="1:9" ht="21.75" hidden="1" customHeight="1">
      <c r="A56" s="21">
        <v>16</v>
      </c>
      <c r="B56" s="58" t="s">
        <v>40</v>
      </c>
      <c r="C56" s="59" t="s">
        <v>104</v>
      </c>
      <c r="D56" s="58" t="s">
        <v>68</v>
      </c>
      <c r="E56" s="60">
        <v>72</v>
      </c>
      <c r="F56" s="61">
        <f>SUM(E56)*3</f>
        <v>216</v>
      </c>
      <c r="G56" s="10">
        <v>70.209999999999994</v>
      </c>
      <c r="H56" s="62">
        <f t="shared" si="4"/>
        <v>15.165359999999998</v>
      </c>
      <c r="I56" s="10">
        <f>E56*G56</f>
        <v>5055.12</v>
      </c>
    </row>
    <row r="57" spans="1:9" ht="15.75" customHeight="1">
      <c r="A57" s="163" t="s">
        <v>133</v>
      </c>
      <c r="B57" s="164"/>
      <c r="C57" s="164"/>
      <c r="D57" s="164"/>
      <c r="E57" s="164"/>
      <c r="F57" s="164"/>
      <c r="G57" s="164"/>
      <c r="H57" s="164"/>
      <c r="I57" s="165"/>
    </row>
    <row r="58" spans="1:9" ht="15.75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33.75" customHeight="1">
      <c r="A59" s="21">
        <v>11</v>
      </c>
      <c r="B59" s="25" t="s">
        <v>105</v>
      </c>
      <c r="C59" s="29" t="s">
        <v>80</v>
      </c>
      <c r="D59" s="25"/>
      <c r="E59" s="102">
        <v>80.69</v>
      </c>
      <c r="F59" s="103">
        <f>SUM(E59*6/100)</f>
        <v>4.8414000000000001</v>
      </c>
      <c r="G59" s="27">
        <v>2218.11</v>
      </c>
      <c r="H59" s="62">
        <f>SUM(F59*G59/1000)</f>
        <v>10.738757754</v>
      </c>
      <c r="I59" s="10">
        <f>G59*0.5571</f>
        <v>1235.7090810000002</v>
      </c>
    </row>
    <row r="60" spans="1:9" ht="18.75" customHeight="1">
      <c r="A60" s="21">
        <v>12</v>
      </c>
      <c r="B60" s="108" t="s">
        <v>128</v>
      </c>
      <c r="C60" s="109" t="s">
        <v>129</v>
      </c>
      <c r="D60" s="108" t="s">
        <v>214</v>
      </c>
      <c r="E60" s="110"/>
      <c r="F60" s="111">
        <v>5</v>
      </c>
      <c r="G60" s="112">
        <v>1730</v>
      </c>
      <c r="H60" s="95"/>
      <c r="I60" s="10">
        <f>G60*1</f>
        <v>1730</v>
      </c>
    </row>
    <row r="61" spans="1:9" ht="18" customHeight="1">
      <c r="A61" s="21"/>
      <c r="B61" s="113" t="s">
        <v>154</v>
      </c>
      <c r="C61" s="109"/>
      <c r="D61" s="108"/>
      <c r="E61" s="110"/>
      <c r="F61" s="114"/>
      <c r="G61" s="27"/>
      <c r="H61" s="95"/>
      <c r="I61" s="10"/>
    </row>
    <row r="62" spans="1:9" ht="19.5" customHeight="1">
      <c r="A62" s="21">
        <v>13</v>
      </c>
      <c r="B62" s="94" t="s">
        <v>148</v>
      </c>
      <c r="C62" s="115" t="s">
        <v>149</v>
      </c>
      <c r="D62" s="94" t="s">
        <v>171</v>
      </c>
      <c r="E62" s="128">
        <v>120</v>
      </c>
      <c r="F62" s="114">
        <f>E62*12</f>
        <v>1440</v>
      </c>
      <c r="G62" s="27">
        <v>1.4</v>
      </c>
      <c r="H62" s="71"/>
      <c r="I62" s="10">
        <f>G62*F62/12</f>
        <v>167.99999999999997</v>
      </c>
    </row>
    <row r="63" spans="1:9" ht="22.5" hidden="1" customHeight="1">
      <c r="A63" s="21"/>
      <c r="B63" s="127" t="s">
        <v>43</v>
      </c>
      <c r="C63" s="130"/>
      <c r="D63" s="129"/>
      <c r="E63" s="69"/>
      <c r="F63" s="70"/>
      <c r="G63" s="70"/>
      <c r="H63" s="71" t="s">
        <v>113</v>
      </c>
      <c r="I63" s="10"/>
    </row>
    <row r="64" spans="1:9" ht="27" hidden="1" customHeight="1">
      <c r="A64" s="21">
        <v>12</v>
      </c>
      <c r="B64" s="11" t="s">
        <v>44</v>
      </c>
      <c r="C64" s="13" t="s">
        <v>104</v>
      </c>
      <c r="D64" s="11" t="s">
        <v>170</v>
      </c>
      <c r="E64" s="15">
        <v>8</v>
      </c>
      <c r="F64" s="61">
        <v>8</v>
      </c>
      <c r="G64" s="90">
        <v>318.82</v>
      </c>
      <c r="H64" s="72">
        <f t="shared" ref="H64:H80" si="6">SUM(F64*G64/1000)</f>
        <v>2.5505599999999999</v>
      </c>
      <c r="I64" s="10">
        <f>G64</f>
        <v>318.82</v>
      </c>
    </row>
    <row r="65" spans="1:9" ht="24" hidden="1" customHeight="1">
      <c r="A65" s="21"/>
      <c r="B65" s="11" t="s">
        <v>45</v>
      </c>
      <c r="C65" s="13" t="s">
        <v>104</v>
      </c>
      <c r="D65" s="11" t="s">
        <v>64</v>
      </c>
      <c r="E65" s="15">
        <v>3</v>
      </c>
      <c r="F65" s="61">
        <v>3</v>
      </c>
      <c r="G65" s="10">
        <v>81.510000000000005</v>
      </c>
      <c r="H65" s="72">
        <f t="shared" si="6"/>
        <v>0.24453000000000003</v>
      </c>
      <c r="I65" s="10">
        <v>0</v>
      </c>
    </row>
    <row r="66" spans="1:9" ht="24.75" hidden="1" customHeight="1">
      <c r="A66" s="21"/>
      <c r="B66" s="11" t="s">
        <v>46</v>
      </c>
      <c r="C66" s="13" t="s">
        <v>107</v>
      </c>
      <c r="D66" s="11" t="s">
        <v>52</v>
      </c>
      <c r="E66" s="60">
        <v>8539</v>
      </c>
      <c r="F66" s="10">
        <f>SUM(E66/100)</f>
        <v>85.39</v>
      </c>
      <c r="G66" s="10">
        <v>226.79</v>
      </c>
      <c r="H66" s="72">
        <f t="shared" si="6"/>
        <v>19.3655981</v>
      </c>
      <c r="I66" s="10">
        <v>0</v>
      </c>
    </row>
    <row r="67" spans="1:9" ht="21" hidden="1" customHeight="1">
      <c r="A67" s="21"/>
      <c r="B67" s="11" t="s">
        <v>47</v>
      </c>
      <c r="C67" s="13" t="s">
        <v>108</v>
      </c>
      <c r="D67" s="11"/>
      <c r="E67" s="60">
        <v>8539</v>
      </c>
      <c r="F67" s="10">
        <f>SUM(E67/1000)</f>
        <v>8.5389999999999997</v>
      </c>
      <c r="G67" s="10">
        <v>176.61</v>
      </c>
      <c r="H67" s="72">
        <f t="shared" si="6"/>
        <v>1.5080727900000002</v>
      </c>
      <c r="I67" s="10">
        <v>0</v>
      </c>
    </row>
    <row r="68" spans="1:9" ht="22.5" hidden="1" customHeight="1">
      <c r="A68" s="21"/>
      <c r="B68" s="11" t="s">
        <v>48</v>
      </c>
      <c r="C68" s="13" t="s">
        <v>74</v>
      </c>
      <c r="D68" s="11" t="s">
        <v>52</v>
      </c>
      <c r="E68" s="60">
        <v>1370</v>
      </c>
      <c r="F68" s="10">
        <f>SUM(E68/100)</f>
        <v>13.7</v>
      </c>
      <c r="G68" s="10">
        <v>2217.7800000000002</v>
      </c>
      <c r="H68" s="72">
        <f t="shared" si="6"/>
        <v>30.383586000000005</v>
      </c>
      <c r="I68" s="10">
        <v>0</v>
      </c>
    </row>
    <row r="69" spans="1:9" ht="24" hidden="1" customHeight="1">
      <c r="A69" s="21"/>
      <c r="B69" s="73" t="s">
        <v>109</v>
      </c>
      <c r="C69" s="13" t="s">
        <v>31</v>
      </c>
      <c r="D69" s="11"/>
      <c r="E69" s="60">
        <v>9</v>
      </c>
      <c r="F69" s="10">
        <f>SUM(E69)</f>
        <v>9</v>
      </c>
      <c r="G69" s="10">
        <v>42.67</v>
      </c>
      <c r="H69" s="72">
        <f t="shared" si="6"/>
        <v>0.38403000000000004</v>
      </c>
      <c r="I69" s="10">
        <v>0</v>
      </c>
    </row>
    <row r="70" spans="1:9" ht="22.5" hidden="1" customHeight="1">
      <c r="A70" s="21"/>
      <c r="B70" s="73" t="s">
        <v>110</v>
      </c>
      <c r="C70" s="13" t="s">
        <v>31</v>
      </c>
      <c r="D70" s="11"/>
      <c r="E70" s="60">
        <v>9</v>
      </c>
      <c r="F70" s="10">
        <f>SUM(E70)</f>
        <v>9</v>
      </c>
      <c r="G70" s="10">
        <v>39.81</v>
      </c>
      <c r="H70" s="72">
        <f t="shared" si="6"/>
        <v>0.35829</v>
      </c>
      <c r="I70" s="10">
        <v>0</v>
      </c>
    </row>
    <row r="71" spans="1:9" ht="22.5" hidden="1" customHeight="1">
      <c r="A71" s="21"/>
      <c r="B71" s="11" t="s">
        <v>55</v>
      </c>
      <c r="C71" s="13" t="s">
        <v>56</v>
      </c>
      <c r="D71" s="11" t="s">
        <v>52</v>
      </c>
      <c r="E71" s="15">
        <v>3</v>
      </c>
      <c r="F71" s="61">
        <v>3</v>
      </c>
      <c r="G71" s="10">
        <v>53.62</v>
      </c>
      <c r="H71" s="72">
        <f t="shared" si="6"/>
        <v>0.16085999999999998</v>
      </c>
      <c r="I71" s="10">
        <v>0</v>
      </c>
    </row>
    <row r="72" spans="1:9" ht="22.5" customHeight="1">
      <c r="A72" s="21"/>
      <c r="B72" s="116" t="s">
        <v>156</v>
      </c>
      <c r="C72" s="117"/>
      <c r="D72" s="118"/>
      <c r="E72" s="119"/>
      <c r="F72" s="120"/>
      <c r="G72" s="120"/>
      <c r="H72" s="10"/>
      <c r="I72" s="10"/>
    </row>
    <row r="73" spans="1:9" ht="30" customHeight="1">
      <c r="A73" s="21">
        <v>14</v>
      </c>
      <c r="B73" s="94" t="s">
        <v>157</v>
      </c>
      <c r="C73" s="121" t="s">
        <v>158</v>
      </c>
      <c r="D73" s="118"/>
      <c r="E73" s="119">
        <v>2054.6</v>
      </c>
      <c r="F73" s="120">
        <f>E73*12</f>
        <v>24655.199999999997</v>
      </c>
      <c r="G73" s="120">
        <v>2.4900000000000002</v>
      </c>
      <c r="H73" s="10"/>
      <c r="I73" s="10">
        <f>G73*F73/12</f>
        <v>5115.9539999999997</v>
      </c>
    </row>
    <row r="74" spans="1:9" ht="21" customHeight="1">
      <c r="A74" s="21"/>
      <c r="B74" s="23" t="s">
        <v>69</v>
      </c>
      <c r="C74" s="13"/>
      <c r="D74" s="11"/>
      <c r="E74" s="15"/>
      <c r="F74" s="10"/>
      <c r="G74" s="10"/>
      <c r="H74" s="72" t="s">
        <v>113</v>
      </c>
      <c r="I74" s="10"/>
    </row>
    <row r="75" spans="1:9" ht="20.25" hidden="1" customHeight="1">
      <c r="A75" s="21"/>
      <c r="B75" s="11" t="s">
        <v>70</v>
      </c>
      <c r="C75" s="13" t="s">
        <v>72</v>
      </c>
      <c r="D75" s="11"/>
      <c r="E75" s="15">
        <v>2</v>
      </c>
      <c r="F75" s="10">
        <v>0.2</v>
      </c>
      <c r="G75" s="10">
        <v>536.23</v>
      </c>
      <c r="H75" s="72">
        <f t="shared" si="6"/>
        <v>0.10724600000000001</v>
      </c>
      <c r="I75" s="10">
        <v>0</v>
      </c>
    </row>
    <row r="76" spans="1:9" ht="20.25" hidden="1" customHeight="1">
      <c r="A76" s="21"/>
      <c r="B76" s="11" t="s">
        <v>71</v>
      </c>
      <c r="C76" s="13" t="s">
        <v>29</v>
      </c>
      <c r="D76" s="11"/>
      <c r="E76" s="15">
        <v>1</v>
      </c>
      <c r="F76" s="54">
        <v>1</v>
      </c>
      <c r="G76" s="10">
        <v>911.85</v>
      </c>
      <c r="H76" s="72">
        <f>F76*G76/1000</f>
        <v>0.91185000000000005</v>
      </c>
      <c r="I76" s="10">
        <v>0</v>
      </c>
    </row>
    <row r="77" spans="1:9" ht="18" hidden="1" customHeight="1">
      <c r="A77" s="21"/>
      <c r="B77" s="11" t="s">
        <v>120</v>
      </c>
      <c r="C77" s="13" t="s">
        <v>29</v>
      </c>
      <c r="D77" s="11"/>
      <c r="E77" s="15">
        <v>1</v>
      </c>
      <c r="F77" s="10">
        <v>1</v>
      </c>
      <c r="G77" s="10">
        <v>383.25</v>
      </c>
      <c r="H77" s="72">
        <f>G77*F77/1000</f>
        <v>0.38324999999999998</v>
      </c>
      <c r="I77" s="10">
        <v>0</v>
      </c>
    </row>
    <row r="78" spans="1:9" ht="18" customHeight="1">
      <c r="A78" s="21">
        <v>15</v>
      </c>
      <c r="B78" s="94" t="s">
        <v>155</v>
      </c>
      <c r="C78" s="115" t="s">
        <v>104</v>
      </c>
      <c r="D78" s="94" t="s">
        <v>171</v>
      </c>
      <c r="E78" s="14">
        <v>2</v>
      </c>
      <c r="F78" s="27">
        <f>E78*12</f>
        <v>24</v>
      </c>
      <c r="G78" s="27">
        <v>404</v>
      </c>
      <c r="H78" s="72"/>
      <c r="I78" s="10">
        <f>G78*F78/12</f>
        <v>808</v>
      </c>
    </row>
    <row r="79" spans="1:9" ht="18.75" hidden="1" customHeight="1">
      <c r="A79" s="21"/>
      <c r="B79" s="74" t="s">
        <v>73</v>
      </c>
      <c r="C79" s="13"/>
      <c r="D79" s="11"/>
      <c r="E79" s="15"/>
      <c r="F79" s="10"/>
      <c r="G79" s="10" t="s">
        <v>113</v>
      </c>
      <c r="H79" s="72" t="s">
        <v>113</v>
      </c>
      <c r="I79" s="10"/>
    </row>
    <row r="80" spans="1:9" ht="23.25" hidden="1" customHeight="1">
      <c r="A80" s="21"/>
      <c r="B80" s="36" t="s">
        <v>114</v>
      </c>
      <c r="C80" s="13" t="s">
        <v>74</v>
      </c>
      <c r="D80" s="11"/>
      <c r="E80" s="15"/>
      <c r="F80" s="10">
        <v>1.35</v>
      </c>
      <c r="G80" s="10">
        <v>2949.85</v>
      </c>
      <c r="H80" s="72">
        <f t="shared" si="6"/>
        <v>3.9822975</v>
      </c>
      <c r="I80" s="10">
        <v>0</v>
      </c>
    </row>
    <row r="81" spans="1:9" ht="19.5" customHeight="1">
      <c r="A81" s="21"/>
      <c r="B81" s="53" t="s">
        <v>86</v>
      </c>
      <c r="C81" s="75"/>
      <c r="D81" s="23"/>
      <c r="E81" s="24"/>
      <c r="F81" s="64"/>
      <c r="G81" s="64"/>
      <c r="H81" s="76">
        <f>SUM(H59:H80)</f>
        <v>71.078928144000002</v>
      </c>
      <c r="I81" s="64"/>
    </row>
    <row r="82" spans="1:9" ht="16.5" customHeight="1">
      <c r="A82" s="21">
        <v>16</v>
      </c>
      <c r="B82" s="58" t="s">
        <v>111</v>
      </c>
      <c r="C82" s="13"/>
      <c r="D82" s="11"/>
      <c r="E82" s="77"/>
      <c r="F82" s="10">
        <v>1</v>
      </c>
      <c r="G82" s="10">
        <v>234.9</v>
      </c>
      <c r="H82" s="72">
        <f>G82*F82/1000</f>
        <v>0.2349</v>
      </c>
      <c r="I82" s="10">
        <f>G82*1</f>
        <v>234.9</v>
      </c>
    </row>
    <row r="83" spans="1:9" ht="15.75" customHeight="1">
      <c r="A83" s="163" t="s">
        <v>134</v>
      </c>
      <c r="B83" s="164"/>
      <c r="C83" s="164"/>
      <c r="D83" s="164"/>
      <c r="E83" s="164"/>
      <c r="F83" s="164"/>
      <c r="G83" s="164"/>
      <c r="H83" s="164"/>
      <c r="I83" s="165"/>
    </row>
    <row r="84" spans="1:9" ht="15.75" customHeight="1">
      <c r="A84" s="21">
        <v>17</v>
      </c>
      <c r="B84" s="94" t="s">
        <v>112</v>
      </c>
      <c r="C84" s="115" t="s">
        <v>53</v>
      </c>
      <c r="D84" s="133"/>
      <c r="E84" s="27">
        <v>2054.6</v>
      </c>
      <c r="F84" s="27">
        <f>SUM(E84*12)</f>
        <v>24655.199999999997</v>
      </c>
      <c r="G84" s="27">
        <v>3.38</v>
      </c>
      <c r="H84" s="10">
        <f>SUM(F84*G84/1000)</f>
        <v>83.334575999999984</v>
      </c>
      <c r="I84" s="10">
        <f>F84/12*G84</f>
        <v>6944.5479999999998</v>
      </c>
    </row>
    <row r="85" spans="1:9" ht="31.5" customHeight="1">
      <c r="A85" s="21">
        <v>18</v>
      </c>
      <c r="B85" s="94" t="s">
        <v>159</v>
      </c>
      <c r="C85" s="115" t="s">
        <v>53</v>
      </c>
      <c r="D85" s="131"/>
      <c r="E85" s="132">
        <f>E84</f>
        <v>2054.6</v>
      </c>
      <c r="F85" s="124">
        <f>E85*12</f>
        <v>24655.199999999997</v>
      </c>
      <c r="G85" s="124">
        <v>3.05</v>
      </c>
      <c r="H85" s="100">
        <f>F85*G85/1000</f>
        <v>75.19835999999998</v>
      </c>
      <c r="I85" s="101">
        <f>F85/12*G85</f>
        <v>6266.53</v>
      </c>
    </row>
    <row r="86" spans="1:9" ht="15.75" customHeight="1">
      <c r="A86" s="21"/>
      <c r="B86" s="28" t="s">
        <v>76</v>
      </c>
      <c r="C86" s="75"/>
      <c r="D86" s="74"/>
      <c r="E86" s="64"/>
      <c r="F86" s="64"/>
      <c r="G86" s="64"/>
      <c r="H86" s="76">
        <f>H85</f>
        <v>75.19835999999998</v>
      </c>
      <c r="I86" s="64">
        <f>I85+I84+I78+I73+I62+I60+I59+I45+I42+I40+I38+I37+I21+I20+I18+I17+I16+I82</f>
        <v>37522.567138499995</v>
      </c>
    </row>
    <row r="87" spans="1:9" ht="15.75" customHeight="1">
      <c r="A87" s="177" t="s">
        <v>58</v>
      </c>
      <c r="B87" s="178"/>
      <c r="C87" s="178"/>
      <c r="D87" s="178"/>
      <c r="E87" s="178"/>
      <c r="F87" s="178"/>
      <c r="G87" s="178"/>
      <c r="H87" s="178"/>
      <c r="I87" s="179"/>
    </row>
    <row r="88" spans="1:9" ht="17.25" customHeight="1">
      <c r="A88" s="21">
        <v>19</v>
      </c>
      <c r="B88" s="88" t="s">
        <v>215</v>
      </c>
      <c r="C88" s="40" t="s">
        <v>39</v>
      </c>
      <c r="D88" s="39" t="s">
        <v>172</v>
      </c>
      <c r="E88" s="27"/>
      <c r="F88" s="27">
        <v>0.02</v>
      </c>
      <c r="G88" s="27">
        <v>28224.75</v>
      </c>
      <c r="H88" s="71"/>
      <c r="I88" s="89">
        <v>0</v>
      </c>
    </row>
    <row r="89" spans="1:9" ht="15.75" customHeight="1">
      <c r="A89" s="21">
        <v>20</v>
      </c>
      <c r="B89" s="88" t="s">
        <v>216</v>
      </c>
      <c r="C89" s="40" t="s">
        <v>29</v>
      </c>
      <c r="D89" s="39" t="s">
        <v>217</v>
      </c>
      <c r="E89" s="27"/>
      <c r="F89" s="27">
        <v>1</v>
      </c>
      <c r="G89" s="27">
        <v>101.85</v>
      </c>
      <c r="H89" s="10"/>
      <c r="I89" s="10">
        <v>0</v>
      </c>
    </row>
    <row r="90" spans="1:9" ht="31.5" customHeight="1">
      <c r="A90" s="21">
        <v>21</v>
      </c>
      <c r="B90" s="88" t="s">
        <v>165</v>
      </c>
      <c r="C90" s="40" t="s">
        <v>37</v>
      </c>
      <c r="D90" s="39" t="s">
        <v>170</v>
      </c>
      <c r="E90" s="27"/>
      <c r="F90" s="27">
        <v>0.01</v>
      </c>
      <c r="G90" s="27">
        <v>4233.72</v>
      </c>
      <c r="H90" s="10"/>
      <c r="I90" s="10">
        <v>0</v>
      </c>
    </row>
    <row r="91" spans="1:9" ht="15.75" customHeight="1">
      <c r="A91" s="21"/>
      <c r="B91" s="34" t="s">
        <v>49</v>
      </c>
      <c r="C91" s="30"/>
      <c r="D91" s="37"/>
      <c r="E91" s="30">
        <v>1</v>
      </c>
      <c r="F91" s="30"/>
      <c r="G91" s="30"/>
      <c r="H91" s="30"/>
      <c r="I91" s="24">
        <f>SUM(I88:I90)</f>
        <v>0</v>
      </c>
    </row>
    <row r="92" spans="1:9" ht="15.75" customHeight="1">
      <c r="A92" s="21"/>
      <c r="B92" s="36" t="s">
        <v>75</v>
      </c>
      <c r="C92" s="12"/>
      <c r="D92" s="12"/>
      <c r="E92" s="31"/>
      <c r="F92" s="31"/>
      <c r="G92" s="32"/>
      <c r="H92" s="32"/>
      <c r="I92" s="14">
        <v>0</v>
      </c>
    </row>
    <row r="93" spans="1:9" ht="15.75" customHeight="1">
      <c r="A93" s="38"/>
      <c r="B93" s="35" t="s">
        <v>143</v>
      </c>
      <c r="C93" s="26"/>
      <c r="D93" s="26"/>
      <c r="E93" s="26"/>
      <c r="F93" s="26"/>
      <c r="G93" s="26"/>
      <c r="H93" s="26"/>
      <c r="I93" s="33">
        <f>I86+I91</f>
        <v>37522.567138499995</v>
      </c>
    </row>
    <row r="94" spans="1:9" ht="15.75">
      <c r="A94" s="176" t="s">
        <v>218</v>
      </c>
      <c r="B94" s="176"/>
      <c r="C94" s="176"/>
      <c r="D94" s="176"/>
      <c r="E94" s="176"/>
      <c r="F94" s="176"/>
      <c r="G94" s="176"/>
      <c r="H94" s="176"/>
      <c r="I94" s="176"/>
    </row>
    <row r="95" spans="1:9" ht="15.75">
      <c r="A95" s="46"/>
      <c r="B95" s="171" t="s">
        <v>219</v>
      </c>
      <c r="C95" s="171"/>
      <c r="D95" s="171"/>
      <c r="E95" s="171"/>
      <c r="F95" s="171"/>
      <c r="G95" s="171"/>
      <c r="H95" s="57"/>
      <c r="I95" s="2"/>
    </row>
    <row r="96" spans="1:9">
      <c r="A96" s="49"/>
      <c r="B96" s="167" t="s">
        <v>6</v>
      </c>
      <c r="C96" s="167"/>
      <c r="D96" s="167"/>
      <c r="E96" s="167"/>
      <c r="F96" s="167"/>
      <c r="G96" s="167"/>
      <c r="H96" s="16"/>
      <c r="I96" s="4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 ht="15.75">
      <c r="A98" s="172" t="s">
        <v>7</v>
      </c>
      <c r="B98" s="172"/>
      <c r="C98" s="172"/>
      <c r="D98" s="172"/>
      <c r="E98" s="172"/>
      <c r="F98" s="172"/>
      <c r="G98" s="172"/>
      <c r="H98" s="172"/>
      <c r="I98" s="172"/>
    </row>
    <row r="99" spans="1:9" ht="15.75">
      <c r="A99" s="172" t="s">
        <v>8</v>
      </c>
      <c r="B99" s="172"/>
      <c r="C99" s="172"/>
      <c r="D99" s="172"/>
      <c r="E99" s="172"/>
      <c r="F99" s="172"/>
      <c r="G99" s="172"/>
      <c r="H99" s="172"/>
      <c r="I99" s="172"/>
    </row>
    <row r="100" spans="1:9" ht="15.75">
      <c r="A100" s="173" t="s">
        <v>59</v>
      </c>
      <c r="B100" s="173"/>
      <c r="C100" s="173"/>
      <c r="D100" s="173"/>
      <c r="E100" s="173"/>
      <c r="F100" s="173"/>
      <c r="G100" s="173"/>
      <c r="H100" s="173"/>
      <c r="I100" s="173"/>
    </row>
    <row r="101" spans="1:9" ht="15.75">
      <c r="A101" s="8"/>
    </row>
    <row r="102" spans="1:9" ht="15.75">
      <c r="A102" s="174" t="s">
        <v>9</v>
      </c>
      <c r="B102" s="174"/>
      <c r="C102" s="174"/>
      <c r="D102" s="174"/>
      <c r="E102" s="174"/>
      <c r="F102" s="174"/>
      <c r="G102" s="174"/>
      <c r="H102" s="174"/>
      <c r="I102" s="174"/>
    </row>
    <row r="103" spans="1:9" ht="15.75">
      <c r="A103" s="3"/>
    </row>
    <row r="104" spans="1:9" ht="15.75">
      <c r="B104" s="50" t="s">
        <v>10</v>
      </c>
      <c r="C104" s="166" t="s">
        <v>192</v>
      </c>
      <c r="D104" s="166"/>
      <c r="E104" s="166"/>
      <c r="F104" s="55"/>
      <c r="I104" s="48"/>
    </row>
    <row r="105" spans="1:9">
      <c r="A105" s="49"/>
      <c r="C105" s="167" t="s">
        <v>11</v>
      </c>
      <c r="D105" s="167"/>
      <c r="E105" s="167"/>
      <c r="F105" s="16"/>
      <c r="I105" s="47" t="s">
        <v>12</v>
      </c>
    </row>
    <row r="106" spans="1:9" ht="15.75">
      <c r="A106" s="17"/>
      <c r="C106" s="9"/>
      <c r="D106" s="9"/>
      <c r="G106" s="9"/>
      <c r="H106" s="9"/>
    </row>
    <row r="107" spans="1:9" ht="15.75">
      <c r="B107" s="50" t="s">
        <v>13</v>
      </c>
      <c r="C107" s="168"/>
      <c r="D107" s="168"/>
      <c r="E107" s="168"/>
      <c r="F107" s="56"/>
      <c r="I107" s="48"/>
    </row>
    <row r="108" spans="1:9">
      <c r="A108" s="49"/>
      <c r="C108" s="169" t="s">
        <v>11</v>
      </c>
      <c r="D108" s="169"/>
      <c r="E108" s="169"/>
      <c r="F108" s="49"/>
      <c r="I108" s="47" t="s">
        <v>12</v>
      </c>
    </row>
    <row r="109" spans="1:9" ht="15.75">
      <c r="A109" s="3" t="s">
        <v>14</v>
      </c>
    </row>
    <row r="110" spans="1:9">
      <c r="A110" s="170" t="s">
        <v>15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45" customHeight="1">
      <c r="A111" s="162" t="s">
        <v>16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30" customHeight="1">
      <c r="A112" s="162" t="s">
        <v>17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30" customHeight="1">
      <c r="A113" s="162" t="s">
        <v>21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15" customHeight="1">
      <c r="A114" s="162" t="s">
        <v>20</v>
      </c>
      <c r="B114" s="162"/>
      <c r="C114" s="162"/>
      <c r="D114" s="162"/>
      <c r="E114" s="162"/>
      <c r="F114" s="162"/>
      <c r="G114" s="162"/>
      <c r="H114" s="162"/>
      <c r="I114" s="162"/>
    </row>
  </sheetData>
  <mergeCells count="28"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  <mergeCell ref="A102:I102"/>
    <mergeCell ref="A15:I15"/>
    <mergeCell ref="A28:I28"/>
    <mergeCell ref="A46:I46"/>
    <mergeCell ref="A57:I57"/>
    <mergeCell ref="A83:I83"/>
    <mergeCell ref="A94:I94"/>
    <mergeCell ref="B95:G95"/>
    <mergeCell ref="B96:G96"/>
    <mergeCell ref="A98:I98"/>
    <mergeCell ref="A99:I99"/>
    <mergeCell ref="A100:I100"/>
    <mergeCell ref="A14:I14"/>
    <mergeCell ref="A87:I87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2"/>
  <sheetViews>
    <sheetView topLeftCell="A76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136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220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43982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173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173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173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175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31.5" hidden="1" customHeight="1">
      <c r="A25" s="21">
        <v>10</v>
      </c>
      <c r="B25" s="25" t="s">
        <v>96</v>
      </c>
      <c r="C25" s="29" t="s">
        <v>51</v>
      </c>
      <c r="D25" s="25" t="s">
        <v>170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176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7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6</v>
      </c>
      <c r="B30" s="25" t="s">
        <v>102</v>
      </c>
      <c r="C30" s="29" t="s">
        <v>83</v>
      </c>
      <c r="D30" s="25" t="s">
        <v>168</v>
      </c>
      <c r="E30" s="103">
        <v>124</v>
      </c>
      <c r="F30" s="103">
        <f>SUM(E30*24/1000)</f>
        <v>2.976</v>
      </c>
      <c r="G30" s="103">
        <v>223.46</v>
      </c>
      <c r="H30" s="62">
        <f t="shared" ref="H30:H35" si="2">SUM(F30*G30/1000)</f>
        <v>0.66501695999999999</v>
      </c>
      <c r="I30" s="10">
        <f>F30/6*G30</f>
        <v>110.83616000000001</v>
      </c>
    </row>
    <row r="31" spans="1:9" ht="31.5" customHeight="1">
      <c r="A31" s="21">
        <v>7</v>
      </c>
      <c r="B31" s="25" t="s">
        <v>101</v>
      </c>
      <c r="C31" s="29" t="s">
        <v>83</v>
      </c>
      <c r="D31" s="25" t="s">
        <v>167</v>
      </c>
      <c r="E31" s="103">
        <v>128</v>
      </c>
      <c r="F31" s="103">
        <f>SUM(E31*52/1000)</f>
        <v>6.6559999999999997</v>
      </c>
      <c r="G31" s="103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customHeight="1">
      <c r="A32" s="21">
        <v>8</v>
      </c>
      <c r="B32" s="25" t="s">
        <v>26</v>
      </c>
      <c r="C32" s="29" t="s">
        <v>83</v>
      </c>
      <c r="D32" s="25" t="s">
        <v>178</v>
      </c>
      <c r="E32" s="103">
        <v>124</v>
      </c>
      <c r="F32" s="103">
        <f>SUM(E32/1000)</f>
        <v>0.124</v>
      </c>
      <c r="G32" s="103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164</v>
      </c>
      <c r="C33" s="29" t="s">
        <v>39</v>
      </c>
      <c r="D33" s="25" t="s">
        <v>169</v>
      </c>
      <c r="E33" s="135">
        <v>1</v>
      </c>
      <c r="F33" s="103">
        <f>E33*155/100</f>
        <v>1.55</v>
      </c>
      <c r="G33" s="103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2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2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4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4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4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4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4"/>
        <v>0.42652999999999996</v>
      </c>
      <c r="I43" s="10">
        <f>F43/6*G43</f>
        <v>71.088333333333324</v>
      </c>
    </row>
    <row r="44" spans="1:9" ht="15.75" customHeight="1">
      <c r="A44" s="163" t="s">
        <v>122</v>
      </c>
      <c r="B44" s="164"/>
      <c r="C44" s="164"/>
      <c r="D44" s="164"/>
      <c r="E44" s="164"/>
      <c r="F44" s="164"/>
      <c r="G44" s="164"/>
      <c r="H44" s="164"/>
      <c r="I44" s="165"/>
    </row>
    <row r="45" spans="1:9" ht="15.75" customHeight="1">
      <c r="A45" s="21">
        <v>10</v>
      </c>
      <c r="B45" s="25" t="s">
        <v>103</v>
      </c>
      <c r="C45" s="29" t="s">
        <v>83</v>
      </c>
      <c r="D45" s="25" t="s">
        <v>170</v>
      </c>
      <c r="E45" s="102">
        <v>917.8</v>
      </c>
      <c r="F45" s="103">
        <f>SUM(E45*2/1000)</f>
        <v>1.8355999999999999</v>
      </c>
      <c r="G45" s="27">
        <v>1160.81</v>
      </c>
      <c r="H45" s="62">
        <f t="shared" ref="H45:H54" si="5">SUM(F45*G45/1000)</f>
        <v>2.1307828359999998</v>
      </c>
      <c r="I45" s="10">
        <f t="shared" ref="I45:I48" si="6">F45/2*G45</f>
        <v>1065.3914179999999</v>
      </c>
    </row>
    <row r="46" spans="1:9" ht="15.75" customHeight="1">
      <c r="A46" s="21">
        <v>11</v>
      </c>
      <c r="B46" s="25" t="s">
        <v>34</v>
      </c>
      <c r="C46" s="29" t="s">
        <v>83</v>
      </c>
      <c r="D46" s="25" t="s">
        <v>170</v>
      </c>
      <c r="E46" s="102">
        <v>48</v>
      </c>
      <c r="F46" s="103">
        <f>E46*2/1000</f>
        <v>9.6000000000000002E-2</v>
      </c>
      <c r="G46" s="27">
        <v>830.69</v>
      </c>
      <c r="H46" s="62">
        <f t="shared" si="5"/>
        <v>7.9746239999999996E-2</v>
      </c>
      <c r="I46" s="10">
        <f t="shared" si="6"/>
        <v>39.87312</v>
      </c>
    </row>
    <row r="47" spans="1:9" ht="15.75" customHeight="1">
      <c r="A47" s="21">
        <v>12</v>
      </c>
      <c r="B47" s="25" t="s">
        <v>35</v>
      </c>
      <c r="C47" s="29" t="s">
        <v>83</v>
      </c>
      <c r="D47" s="25" t="s">
        <v>170</v>
      </c>
      <c r="E47" s="102">
        <v>937.4</v>
      </c>
      <c r="F47" s="103">
        <f>SUM(E47*2/1000)</f>
        <v>1.8748</v>
      </c>
      <c r="G47" s="27">
        <v>830.69</v>
      </c>
      <c r="H47" s="62">
        <f t="shared" si="5"/>
        <v>1.5573776120000002</v>
      </c>
      <c r="I47" s="10">
        <f t="shared" si="6"/>
        <v>778.68880600000011</v>
      </c>
    </row>
    <row r="48" spans="1:9" ht="15.75" customHeight="1">
      <c r="A48" s="21">
        <v>13</v>
      </c>
      <c r="B48" s="25" t="s">
        <v>36</v>
      </c>
      <c r="C48" s="29" t="s">
        <v>83</v>
      </c>
      <c r="D48" s="25" t="s">
        <v>170</v>
      </c>
      <c r="E48" s="102">
        <v>1243.28</v>
      </c>
      <c r="F48" s="103">
        <f>SUM(E48*2/1000)</f>
        <v>2.4865599999999999</v>
      </c>
      <c r="G48" s="27">
        <v>869.86</v>
      </c>
      <c r="H48" s="62">
        <f t="shared" si="5"/>
        <v>2.1629590815999999</v>
      </c>
      <c r="I48" s="10">
        <f t="shared" si="6"/>
        <v>1081.4795408</v>
      </c>
    </row>
    <row r="49" spans="1:9" ht="15.75" customHeight="1">
      <c r="A49" s="21">
        <v>14</v>
      </c>
      <c r="B49" s="25" t="s">
        <v>32</v>
      </c>
      <c r="C49" s="29" t="s">
        <v>33</v>
      </c>
      <c r="D49" s="25" t="s">
        <v>170</v>
      </c>
      <c r="E49" s="102">
        <v>64.5</v>
      </c>
      <c r="F49" s="103">
        <f>SUM(E49*2/100)</f>
        <v>1.29</v>
      </c>
      <c r="G49" s="27">
        <v>104.38</v>
      </c>
      <c r="H49" s="62">
        <f t="shared" si="5"/>
        <v>0.1346502</v>
      </c>
      <c r="I49" s="10">
        <f>F49/2*G49</f>
        <v>67.325099999999992</v>
      </c>
    </row>
    <row r="50" spans="1:9" ht="15.75" customHeight="1">
      <c r="A50" s="21">
        <v>15</v>
      </c>
      <c r="B50" s="25" t="s">
        <v>54</v>
      </c>
      <c r="C50" s="29" t="s">
        <v>83</v>
      </c>
      <c r="D50" s="25" t="s">
        <v>170</v>
      </c>
      <c r="E50" s="102">
        <v>2054.6</v>
      </c>
      <c r="F50" s="103">
        <f>SUM(E50*5/1000)</f>
        <v>10.273</v>
      </c>
      <c r="G50" s="27">
        <v>1739.68</v>
      </c>
      <c r="H50" s="62">
        <f t="shared" si="5"/>
        <v>17.871732639999998</v>
      </c>
      <c r="I50" s="10">
        <f>F50/5*G50</f>
        <v>3574.3465279999996</v>
      </c>
    </row>
    <row r="51" spans="1:9" ht="33" customHeight="1">
      <c r="A51" s="21">
        <v>16</v>
      </c>
      <c r="B51" s="25" t="s">
        <v>84</v>
      </c>
      <c r="C51" s="29" t="s">
        <v>83</v>
      </c>
      <c r="D51" s="25" t="s">
        <v>170</v>
      </c>
      <c r="E51" s="102">
        <v>2054.6</v>
      </c>
      <c r="F51" s="103">
        <f>SUM(E51*2/1000)</f>
        <v>4.1091999999999995</v>
      </c>
      <c r="G51" s="27">
        <v>1739.68</v>
      </c>
      <c r="H51" s="62">
        <f t="shared" si="5"/>
        <v>7.148693055999999</v>
      </c>
      <c r="I51" s="10">
        <f>G51*F51/2</f>
        <v>3574.3465279999996</v>
      </c>
    </row>
    <row r="52" spans="1:9" ht="31.5" customHeight="1">
      <c r="A52" s="21">
        <v>17</v>
      </c>
      <c r="B52" s="25" t="s">
        <v>85</v>
      </c>
      <c r="C52" s="29" t="s">
        <v>37</v>
      </c>
      <c r="D52" s="25" t="s">
        <v>170</v>
      </c>
      <c r="E52" s="102">
        <v>12</v>
      </c>
      <c r="F52" s="103">
        <f>SUM(E52*2/100)</f>
        <v>0.24</v>
      </c>
      <c r="G52" s="27">
        <v>3914.31</v>
      </c>
      <c r="H52" s="62">
        <f t="shared" si="5"/>
        <v>0.9394344</v>
      </c>
      <c r="I52" s="10">
        <f>G52*F52/2</f>
        <v>469.71719999999999</v>
      </c>
    </row>
    <row r="53" spans="1:9" ht="15" customHeight="1">
      <c r="A53" s="21">
        <v>18</v>
      </c>
      <c r="B53" s="25" t="s">
        <v>38</v>
      </c>
      <c r="C53" s="29" t="s">
        <v>39</v>
      </c>
      <c r="D53" s="25" t="s">
        <v>170</v>
      </c>
      <c r="E53" s="102">
        <v>1</v>
      </c>
      <c r="F53" s="103">
        <v>0.02</v>
      </c>
      <c r="G53" s="27">
        <v>8102.62</v>
      </c>
      <c r="H53" s="62">
        <f t="shared" si="5"/>
        <v>0.16205240000000001</v>
      </c>
      <c r="I53" s="10">
        <f>G53*F53/2</f>
        <v>81.026200000000003</v>
      </c>
    </row>
    <row r="54" spans="1:9" ht="15.75" customHeight="1">
      <c r="A54" s="21">
        <v>19</v>
      </c>
      <c r="B54" s="25" t="s">
        <v>40</v>
      </c>
      <c r="C54" s="29" t="s">
        <v>104</v>
      </c>
      <c r="D54" s="142">
        <v>44343</v>
      </c>
      <c r="E54" s="102">
        <v>72</v>
      </c>
      <c r="F54" s="103">
        <f>SUM(E54)*3</f>
        <v>216</v>
      </c>
      <c r="G54" s="136">
        <v>87.32</v>
      </c>
      <c r="H54" s="62">
        <f t="shared" si="5"/>
        <v>18.86112</v>
      </c>
      <c r="I54" s="10">
        <f>E54*G54</f>
        <v>6287.0399999999991</v>
      </c>
    </row>
    <row r="55" spans="1:9" ht="15.75" customHeight="1">
      <c r="A55" s="163" t="s">
        <v>123</v>
      </c>
      <c r="B55" s="164"/>
      <c r="C55" s="164"/>
      <c r="D55" s="164"/>
      <c r="E55" s="164"/>
      <c r="F55" s="164"/>
      <c r="G55" s="164"/>
      <c r="H55" s="164"/>
      <c r="I55" s="165"/>
    </row>
    <row r="56" spans="1:9" ht="18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18.7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.75" hidden="1" customHeight="1">
      <c r="A58" s="21">
        <v>22</v>
      </c>
      <c r="B58" s="108" t="s">
        <v>128</v>
      </c>
      <c r="C58" s="109" t="s">
        <v>129</v>
      </c>
      <c r="D58" s="108" t="s">
        <v>186</v>
      </c>
      <c r="E58" s="110"/>
      <c r="F58" s="111">
        <v>5</v>
      </c>
      <c r="G58" s="112">
        <v>1730</v>
      </c>
      <c r="H58" s="95"/>
      <c r="I58" s="10">
        <f>G58*3</f>
        <v>5190</v>
      </c>
    </row>
    <row r="59" spans="1:9" ht="18.75" customHeight="1">
      <c r="A59" s="21"/>
      <c r="B59" s="113" t="s">
        <v>154</v>
      </c>
      <c r="C59" s="109"/>
      <c r="D59" s="108"/>
      <c r="E59" s="110"/>
      <c r="F59" s="114"/>
      <c r="G59" s="27"/>
      <c r="H59" s="95"/>
      <c r="I59" s="10"/>
    </row>
    <row r="60" spans="1:9" ht="18.75" customHeight="1">
      <c r="A60" s="21">
        <v>20</v>
      </c>
      <c r="B60" s="94" t="s">
        <v>148</v>
      </c>
      <c r="C60" s="115" t="s">
        <v>149</v>
      </c>
      <c r="D60" s="94" t="s">
        <v>170</v>
      </c>
      <c r="E60" s="128">
        <v>120</v>
      </c>
      <c r="F60" s="114">
        <f>E60*12</f>
        <v>1440</v>
      </c>
      <c r="G60" s="27">
        <v>1.4</v>
      </c>
      <c r="H60" s="71"/>
      <c r="I60" s="10">
        <f>G60*F60/12</f>
        <v>167.99999999999997</v>
      </c>
    </row>
    <row r="61" spans="1:9" ht="15.75" hidden="1" customHeight="1">
      <c r="A61" s="21"/>
      <c r="B61" s="79" t="s">
        <v>43</v>
      </c>
      <c r="C61" s="67"/>
      <c r="D61" s="68"/>
      <c r="E61" s="69"/>
      <c r="F61" s="70"/>
      <c r="G61" s="70"/>
      <c r="H61" s="71" t="s">
        <v>113</v>
      </c>
      <c r="I61" s="10"/>
    </row>
    <row r="62" spans="1:9" ht="17.25" hidden="1" customHeight="1">
      <c r="A62" s="21">
        <v>28</v>
      </c>
      <c r="B62" s="93" t="s">
        <v>44</v>
      </c>
      <c r="C62" s="115" t="s">
        <v>104</v>
      </c>
      <c r="D62" s="94" t="s">
        <v>172</v>
      </c>
      <c r="E62" s="14">
        <v>12</v>
      </c>
      <c r="F62" s="103">
        <f>E62</f>
        <v>12</v>
      </c>
      <c r="G62" s="27">
        <v>318.82</v>
      </c>
      <c r="H62" s="72">
        <f t="shared" ref="H62:H78" si="7">SUM(F62*G62/1000)</f>
        <v>3.8258400000000004</v>
      </c>
      <c r="I62" s="10">
        <f>G62*2</f>
        <v>637.64</v>
      </c>
    </row>
    <row r="63" spans="1:9" ht="16.5" hidden="1" customHeight="1">
      <c r="A63" s="21"/>
      <c r="B63" s="93" t="s">
        <v>45</v>
      </c>
      <c r="C63" s="115" t="s">
        <v>104</v>
      </c>
      <c r="D63" s="94" t="s">
        <v>153</v>
      </c>
      <c r="E63" s="14">
        <v>6</v>
      </c>
      <c r="F63" s="103">
        <f>E63</f>
        <v>6</v>
      </c>
      <c r="G63" s="27">
        <v>109.32</v>
      </c>
      <c r="H63" s="72">
        <f t="shared" si="7"/>
        <v>0.65591999999999995</v>
      </c>
      <c r="I63" s="10">
        <v>0</v>
      </c>
    </row>
    <row r="64" spans="1:9" ht="15.75" hidden="1" customHeight="1">
      <c r="A64" s="21">
        <v>29</v>
      </c>
      <c r="B64" s="93" t="s">
        <v>46</v>
      </c>
      <c r="C64" s="137" t="s">
        <v>107</v>
      </c>
      <c r="D64" s="94" t="s">
        <v>52</v>
      </c>
      <c r="E64" s="102">
        <v>8539</v>
      </c>
      <c r="F64" s="136">
        <f>SUM(E64/100)</f>
        <v>85.39</v>
      </c>
      <c r="G64" s="27">
        <v>304.13</v>
      </c>
      <c r="H64" s="72">
        <f t="shared" si="7"/>
        <v>25.969660699999999</v>
      </c>
      <c r="I64" s="10">
        <f>F64*G64</f>
        <v>25969.6607</v>
      </c>
    </row>
    <row r="65" spans="1:9" ht="15.75" hidden="1" customHeight="1">
      <c r="A65" s="21">
        <v>30</v>
      </c>
      <c r="B65" s="93" t="s">
        <v>47</v>
      </c>
      <c r="C65" s="115" t="s">
        <v>108</v>
      </c>
      <c r="D65" s="94"/>
      <c r="E65" s="102">
        <v>8539</v>
      </c>
      <c r="F65" s="27">
        <f>SUM(E65/1000)</f>
        <v>8.5389999999999997</v>
      </c>
      <c r="G65" s="27">
        <v>236.84</v>
      </c>
      <c r="H65" s="72">
        <f t="shared" si="7"/>
        <v>2.0223767599999998</v>
      </c>
      <c r="I65" s="10">
        <f t="shared" ref="I65:I68" si="8">F65*G65</f>
        <v>2022.3767599999999</v>
      </c>
    </row>
    <row r="66" spans="1:9" ht="15.75" hidden="1" customHeight="1">
      <c r="A66" s="21">
        <v>31</v>
      </c>
      <c r="B66" s="93" t="s">
        <v>48</v>
      </c>
      <c r="C66" s="115" t="s">
        <v>74</v>
      </c>
      <c r="D66" s="94" t="s">
        <v>52</v>
      </c>
      <c r="E66" s="102">
        <v>1370</v>
      </c>
      <c r="F66" s="27">
        <f>SUM(E66/100)</f>
        <v>13.7</v>
      </c>
      <c r="G66" s="27">
        <v>2974.1</v>
      </c>
      <c r="H66" s="72">
        <f t="shared" si="7"/>
        <v>40.745170000000002</v>
      </c>
      <c r="I66" s="10">
        <f t="shared" si="8"/>
        <v>40745.17</v>
      </c>
    </row>
    <row r="67" spans="1:9" ht="15.75" hidden="1" customHeight="1">
      <c r="A67" s="21">
        <v>32</v>
      </c>
      <c r="B67" s="138" t="s">
        <v>109</v>
      </c>
      <c r="C67" s="115" t="s">
        <v>31</v>
      </c>
      <c r="D67" s="94"/>
      <c r="E67" s="102">
        <v>10.9</v>
      </c>
      <c r="F67" s="27">
        <f>SUM(E67)</f>
        <v>10.9</v>
      </c>
      <c r="G67" s="27">
        <v>47.98</v>
      </c>
      <c r="H67" s="72">
        <f t="shared" si="7"/>
        <v>0.52298199999999995</v>
      </c>
      <c r="I67" s="10">
        <f t="shared" si="8"/>
        <v>522.98199999999997</v>
      </c>
    </row>
    <row r="68" spans="1:9" ht="15.75" hidden="1" customHeight="1">
      <c r="A68" s="21">
        <v>33</v>
      </c>
      <c r="B68" s="138" t="s">
        <v>110</v>
      </c>
      <c r="C68" s="115" t="s">
        <v>31</v>
      </c>
      <c r="D68" s="94"/>
      <c r="E68" s="102">
        <v>10.9</v>
      </c>
      <c r="F68" s="27">
        <f>SUM(E68)</f>
        <v>10.9</v>
      </c>
      <c r="G68" s="27">
        <v>51.75</v>
      </c>
      <c r="H68" s="72">
        <f t="shared" si="7"/>
        <v>0.56407499999999999</v>
      </c>
      <c r="I68" s="10">
        <f t="shared" si="8"/>
        <v>564.07500000000005</v>
      </c>
    </row>
    <row r="69" spans="1:9" ht="15.75" hidden="1" customHeight="1">
      <c r="A69" s="21"/>
      <c r="B69" s="11" t="s">
        <v>55</v>
      </c>
      <c r="C69" s="13" t="s">
        <v>56</v>
      </c>
      <c r="D69" s="11" t="s">
        <v>52</v>
      </c>
      <c r="E69" s="15">
        <v>3</v>
      </c>
      <c r="F69" s="61">
        <v>3</v>
      </c>
      <c r="G69" s="10">
        <v>53.62</v>
      </c>
      <c r="H69" s="72">
        <f t="shared" si="7"/>
        <v>0.16085999999999998</v>
      </c>
      <c r="I69" s="10">
        <v>0</v>
      </c>
    </row>
    <row r="70" spans="1:9" ht="15.75" customHeight="1">
      <c r="A70" s="21"/>
      <c r="B70" s="116" t="s">
        <v>156</v>
      </c>
      <c r="C70" s="117"/>
      <c r="D70" s="118"/>
      <c r="E70" s="119"/>
      <c r="F70" s="120"/>
      <c r="G70" s="120"/>
      <c r="H70" s="10"/>
      <c r="I70" s="10"/>
    </row>
    <row r="71" spans="1:9" ht="33.75" customHeight="1">
      <c r="A71" s="21">
        <v>21</v>
      </c>
      <c r="B71" s="94" t="s">
        <v>157</v>
      </c>
      <c r="C71" s="121" t="s">
        <v>158</v>
      </c>
      <c r="D71" s="118"/>
      <c r="E71" s="119">
        <v>2054.6</v>
      </c>
      <c r="F71" s="120">
        <f>E71*12</f>
        <v>24655.199999999997</v>
      </c>
      <c r="G71" s="120">
        <v>2.4900000000000002</v>
      </c>
      <c r="H71" s="10"/>
      <c r="I71" s="10">
        <f>G71*F71/12</f>
        <v>5115.9539999999997</v>
      </c>
    </row>
    <row r="72" spans="1:9" ht="20.25" customHeight="1">
      <c r="A72" s="21"/>
      <c r="B72" s="23" t="s">
        <v>69</v>
      </c>
      <c r="C72" s="13"/>
      <c r="D72" s="11"/>
      <c r="E72" s="15"/>
      <c r="F72" s="10"/>
      <c r="G72" s="10"/>
      <c r="H72" s="72" t="s">
        <v>113</v>
      </c>
      <c r="I72" s="10"/>
    </row>
    <row r="73" spans="1:9" ht="24" hidden="1" customHeight="1">
      <c r="A73" s="21"/>
      <c r="B73" s="11" t="s">
        <v>70</v>
      </c>
      <c r="C73" s="13" t="s">
        <v>72</v>
      </c>
      <c r="D73" s="11"/>
      <c r="E73" s="15">
        <v>2</v>
      </c>
      <c r="F73" s="10">
        <v>0.2</v>
      </c>
      <c r="G73" s="10">
        <v>536.23</v>
      </c>
      <c r="H73" s="72">
        <f t="shared" si="7"/>
        <v>0.10724600000000001</v>
      </c>
      <c r="I73" s="10">
        <v>0</v>
      </c>
    </row>
    <row r="74" spans="1:9" ht="21" hidden="1" customHeight="1">
      <c r="A74" s="21"/>
      <c r="B74" s="11" t="s">
        <v>71</v>
      </c>
      <c r="C74" s="13" t="s">
        <v>29</v>
      </c>
      <c r="D74" s="11"/>
      <c r="E74" s="15">
        <v>1</v>
      </c>
      <c r="F74" s="54">
        <v>1</v>
      </c>
      <c r="G74" s="10">
        <v>911.85</v>
      </c>
      <c r="H74" s="72">
        <f>F74*G74/1000</f>
        <v>0.91185000000000005</v>
      </c>
      <c r="I74" s="10">
        <v>0</v>
      </c>
    </row>
    <row r="75" spans="1:9" ht="20.25" hidden="1" customHeight="1">
      <c r="A75" s="21"/>
      <c r="B75" s="11" t="s">
        <v>120</v>
      </c>
      <c r="C75" s="13" t="s">
        <v>29</v>
      </c>
      <c r="D75" s="11"/>
      <c r="E75" s="15">
        <v>1</v>
      </c>
      <c r="F75" s="10">
        <v>1</v>
      </c>
      <c r="G75" s="10">
        <v>383.25</v>
      </c>
      <c r="H75" s="72">
        <f>G75*F75/1000</f>
        <v>0.38324999999999998</v>
      </c>
      <c r="I75" s="10">
        <v>0</v>
      </c>
    </row>
    <row r="76" spans="1:9" ht="20.25" customHeight="1">
      <c r="A76" s="21">
        <v>22</v>
      </c>
      <c r="B76" s="94" t="s">
        <v>155</v>
      </c>
      <c r="C76" s="115" t="s">
        <v>104</v>
      </c>
      <c r="D76" s="94" t="s">
        <v>170</v>
      </c>
      <c r="E76" s="14">
        <v>2</v>
      </c>
      <c r="F76" s="27">
        <f>E76*12</f>
        <v>24</v>
      </c>
      <c r="G76" s="27">
        <v>404</v>
      </c>
      <c r="H76" s="72"/>
      <c r="I76" s="10">
        <f>G76*F76/12</f>
        <v>808</v>
      </c>
    </row>
    <row r="77" spans="1:9" ht="23.25" hidden="1" customHeight="1">
      <c r="A77" s="21"/>
      <c r="B77" s="74" t="s">
        <v>73</v>
      </c>
      <c r="C77" s="13"/>
      <c r="D77" s="11"/>
      <c r="E77" s="15"/>
      <c r="F77" s="10"/>
      <c r="G77" s="10" t="s">
        <v>113</v>
      </c>
      <c r="H77" s="72" t="s">
        <v>113</v>
      </c>
      <c r="I77" s="10"/>
    </row>
    <row r="78" spans="1:9" ht="24" hidden="1" customHeight="1">
      <c r="A78" s="21"/>
      <c r="B78" s="36" t="s">
        <v>114</v>
      </c>
      <c r="C78" s="13" t="s">
        <v>74</v>
      </c>
      <c r="D78" s="11"/>
      <c r="E78" s="15"/>
      <c r="F78" s="10">
        <v>1.35</v>
      </c>
      <c r="G78" s="10">
        <v>2949.85</v>
      </c>
      <c r="H78" s="72">
        <f t="shared" si="7"/>
        <v>3.9822975</v>
      </c>
      <c r="I78" s="10">
        <v>0</v>
      </c>
    </row>
    <row r="79" spans="1:9" ht="28.5" hidden="1" customHeight="1">
      <c r="A79" s="21"/>
      <c r="B79" s="53" t="s">
        <v>86</v>
      </c>
      <c r="C79" s="75"/>
      <c r="D79" s="23"/>
      <c r="E79" s="24"/>
      <c r="F79" s="64"/>
      <c r="G79" s="64"/>
      <c r="H79" s="76">
        <f>SUM(H57:H78)</f>
        <v>90.833691944000009</v>
      </c>
      <c r="I79" s="64"/>
    </row>
    <row r="80" spans="1:9" ht="33" hidden="1" customHeight="1">
      <c r="A80" s="21"/>
      <c r="B80" s="58" t="s">
        <v>111</v>
      </c>
      <c r="C80" s="13"/>
      <c r="D80" s="11"/>
      <c r="E80" s="77"/>
      <c r="F80" s="10">
        <v>1</v>
      </c>
      <c r="G80" s="10">
        <v>7101.4</v>
      </c>
      <c r="H80" s="72">
        <f>G80*F80/1000</f>
        <v>7.1013999999999999</v>
      </c>
      <c r="I80" s="10">
        <v>0</v>
      </c>
    </row>
    <row r="81" spans="1:9" ht="15.75" customHeight="1">
      <c r="A81" s="163" t="s">
        <v>124</v>
      </c>
      <c r="B81" s="164"/>
      <c r="C81" s="164"/>
      <c r="D81" s="164"/>
      <c r="E81" s="164"/>
      <c r="F81" s="164"/>
      <c r="G81" s="164"/>
      <c r="H81" s="164"/>
      <c r="I81" s="165"/>
    </row>
    <row r="82" spans="1:9" ht="15.75" customHeight="1">
      <c r="A82" s="21">
        <v>23</v>
      </c>
      <c r="B82" s="94" t="s">
        <v>112</v>
      </c>
      <c r="C82" s="115" t="s">
        <v>53</v>
      </c>
      <c r="D82" s="133"/>
      <c r="E82" s="27">
        <v>2054.6</v>
      </c>
      <c r="F82" s="27">
        <f>SUM(E82*12)</f>
        <v>24655.199999999997</v>
      </c>
      <c r="G82" s="27">
        <v>3.38</v>
      </c>
      <c r="H82" s="72">
        <f>SUM(F82*G82/1000)</f>
        <v>83.334575999999984</v>
      </c>
      <c r="I82" s="10">
        <f>F82/12*G82</f>
        <v>6944.5479999999998</v>
      </c>
    </row>
    <row r="83" spans="1:9" ht="31.5" customHeight="1">
      <c r="A83" s="21">
        <v>24</v>
      </c>
      <c r="B83" s="94" t="s">
        <v>159</v>
      </c>
      <c r="C83" s="115" t="s">
        <v>53</v>
      </c>
      <c r="D83" s="131"/>
      <c r="E83" s="132">
        <f>E82</f>
        <v>2054.6</v>
      </c>
      <c r="F83" s="124">
        <f>E83*12</f>
        <v>24655.199999999997</v>
      </c>
      <c r="G83" s="124">
        <v>3.05</v>
      </c>
      <c r="H83" s="72">
        <f>F83*G83/1000</f>
        <v>75.19835999999998</v>
      </c>
      <c r="I83" s="10">
        <f>F83/12*G83</f>
        <v>6266.53</v>
      </c>
    </row>
    <row r="84" spans="1:9" ht="15.75" customHeight="1">
      <c r="A84" s="21"/>
      <c r="B84" s="28" t="s">
        <v>76</v>
      </c>
      <c r="C84" s="75"/>
      <c r="D84" s="74"/>
      <c r="E84" s="64"/>
      <c r="F84" s="64"/>
      <c r="G84" s="64"/>
      <c r="H84" s="76">
        <f>H83</f>
        <v>75.19835999999998</v>
      </c>
      <c r="I84" s="64">
        <f>I83+I82+I76+I71+I60+I54+I53+I52+I51+I50+I49+I48+I47+I46+I45+I33+I32+I31+I30+I21+I20+I18+I17+I16</f>
        <v>46507.472578799992</v>
      </c>
    </row>
    <row r="85" spans="1:9" ht="15.75" customHeight="1">
      <c r="A85" s="177" t="s">
        <v>58</v>
      </c>
      <c r="B85" s="178"/>
      <c r="C85" s="178"/>
      <c r="D85" s="178"/>
      <c r="E85" s="178"/>
      <c r="F85" s="178"/>
      <c r="G85" s="178"/>
      <c r="H85" s="178"/>
      <c r="I85" s="179"/>
    </row>
    <row r="86" spans="1:9" ht="33" customHeight="1">
      <c r="A86" s="139">
        <v>25</v>
      </c>
      <c r="B86" s="88" t="s">
        <v>165</v>
      </c>
      <c r="C86" s="40" t="s">
        <v>37</v>
      </c>
      <c r="D86" s="39" t="s">
        <v>179</v>
      </c>
      <c r="E86" s="27"/>
      <c r="F86" s="27">
        <v>0.05</v>
      </c>
      <c r="G86" s="27">
        <v>4233.72</v>
      </c>
      <c r="H86" s="71"/>
      <c r="I86" s="89">
        <v>0</v>
      </c>
    </row>
    <row r="87" spans="1:9" ht="30" hidden="1" customHeight="1">
      <c r="A87" s="139"/>
      <c r="B87" s="88"/>
      <c r="C87" s="40"/>
      <c r="D87" s="11"/>
      <c r="E87" s="15"/>
      <c r="F87" s="10"/>
      <c r="G87" s="10"/>
      <c r="H87" s="54"/>
      <c r="I87" s="89"/>
    </row>
    <row r="88" spans="1:9" ht="30" customHeight="1">
      <c r="A88" s="139">
        <v>26</v>
      </c>
      <c r="B88" s="88" t="s">
        <v>187</v>
      </c>
      <c r="C88" s="40" t="s">
        <v>188</v>
      </c>
      <c r="D88" s="39" t="s">
        <v>225</v>
      </c>
      <c r="E88" s="27"/>
      <c r="F88" s="27">
        <v>1</v>
      </c>
      <c r="G88" s="27">
        <v>64.040000000000006</v>
      </c>
      <c r="H88" s="158"/>
      <c r="I88" s="157">
        <f>G88*1</f>
        <v>64.040000000000006</v>
      </c>
    </row>
    <row r="89" spans="1:9" ht="15.75" customHeight="1">
      <c r="A89" s="21"/>
      <c r="B89" s="34" t="s">
        <v>49</v>
      </c>
      <c r="C89" s="30"/>
      <c r="D89" s="37"/>
      <c r="E89" s="30">
        <v>1</v>
      </c>
      <c r="F89" s="30"/>
      <c r="G89" s="30"/>
      <c r="H89" s="30"/>
      <c r="I89" s="24">
        <f>SUM(I86:I88)</f>
        <v>64.040000000000006</v>
      </c>
    </row>
    <row r="90" spans="1:9" ht="15.75" customHeight="1">
      <c r="A90" s="21"/>
      <c r="B90" s="36" t="s">
        <v>75</v>
      </c>
      <c r="C90" s="12"/>
      <c r="D90" s="12"/>
      <c r="E90" s="31"/>
      <c r="F90" s="31"/>
      <c r="G90" s="32"/>
      <c r="H90" s="32"/>
      <c r="I90" s="14">
        <v>0</v>
      </c>
    </row>
    <row r="91" spans="1:9" ht="15.75" customHeight="1">
      <c r="A91" s="38"/>
      <c r="B91" s="35" t="s">
        <v>143</v>
      </c>
      <c r="C91" s="26"/>
      <c r="D91" s="26"/>
      <c r="E91" s="26"/>
      <c r="F91" s="26"/>
      <c r="G91" s="26"/>
      <c r="H91" s="26"/>
      <c r="I91" s="33">
        <f>I84+I89</f>
        <v>46571.512578799993</v>
      </c>
    </row>
    <row r="92" spans="1:9" ht="15.75">
      <c r="A92" s="176" t="s">
        <v>226</v>
      </c>
      <c r="B92" s="176"/>
      <c r="C92" s="176"/>
      <c r="D92" s="176"/>
      <c r="E92" s="176"/>
      <c r="F92" s="176"/>
      <c r="G92" s="176"/>
      <c r="H92" s="176"/>
      <c r="I92" s="176"/>
    </row>
    <row r="93" spans="1:9" ht="15.75">
      <c r="A93" s="46"/>
      <c r="B93" s="171" t="s">
        <v>227</v>
      </c>
      <c r="C93" s="171"/>
      <c r="D93" s="171"/>
      <c r="E93" s="171"/>
      <c r="F93" s="171"/>
      <c r="G93" s="171"/>
      <c r="H93" s="57"/>
      <c r="I93" s="2"/>
    </row>
    <row r="94" spans="1:9">
      <c r="A94" s="49"/>
      <c r="B94" s="167" t="s">
        <v>6</v>
      </c>
      <c r="C94" s="167"/>
      <c r="D94" s="167"/>
      <c r="E94" s="167"/>
      <c r="F94" s="167"/>
      <c r="G94" s="167"/>
      <c r="H94" s="16"/>
      <c r="I94" s="4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 ht="15.75">
      <c r="A96" s="172" t="s">
        <v>7</v>
      </c>
      <c r="B96" s="172"/>
      <c r="C96" s="172"/>
      <c r="D96" s="172"/>
      <c r="E96" s="172"/>
      <c r="F96" s="172"/>
      <c r="G96" s="172"/>
      <c r="H96" s="172"/>
      <c r="I96" s="172"/>
    </row>
    <row r="97" spans="1:9" ht="15.75">
      <c r="A97" s="172" t="s">
        <v>8</v>
      </c>
      <c r="B97" s="172"/>
      <c r="C97" s="172"/>
      <c r="D97" s="172"/>
      <c r="E97" s="172"/>
      <c r="F97" s="172"/>
      <c r="G97" s="172"/>
      <c r="H97" s="172"/>
      <c r="I97" s="172"/>
    </row>
    <row r="98" spans="1:9" ht="15.75">
      <c r="A98" s="173" t="s">
        <v>59</v>
      </c>
      <c r="B98" s="173"/>
      <c r="C98" s="173"/>
      <c r="D98" s="173"/>
      <c r="E98" s="173"/>
      <c r="F98" s="173"/>
      <c r="G98" s="173"/>
      <c r="H98" s="173"/>
      <c r="I98" s="173"/>
    </row>
    <row r="99" spans="1:9" ht="15.75">
      <c r="A99" s="8"/>
    </row>
    <row r="100" spans="1:9" ht="15.75">
      <c r="A100" s="174" t="s">
        <v>9</v>
      </c>
      <c r="B100" s="174"/>
      <c r="C100" s="174"/>
      <c r="D100" s="174"/>
      <c r="E100" s="174"/>
      <c r="F100" s="174"/>
      <c r="G100" s="174"/>
      <c r="H100" s="174"/>
      <c r="I100" s="174"/>
    </row>
    <row r="101" spans="1:9" ht="15.75">
      <c r="A101" s="3"/>
    </row>
    <row r="102" spans="1:9" ht="15.75">
      <c r="B102" s="50" t="s">
        <v>10</v>
      </c>
      <c r="C102" s="166" t="s">
        <v>192</v>
      </c>
      <c r="D102" s="166"/>
      <c r="E102" s="166"/>
      <c r="F102" s="55"/>
      <c r="I102" s="48"/>
    </row>
    <row r="103" spans="1:9">
      <c r="A103" s="49"/>
      <c r="C103" s="167" t="s">
        <v>11</v>
      </c>
      <c r="D103" s="167"/>
      <c r="E103" s="167"/>
      <c r="F103" s="16"/>
      <c r="I103" s="47" t="s">
        <v>12</v>
      </c>
    </row>
    <row r="104" spans="1:9" ht="15.75">
      <c r="A104" s="17"/>
      <c r="C104" s="9"/>
      <c r="D104" s="9"/>
      <c r="G104" s="9"/>
      <c r="H104" s="9"/>
    </row>
    <row r="105" spans="1:9" ht="15.75">
      <c r="B105" s="50" t="s">
        <v>13</v>
      </c>
      <c r="C105" s="168"/>
      <c r="D105" s="168"/>
      <c r="E105" s="168"/>
      <c r="F105" s="56"/>
      <c r="I105" s="48"/>
    </row>
    <row r="106" spans="1:9">
      <c r="A106" s="49"/>
      <c r="C106" s="169" t="s">
        <v>11</v>
      </c>
      <c r="D106" s="169"/>
      <c r="E106" s="169"/>
      <c r="F106" s="49"/>
      <c r="I106" s="47" t="s">
        <v>12</v>
      </c>
    </row>
    <row r="107" spans="1:9" ht="15.75">
      <c r="A107" s="3" t="s">
        <v>14</v>
      </c>
    </row>
    <row r="108" spans="1:9">
      <c r="A108" s="170" t="s">
        <v>15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45" customHeight="1">
      <c r="A109" s="162" t="s">
        <v>16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17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30" customHeight="1">
      <c r="A111" s="162" t="s">
        <v>21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15" customHeight="1">
      <c r="A112" s="162" t="s">
        <v>20</v>
      </c>
      <c r="B112" s="162"/>
      <c r="C112" s="162"/>
      <c r="D112" s="162"/>
      <c r="E112" s="162"/>
      <c r="F112" s="162"/>
      <c r="G112" s="162"/>
      <c r="H112" s="162"/>
      <c r="I112" s="162"/>
    </row>
  </sheetData>
  <mergeCells count="28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8:I28"/>
    <mergeCell ref="A44:I44"/>
    <mergeCell ref="A55:I55"/>
    <mergeCell ref="A81:I81"/>
    <mergeCell ref="A92:I92"/>
    <mergeCell ref="B93:G93"/>
    <mergeCell ref="B94:G94"/>
    <mergeCell ref="A96:I96"/>
    <mergeCell ref="A97:I97"/>
    <mergeCell ref="A98:I98"/>
    <mergeCell ref="A14:I14"/>
    <mergeCell ref="A85:I85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  <rowBreaks count="1" manualBreakCount="1">
    <brk id="10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12"/>
  <sheetViews>
    <sheetView topLeftCell="A73" workbookViewId="0">
      <selection activeCell="A88" sqref="A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137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221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44377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222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F18/18*2*G18</f>
        <v>3182.2120000000004</v>
      </c>
    </row>
    <row r="19" spans="1:9" ht="17.25" customHeight="1">
      <c r="A19" s="21">
        <v>4</v>
      </c>
      <c r="B19" s="25" t="s">
        <v>87</v>
      </c>
      <c r="C19" s="29" t="s">
        <v>88</v>
      </c>
      <c r="D19" s="25" t="s">
        <v>173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5</v>
      </c>
      <c r="B20" s="25" t="s">
        <v>90</v>
      </c>
      <c r="C20" s="29" t="s">
        <v>80</v>
      </c>
      <c r="D20" s="25" t="s">
        <v>174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21" customHeight="1">
      <c r="A21" s="21">
        <v>6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20.25" hidden="1" customHeight="1">
      <c r="A22" s="21">
        <v>7</v>
      </c>
      <c r="B22" s="25" t="s">
        <v>92</v>
      </c>
      <c r="C22" s="29" t="s">
        <v>51</v>
      </c>
      <c r="D22" s="25" t="s">
        <v>173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6.5" hidden="1" customHeight="1">
      <c r="A23" s="21">
        <v>8</v>
      </c>
      <c r="B23" s="25" t="s">
        <v>93</v>
      </c>
      <c r="C23" s="29" t="s">
        <v>51</v>
      </c>
      <c r="D23" s="25" t="s">
        <v>173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20.25" hidden="1" customHeight="1">
      <c r="A24" s="21">
        <v>9</v>
      </c>
      <c r="B24" s="25" t="s">
        <v>94</v>
      </c>
      <c r="C24" s="29" t="s">
        <v>51</v>
      </c>
      <c r="D24" s="25" t="s">
        <v>175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7.25" hidden="1" customHeight="1">
      <c r="A25" s="21">
        <v>10</v>
      </c>
      <c r="B25" s="25" t="s">
        <v>96</v>
      </c>
      <c r="C25" s="29" t="s">
        <v>51</v>
      </c>
      <c r="D25" s="25" t="s">
        <v>170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176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12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102</v>
      </c>
      <c r="C30" s="29" t="s">
        <v>83</v>
      </c>
      <c r="D30" s="25" t="s">
        <v>168</v>
      </c>
      <c r="E30" s="103">
        <v>124</v>
      </c>
      <c r="F30" s="103">
        <f>SUM(E30*24/1000)</f>
        <v>2.976</v>
      </c>
      <c r="G30" s="103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101</v>
      </c>
      <c r="C31" s="29" t="s">
        <v>83</v>
      </c>
      <c r="D31" s="25" t="s">
        <v>167</v>
      </c>
      <c r="E31" s="103">
        <v>128</v>
      </c>
      <c r="F31" s="103">
        <f>SUM(E31*52/1000)</f>
        <v>6.6559999999999997</v>
      </c>
      <c r="G31" s="103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3">
        <v>124</v>
      </c>
      <c r="F32" s="103">
        <f>SUM(E32/1000)</f>
        <v>0.124</v>
      </c>
      <c r="G32" s="103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164</v>
      </c>
      <c r="C33" s="29" t="s">
        <v>39</v>
      </c>
      <c r="D33" s="25" t="s">
        <v>169</v>
      </c>
      <c r="E33" s="135">
        <v>1</v>
      </c>
      <c r="F33" s="103">
        <f>E33*155/100</f>
        <v>1.55</v>
      </c>
      <c r="G33" s="103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hidden="1" customHeight="1">
      <c r="A44" s="163" t="s">
        <v>122</v>
      </c>
      <c r="B44" s="164"/>
      <c r="C44" s="164"/>
      <c r="D44" s="164"/>
      <c r="E44" s="164"/>
      <c r="F44" s="164"/>
      <c r="G44" s="164"/>
      <c r="H44" s="164"/>
      <c r="I44" s="165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v>0</v>
      </c>
    </row>
    <row r="54" spans="1:9" ht="15.75" hidden="1" customHeight="1">
      <c r="A54" s="21">
        <v>15</v>
      </c>
      <c r="B54" s="58" t="s">
        <v>40</v>
      </c>
      <c r="C54" s="59" t="s">
        <v>104</v>
      </c>
      <c r="D54" s="58" t="s">
        <v>68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63" t="s">
        <v>133</v>
      </c>
      <c r="B55" s="164"/>
      <c r="C55" s="164"/>
      <c r="D55" s="164"/>
      <c r="E55" s="164"/>
      <c r="F55" s="164"/>
      <c r="G55" s="164"/>
      <c r="H55" s="164"/>
      <c r="I55" s="165"/>
    </row>
    <row r="56" spans="1:9" ht="15.7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20.2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20.25" customHeight="1">
      <c r="A58" s="21"/>
      <c r="B58" s="113" t="s">
        <v>154</v>
      </c>
      <c r="C58" s="109"/>
      <c r="D58" s="108"/>
      <c r="E58" s="110"/>
      <c r="F58" s="114"/>
      <c r="G58" s="27"/>
      <c r="H58" s="95"/>
      <c r="I58" s="10"/>
    </row>
    <row r="59" spans="1:9" ht="20.25" customHeight="1">
      <c r="A59" s="21">
        <v>10</v>
      </c>
      <c r="B59" s="94" t="s">
        <v>148</v>
      </c>
      <c r="C59" s="115" t="s">
        <v>149</v>
      </c>
      <c r="D59" s="94" t="s">
        <v>170</v>
      </c>
      <c r="E59" s="128">
        <v>120</v>
      </c>
      <c r="F59" s="114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79" t="s">
        <v>43</v>
      </c>
      <c r="C60" s="67"/>
      <c r="D60" s="68"/>
      <c r="E60" s="69"/>
      <c r="F60" s="70"/>
      <c r="G60" s="70"/>
      <c r="H60" s="71" t="s">
        <v>113</v>
      </c>
      <c r="I60" s="10"/>
    </row>
    <row r="61" spans="1:9" ht="15.75" hidden="1" customHeight="1">
      <c r="A61" s="21">
        <v>10</v>
      </c>
      <c r="B61" s="93" t="s">
        <v>44</v>
      </c>
      <c r="C61" s="115" t="s">
        <v>104</v>
      </c>
      <c r="D61" s="94" t="s">
        <v>153</v>
      </c>
      <c r="E61" s="14">
        <v>12</v>
      </c>
      <c r="F61" s="103">
        <f>E61</f>
        <v>12</v>
      </c>
      <c r="G61" s="27">
        <v>318.82</v>
      </c>
      <c r="H61" s="72">
        <f t="shared" ref="H61:H77" si="7">SUM(F61*G61/1000)</f>
        <v>3.8258400000000004</v>
      </c>
      <c r="I61" s="10">
        <f>G61*4</f>
        <v>1275.28</v>
      </c>
    </row>
    <row r="62" spans="1:9" ht="15.75" hidden="1" customHeight="1">
      <c r="A62" s="21"/>
      <c r="B62" s="93" t="s">
        <v>45</v>
      </c>
      <c r="C62" s="115" t="s">
        <v>104</v>
      </c>
      <c r="D62" s="94" t="s">
        <v>153</v>
      </c>
      <c r="E62" s="14">
        <v>6</v>
      </c>
      <c r="F62" s="103">
        <f>E62</f>
        <v>6</v>
      </c>
      <c r="G62" s="27">
        <v>109.32</v>
      </c>
      <c r="H62" s="72">
        <f t="shared" si="7"/>
        <v>0.65591999999999995</v>
      </c>
      <c r="I62" s="10">
        <v>0</v>
      </c>
    </row>
    <row r="63" spans="1:9" ht="15.75" customHeight="1">
      <c r="A63" s="21">
        <v>11</v>
      </c>
      <c r="B63" s="93" t="s">
        <v>46</v>
      </c>
      <c r="C63" s="137" t="s">
        <v>107</v>
      </c>
      <c r="D63" s="94"/>
      <c r="E63" s="102">
        <v>8539</v>
      </c>
      <c r="F63" s="136">
        <f>SUM(E63/100)</f>
        <v>85.39</v>
      </c>
      <c r="G63" s="27">
        <v>304.13</v>
      </c>
      <c r="H63" s="72">
        <f t="shared" si="7"/>
        <v>25.969660699999999</v>
      </c>
      <c r="I63" s="10">
        <f t="shared" ref="I63:I68" si="8">G63*F63</f>
        <v>25969.6607</v>
      </c>
    </row>
    <row r="64" spans="1:9" ht="15.75" customHeight="1">
      <c r="A64" s="21">
        <v>12</v>
      </c>
      <c r="B64" s="93" t="s">
        <v>47</v>
      </c>
      <c r="C64" s="115" t="s">
        <v>108</v>
      </c>
      <c r="D64" s="94"/>
      <c r="E64" s="102">
        <v>8539</v>
      </c>
      <c r="F64" s="27">
        <f>SUM(E64/1000)</f>
        <v>8.5389999999999997</v>
      </c>
      <c r="G64" s="27">
        <v>236.84</v>
      </c>
      <c r="H64" s="72">
        <f t="shared" si="7"/>
        <v>2.0223767599999998</v>
      </c>
      <c r="I64" s="10">
        <f t="shared" si="8"/>
        <v>2022.3767599999999</v>
      </c>
    </row>
    <row r="65" spans="1:9" ht="15.75" customHeight="1">
      <c r="A65" s="21">
        <v>13</v>
      </c>
      <c r="B65" s="93" t="s">
        <v>48</v>
      </c>
      <c r="C65" s="115" t="s">
        <v>74</v>
      </c>
      <c r="D65" s="94"/>
      <c r="E65" s="102">
        <v>1370</v>
      </c>
      <c r="F65" s="27">
        <f>SUM(E65/100)</f>
        <v>13.7</v>
      </c>
      <c r="G65" s="27">
        <v>2974.1</v>
      </c>
      <c r="H65" s="72">
        <f t="shared" si="7"/>
        <v>40.745170000000002</v>
      </c>
      <c r="I65" s="10">
        <f t="shared" si="8"/>
        <v>40745.17</v>
      </c>
    </row>
    <row r="66" spans="1:9" ht="15.75" customHeight="1">
      <c r="A66" s="21">
        <v>14</v>
      </c>
      <c r="B66" s="138" t="s">
        <v>109</v>
      </c>
      <c r="C66" s="115" t="s">
        <v>31</v>
      </c>
      <c r="D66" s="94"/>
      <c r="E66" s="102">
        <v>10.9</v>
      </c>
      <c r="F66" s="27">
        <f>SUM(E66)</f>
        <v>10.9</v>
      </c>
      <c r="G66" s="27">
        <v>47.98</v>
      </c>
      <c r="H66" s="72">
        <f t="shared" si="7"/>
        <v>0.52298199999999995</v>
      </c>
      <c r="I66" s="10">
        <f t="shared" si="8"/>
        <v>522.98199999999997</v>
      </c>
    </row>
    <row r="67" spans="1:9" ht="15.75" customHeight="1">
      <c r="A67" s="21">
        <v>15</v>
      </c>
      <c r="B67" s="138" t="s">
        <v>110</v>
      </c>
      <c r="C67" s="115" t="s">
        <v>31</v>
      </c>
      <c r="D67" s="94"/>
      <c r="E67" s="102">
        <v>10.9</v>
      </c>
      <c r="F67" s="27">
        <f>SUM(E67)</f>
        <v>10.9</v>
      </c>
      <c r="G67" s="27">
        <v>51.75</v>
      </c>
      <c r="H67" s="72">
        <f t="shared" si="7"/>
        <v>0.56407499999999999</v>
      </c>
      <c r="I67" s="10">
        <f t="shared" si="8"/>
        <v>564.07500000000005</v>
      </c>
    </row>
    <row r="68" spans="1:9" ht="24.75" hidden="1" customHeight="1">
      <c r="A68" s="21">
        <v>11</v>
      </c>
      <c r="B68" s="94" t="s">
        <v>55</v>
      </c>
      <c r="C68" s="115" t="s">
        <v>56</v>
      </c>
      <c r="D68" s="94" t="s">
        <v>52</v>
      </c>
      <c r="E68" s="14">
        <v>3</v>
      </c>
      <c r="F68" s="103">
        <v>3</v>
      </c>
      <c r="G68" s="27">
        <v>71.510000000000005</v>
      </c>
      <c r="H68" s="72">
        <f t="shared" si="7"/>
        <v>0.21453000000000003</v>
      </c>
      <c r="I68" s="10">
        <f t="shared" si="8"/>
        <v>214.53000000000003</v>
      </c>
    </row>
    <row r="69" spans="1:9" ht="18" customHeight="1">
      <c r="A69" s="21"/>
      <c r="B69" s="140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23.25" hidden="1" customHeight="1">
      <c r="A70" s="21">
        <v>11</v>
      </c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f>G70*0.3</f>
        <v>160.869</v>
      </c>
    </row>
    <row r="71" spans="1:9" ht="30.7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7.7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9.5" customHeight="1">
      <c r="A73" s="21">
        <v>16</v>
      </c>
      <c r="B73" s="94" t="s">
        <v>155</v>
      </c>
      <c r="C73" s="115" t="s">
        <v>104</v>
      </c>
      <c r="D73" s="94" t="s">
        <v>171</v>
      </c>
      <c r="E73" s="14">
        <v>2</v>
      </c>
      <c r="F73" s="27">
        <f>E73*12</f>
        <v>24</v>
      </c>
      <c r="G73" s="27">
        <v>404</v>
      </c>
      <c r="H73" s="72"/>
      <c r="I73" s="10">
        <f>G73*F73/12</f>
        <v>808</v>
      </c>
    </row>
    <row r="74" spans="1:9" ht="19.5" customHeight="1">
      <c r="A74" s="21"/>
      <c r="B74" s="116" t="s">
        <v>156</v>
      </c>
      <c r="C74" s="117"/>
      <c r="D74" s="118"/>
      <c r="E74" s="119"/>
      <c r="F74" s="120"/>
      <c r="G74" s="120"/>
      <c r="H74" s="10"/>
      <c r="I74" s="10"/>
    </row>
    <row r="75" spans="1:9" ht="36.75" customHeight="1">
      <c r="A75" s="21">
        <v>17</v>
      </c>
      <c r="B75" s="94" t="s">
        <v>157</v>
      </c>
      <c r="C75" s="121" t="s">
        <v>158</v>
      </c>
      <c r="D75" s="118"/>
      <c r="E75" s="119">
        <v>2054.6</v>
      </c>
      <c r="F75" s="120">
        <f>E75*12</f>
        <v>24655.199999999997</v>
      </c>
      <c r="G75" s="120">
        <v>2.4900000000000002</v>
      </c>
      <c r="H75" s="10"/>
      <c r="I75" s="10">
        <f>G75*F75/12</f>
        <v>5115.9539999999997</v>
      </c>
    </row>
    <row r="76" spans="1:9" ht="24" hidden="1" customHeight="1">
      <c r="A76" s="21"/>
      <c r="B76" s="75" t="s">
        <v>73</v>
      </c>
      <c r="C76" s="13"/>
      <c r="D76" s="11"/>
      <c r="E76" s="15"/>
      <c r="F76" s="10"/>
      <c r="G76" s="10" t="s">
        <v>113</v>
      </c>
      <c r="H76" s="72" t="s">
        <v>113</v>
      </c>
      <c r="I76" s="10"/>
    </row>
    <row r="77" spans="1:9" ht="24" hidden="1" customHeight="1">
      <c r="A77" s="21"/>
      <c r="B77" s="36" t="s">
        <v>114</v>
      </c>
      <c r="C77" s="13" t="s">
        <v>74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0.25" hidden="1" customHeight="1">
      <c r="A78" s="21"/>
      <c r="B78" s="140" t="s">
        <v>86</v>
      </c>
      <c r="C78" s="75"/>
      <c r="D78" s="23"/>
      <c r="E78" s="24"/>
      <c r="F78" s="64"/>
      <c r="G78" s="64"/>
      <c r="H78" s="76">
        <f>SUM(H57:H77)</f>
        <v>90.887361944000006</v>
      </c>
      <c r="I78" s="64"/>
    </row>
    <row r="79" spans="1:9" ht="18.75" hidden="1" customHeight="1">
      <c r="A79" s="21"/>
      <c r="B79" s="58" t="s">
        <v>111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63" t="s">
        <v>134</v>
      </c>
      <c r="B80" s="164"/>
      <c r="C80" s="164"/>
      <c r="D80" s="164"/>
      <c r="E80" s="164"/>
      <c r="F80" s="164"/>
      <c r="G80" s="164"/>
      <c r="H80" s="164"/>
      <c r="I80" s="165"/>
    </row>
    <row r="81" spans="1:9" ht="15.75" customHeight="1">
      <c r="A81" s="21">
        <v>18</v>
      </c>
      <c r="B81" s="94" t="s">
        <v>112</v>
      </c>
      <c r="C81" s="115" t="s">
        <v>53</v>
      </c>
      <c r="D81" s="133"/>
      <c r="E81" s="27">
        <v>2054.6</v>
      </c>
      <c r="F81" s="27">
        <f>SUM(E81*12)</f>
        <v>24655.199999999997</v>
      </c>
      <c r="G81" s="141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19</v>
      </c>
      <c r="B82" s="94" t="s">
        <v>159</v>
      </c>
      <c r="C82" s="115" t="s">
        <v>53</v>
      </c>
      <c r="D82" s="131"/>
      <c r="E82" s="132">
        <f>E81</f>
        <v>2054.6</v>
      </c>
      <c r="F82" s="124">
        <f>E82*12</f>
        <v>24655.199999999997</v>
      </c>
      <c r="G82" s="124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76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I82+I81+I75+I73+I67+I66+I65+I64+I63+I59+I33+I31+I30+I21+I20+I19+I18+I17+I16</f>
        <v>99410.34175800001</v>
      </c>
    </row>
    <row r="84" spans="1:9" ht="15.75" customHeight="1">
      <c r="A84" s="177" t="s">
        <v>58</v>
      </c>
      <c r="B84" s="178"/>
      <c r="C84" s="178"/>
      <c r="D84" s="178"/>
      <c r="E84" s="178"/>
      <c r="F84" s="178"/>
      <c r="G84" s="178"/>
      <c r="H84" s="178"/>
      <c r="I84" s="179"/>
    </row>
    <row r="85" spans="1:9" ht="28.5" customHeight="1">
      <c r="A85" s="139">
        <v>20</v>
      </c>
      <c r="B85" s="88" t="s">
        <v>165</v>
      </c>
      <c r="C85" s="40" t="s">
        <v>37</v>
      </c>
      <c r="D85" s="39" t="s">
        <v>172</v>
      </c>
      <c r="E85" s="27"/>
      <c r="F85" s="27">
        <v>0.06</v>
      </c>
      <c r="G85" s="27">
        <v>4233.72</v>
      </c>
      <c r="H85" s="150"/>
      <c r="I85" s="157">
        <v>0</v>
      </c>
    </row>
    <row r="86" spans="1:9" ht="28.5" customHeight="1">
      <c r="A86" s="139">
        <v>21</v>
      </c>
      <c r="B86" s="88" t="s">
        <v>223</v>
      </c>
      <c r="C86" s="40" t="s">
        <v>28</v>
      </c>
      <c r="D86" s="39" t="s">
        <v>170</v>
      </c>
      <c r="E86" s="27"/>
      <c r="F86" s="27">
        <v>0.1</v>
      </c>
      <c r="G86" s="27">
        <v>1881.44</v>
      </c>
      <c r="H86" s="156"/>
      <c r="I86" s="157">
        <v>0</v>
      </c>
    </row>
    <row r="87" spans="1:9" ht="28.5" customHeight="1">
      <c r="A87" s="139">
        <v>22</v>
      </c>
      <c r="B87" s="88" t="s">
        <v>189</v>
      </c>
      <c r="C87" s="40" t="s">
        <v>190</v>
      </c>
      <c r="D87" s="39" t="s">
        <v>229</v>
      </c>
      <c r="E87" s="27"/>
      <c r="F87" s="27">
        <v>1</v>
      </c>
      <c r="G87" s="27">
        <v>244.17</v>
      </c>
      <c r="H87" s="159"/>
      <c r="I87" s="157">
        <f>G87*1</f>
        <v>244.17</v>
      </c>
    </row>
    <row r="88" spans="1:9" ht="28.5" customHeight="1">
      <c r="A88" s="139">
        <v>23</v>
      </c>
      <c r="B88" s="88" t="s">
        <v>228</v>
      </c>
      <c r="C88" s="40" t="s">
        <v>184</v>
      </c>
      <c r="D88" s="39" t="s">
        <v>230</v>
      </c>
      <c r="E88" s="27"/>
      <c r="F88" s="27">
        <v>0.3</v>
      </c>
      <c r="G88" s="27">
        <v>1584.54</v>
      </c>
      <c r="H88" s="159"/>
      <c r="I88" s="157">
        <f>G88*0.3</f>
        <v>475.36199999999997</v>
      </c>
    </row>
    <row r="89" spans="1:9" ht="15.75" customHeight="1">
      <c r="A89" s="21"/>
      <c r="B89" s="34" t="s">
        <v>49</v>
      </c>
      <c r="C89" s="30"/>
      <c r="D89" s="37"/>
      <c r="E89" s="30">
        <v>1</v>
      </c>
      <c r="F89" s="30"/>
      <c r="G89" s="30"/>
      <c r="H89" s="30"/>
      <c r="I89" s="24">
        <f>SUM(I85:I88)</f>
        <v>719.53199999999993</v>
      </c>
    </row>
    <row r="90" spans="1:9" ht="15.75" customHeight="1">
      <c r="A90" s="21"/>
      <c r="B90" s="36" t="s">
        <v>75</v>
      </c>
      <c r="C90" s="12"/>
      <c r="D90" s="12"/>
      <c r="E90" s="31"/>
      <c r="F90" s="31"/>
      <c r="G90" s="32"/>
      <c r="H90" s="32"/>
      <c r="I90" s="14" t="s">
        <v>224</v>
      </c>
    </row>
    <row r="91" spans="1:9" ht="15.75" customHeight="1">
      <c r="A91" s="38"/>
      <c r="B91" s="35" t="s">
        <v>143</v>
      </c>
      <c r="C91" s="26"/>
      <c r="D91" s="26"/>
      <c r="E91" s="26"/>
      <c r="F91" s="26"/>
      <c r="G91" s="26"/>
      <c r="H91" s="26"/>
      <c r="I91" s="33">
        <f>I83+I89</f>
        <v>100129.87375800002</v>
      </c>
    </row>
    <row r="92" spans="1:9" ht="15.75">
      <c r="A92" s="176" t="s">
        <v>231</v>
      </c>
      <c r="B92" s="176"/>
      <c r="C92" s="176"/>
      <c r="D92" s="176"/>
      <c r="E92" s="176"/>
      <c r="F92" s="176"/>
      <c r="G92" s="176"/>
      <c r="H92" s="176"/>
      <c r="I92" s="176"/>
    </row>
    <row r="93" spans="1:9" ht="15.75">
      <c r="A93" s="46"/>
      <c r="B93" s="171" t="s">
        <v>232</v>
      </c>
      <c r="C93" s="171"/>
      <c r="D93" s="171"/>
      <c r="E93" s="171"/>
      <c r="F93" s="171"/>
      <c r="G93" s="171"/>
      <c r="H93" s="57"/>
      <c r="I93" s="2"/>
    </row>
    <row r="94" spans="1:9">
      <c r="A94" s="49"/>
      <c r="B94" s="167" t="s">
        <v>6</v>
      </c>
      <c r="C94" s="167"/>
      <c r="D94" s="167"/>
      <c r="E94" s="167"/>
      <c r="F94" s="167"/>
      <c r="G94" s="167"/>
      <c r="H94" s="16"/>
      <c r="I94" s="4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 ht="15.75">
      <c r="A96" s="172" t="s">
        <v>7</v>
      </c>
      <c r="B96" s="172"/>
      <c r="C96" s="172"/>
      <c r="D96" s="172"/>
      <c r="E96" s="172"/>
      <c r="F96" s="172"/>
      <c r="G96" s="172"/>
      <c r="H96" s="172"/>
      <c r="I96" s="172"/>
    </row>
    <row r="97" spans="1:9" ht="15.75">
      <c r="A97" s="172" t="s">
        <v>8</v>
      </c>
      <c r="B97" s="172"/>
      <c r="C97" s="172"/>
      <c r="D97" s="172"/>
      <c r="E97" s="172"/>
      <c r="F97" s="172"/>
      <c r="G97" s="172"/>
      <c r="H97" s="172"/>
      <c r="I97" s="172"/>
    </row>
    <row r="98" spans="1:9" ht="15.75">
      <c r="A98" s="173" t="s">
        <v>59</v>
      </c>
      <c r="B98" s="173"/>
      <c r="C98" s="173"/>
      <c r="D98" s="173"/>
      <c r="E98" s="173"/>
      <c r="F98" s="173"/>
      <c r="G98" s="173"/>
      <c r="H98" s="173"/>
      <c r="I98" s="173"/>
    </row>
    <row r="99" spans="1:9" ht="15.75">
      <c r="A99" s="8"/>
    </row>
    <row r="100" spans="1:9" ht="15.75">
      <c r="A100" s="174" t="s">
        <v>9</v>
      </c>
      <c r="B100" s="174"/>
      <c r="C100" s="174"/>
      <c r="D100" s="174"/>
      <c r="E100" s="174"/>
      <c r="F100" s="174"/>
      <c r="G100" s="174"/>
      <c r="H100" s="174"/>
      <c r="I100" s="174"/>
    </row>
    <row r="101" spans="1:9" ht="15.75">
      <c r="A101" s="3"/>
    </row>
    <row r="102" spans="1:9" ht="15.75">
      <c r="B102" s="50" t="s">
        <v>10</v>
      </c>
      <c r="C102" s="166" t="s">
        <v>192</v>
      </c>
      <c r="D102" s="166"/>
      <c r="E102" s="166"/>
      <c r="F102" s="55"/>
      <c r="I102" s="48"/>
    </row>
    <row r="103" spans="1:9">
      <c r="A103" s="49"/>
      <c r="C103" s="167" t="s">
        <v>11</v>
      </c>
      <c r="D103" s="167"/>
      <c r="E103" s="167"/>
      <c r="F103" s="16"/>
      <c r="I103" s="47" t="s">
        <v>12</v>
      </c>
    </row>
    <row r="104" spans="1:9" ht="15.75">
      <c r="A104" s="17"/>
      <c r="C104" s="9"/>
      <c r="D104" s="9"/>
      <c r="G104" s="9"/>
      <c r="H104" s="9"/>
    </row>
    <row r="105" spans="1:9" ht="15.75">
      <c r="B105" s="50" t="s">
        <v>13</v>
      </c>
      <c r="C105" s="168"/>
      <c r="D105" s="168"/>
      <c r="E105" s="168"/>
      <c r="F105" s="56"/>
      <c r="I105" s="48"/>
    </row>
    <row r="106" spans="1:9">
      <c r="A106" s="49"/>
      <c r="C106" s="169" t="s">
        <v>11</v>
      </c>
      <c r="D106" s="169"/>
      <c r="E106" s="169"/>
      <c r="F106" s="49"/>
      <c r="I106" s="47" t="s">
        <v>12</v>
      </c>
    </row>
    <row r="107" spans="1:9" ht="15.75">
      <c r="A107" s="3" t="s">
        <v>14</v>
      </c>
    </row>
    <row r="108" spans="1:9">
      <c r="A108" s="170" t="s">
        <v>15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45" customHeight="1">
      <c r="A109" s="162" t="s">
        <v>16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17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30" customHeight="1">
      <c r="A111" s="162" t="s">
        <v>21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15" customHeight="1">
      <c r="A112" s="162" t="s">
        <v>20</v>
      </c>
      <c r="B112" s="162"/>
      <c r="C112" s="162"/>
      <c r="D112" s="162"/>
      <c r="E112" s="162"/>
      <c r="F112" s="162"/>
      <c r="G112" s="162"/>
      <c r="H112" s="162"/>
      <c r="I112" s="162"/>
    </row>
  </sheetData>
  <mergeCells count="28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8:I28"/>
    <mergeCell ref="A44:I44"/>
    <mergeCell ref="A55:I55"/>
    <mergeCell ref="A80:I80"/>
    <mergeCell ref="A92:I92"/>
    <mergeCell ref="B93:G93"/>
    <mergeCell ref="B94:G94"/>
    <mergeCell ref="A96:I96"/>
    <mergeCell ref="A97:I97"/>
    <mergeCell ref="A98:I98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1"/>
  <sheetViews>
    <sheetView topLeftCell="A83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138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233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44408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customHeight="1">
      <c r="A22" s="21">
        <v>6</v>
      </c>
      <c r="B22" s="25" t="s">
        <v>92</v>
      </c>
      <c r="C22" s="29" t="s">
        <v>51</v>
      </c>
      <c r="D22" s="25" t="s">
        <v>171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customHeight="1">
      <c r="A23" s="21">
        <v>7</v>
      </c>
      <c r="B23" s="25" t="s">
        <v>93</v>
      </c>
      <c r="C23" s="29" t="s">
        <v>51</v>
      </c>
      <c r="D23" s="25" t="s">
        <v>176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customHeight="1">
      <c r="A24" s="21">
        <v>8</v>
      </c>
      <c r="B24" s="25" t="s">
        <v>94</v>
      </c>
      <c r="C24" s="29" t="s">
        <v>51</v>
      </c>
      <c r="D24" s="25" t="s">
        <v>171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customHeight="1">
      <c r="A25" s="21">
        <v>9</v>
      </c>
      <c r="B25" s="25" t="s">
        <v>96</v>
      </c>
      <c r="C25" s="29" t="s">
        <v>51</v>
      </c>
      <c r="D25" s="25" t="s">
        <v>170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customHeight="1">
      <c r="A26" s="21">
        <v>10</v>
      </c>
      <c r="B26" s="25" t="s">
        <v>97</v>
      </c>
      <c r="C26" s="29" t="s">
        <v>51</v>
      </c>
      <c r="D26" s="25" t="s">
        <v>173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11</v>
      </c>
      <c r="B30" s="25" t="s">
        <v>102</v>
      </c>
      <c r="C30" s="29" t="s">
        <v>83</v>
      </c>
      <c r="D30" s="25" t="s">
        <v>168</v>
      </c>
      <c r="E30" s="103">
        <v>124</v>
      </c>
      <c r="F30" s="103">
        <f>SUM(E30*24/1000)</f>
        <v>2.976</v>
      </c>
      <c r="G30" s="103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12</v>
      </c>
      <c r="B31" s="25" t="s">
        <v>101</v>
      </c>
      <c r="C31" s="29" t="s">
        <v>83</v>
      </c>
      <c r="D31" s="25" t="s">
        <v>167</v>
      </c>
      <c r="E31" s="103">
        <v>128</v>
      </c>
      <c r="F31" s="103">
        <f>SUM(E31*52/1000)</f>
        <v>6.6559999999999997</v>
      </c>
      <c r="G31" s="103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3">
        <v>124</v>
      </c>
      <c r="F32" s="103">
        <f>SUM(E32/1000)</f>
        <v>0.124</v>
      </c>
      <c r="G32" s="103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13</v>
      </c>
      <c r="B33" s="25" t="s">
        <v>164</v>
      </c>
      <c r="C33" s="29" t="s">
        <v>39</v>
      </c>
      <c r="D33" s="25" t="s">
        <v>169</v>
      </c>
      <c r="E33" s="135">
        <v>1</v>
      </c>
      <c r="F33" s="103">
        <f>E33*155/100</f>
        <v>1.55</v>
      </c>
      <c r="G33" s="103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hidden="1" customHeight="1">
      <c r="A44" s="163" t="s">
        <v>122</v>
      </c>
      <c r="B44" s="164"/>
      <c r="C44" s="164"/>
      <c r="D44" s="164"/>
      <c r="E44" s="164"/>
      <c r="F44" s="164"/>
      <c r="G44" s="164"/>
      <c r="H44" s="164"/>
      <c r="I44" s="165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v>0</v>
      </c>
    </row>
    <row r="54" spans="1:9" ht="15.75" hidden="1" customHeight="1">
      <c r="A54" s="21">
        <v>15</v>
      </c>
      <c r="B54" s="58" t="s">
        <v>40</v>
      </c>
      <c r="C54" s="59" t="s">
        <v>104</v>
      </c>
      <c r="D54" s="58" t="s">
        <v>68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63" t="s">
        <v>133</v>
      </c>
      <c r="B55" s="164"/>
      <c r="C55" s="164"/>
      <c r="D55" s="164"/>
      <c r="E55" s="164"/>
      <c r="F55" s="164"/>
      <c r="G55" s="164"/>
      <c r="H55" s="164"/>
      <c r="I55" s="165"/>
    </row>
    <row r="56" spans="1:9" ht="15.7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30.75" hidden="1" customHeight="1">
      <c r="A57" s="91">
        <v>16</v>
      </c>
      <c r="B57" s="68" t="s">
        <v>105</v>
      </c>
      <c r="C57" s="67" t="s">
        <v>80</v>
      </c>
      <c r="D57" s="6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9.5" customHeight="1">
      <c r="A58" s="91"/>
      <c r="B58" s="113" t="s">
        <v>154</v>
      </c>
      <c r="C58" s="109"/>
      <c r="D58" s="108"/>
      <c r="E58" s="110"/>
      <c r="F58" s="114"/>
      <c r="G58" s="27"/>
      <c r="H58" s="95"/>
      <c r="I58" s="10"/>
    </row>
    <row r="59" spans="1:9" ht="15" customHeight="1">
      <c r="A59" s="91">
        <v>14</v>
      </c>
      <c r="B59" s="94" t="s">
        <v>148</v>
      </c>
      <c r="C59" s="115" t="s">
        <v>149</v>
      </c>
      <c r="D59" s="94" t="s">
        <v>170</v>
      </c>
      <c r="E59" s="128">
        <v>120</v>
      </c>
      <c r="F59" s="114">
        <f>E59*12</f>
        <v>1440</v>
      </c>
      <c r="G59" s="27">
        <v>1.4</v>
      </c>
      <c r="H59" s="71"/>
      <c r="I59" s="10">
        <f>G59*F59/12</f>
        <v>167.99999999999997</v>
      </c>
    </row>
    <row r="60" spans="1:9" ht="19.5" customHeight="1">
      <c r="A60" s="21"/>
      <c r="B60" s="92" t="s">
        <v>43</v>
      </c>
      <c r="C60" s="13"/>
      <c r="D60" s="11"/>
      <c r="E60" s="77"/>
      <c r="F60" s="61"/>
      <c r="G60" s="10"/>
      <c r="H60" s="54"/>
      <c r="I60" s="10"/>
    </row>
    <row r="61" spans="1:9" ht="16.5" customHeight="1">
      <c r="A61" s="21">
        <v>15</v>
      </c>
      <c r="B61" s="93" t="s">
        <v>44</v>
      </c>
      <c r="C61" s="13"/>
      <c r="D61" s="11" t="s">
        <v>170</v>
      </c>
      <c r="E61" s="77"/>
      <c r="F61" s="61"/>
      <c r="G61" s="90">
        <v>318.82</v>
      </c>
      <c r="H61" s="54"/>
      <c r="I61" s="10">
        <f>G61</f>
        <v>318.82</v>
      </c>
    </row>
    <row r="62" spans="1:9" ht="25.5" hidden="1" customHeight="1">
      <c r="A62" s="21"/>
      <c r="B62" s="11" t="s">
        <v>45</v>
      </c>
      <c r="C62" s="13" t="s">
        <v>104</v>
      </c>
      <c r="D62" s="11" t="s">
        <v>64</v>
      </c>
      <c r="E62" s="15">
        <v>3</v>
      </c>
      <c r="F62" s="61">
        <v>3</v>
      </c>
      <c r="G62" s="10">
        <v>81.510000000000005</v>
      </c>
      <c r="H62" s="72">
        <f t="shared" ref="H62:H77" si="7">SUM(F62*G62/1000)</f>
        <v>0.24453000000000003</v>
      </c>
      <c r="I62" s="10">
        <v>0</v>
      </c>
    </row>
    <row r="63" spans="1:9" ht="24" hidden="1" customHeight="1">
      <c r="A63" s="21"/>
      <c r="B63" s="11" t="s">
        <v>46</v>
      </c>
      <c r="C63" s="13" t="s">
        <v>107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7"/>
        <v>19.3655981</v>
      </c>
      <c r="I63" s="10">
        <v>0</v>
      </c>
    </row>
    <row r="64" spans="1:9" ht="27" hidden="1" customHeight="1">
      <c r="A64" s="21"/>
      <c r="B64" s="11" t="s">
        <v>47</v>
      </c>
      <c r="C64" s="13" t="s">
        <v>108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7"/>
        <v>1.5080727900000002</v>
      </c>
      <c r="I64" s="10">
        <v>0</v>
      </c>
    </row>
    <row r="65" spans="1:9" ht="25.5" hidden="1" customHeight="1">
      <c r="A65" s="21"/>
      <c r="B65" s="11" t="s">
        <v>48</v>
      </c>
      <c r="C65" s="13" t="s">
        <v>74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7"/>
        <v>30.383586000000005</v>
      </c>
      <c r="I65" s="10">
        <v>0</v>
      </c>
    </row>
    <row r="66" spans="1:9" ht="24.75" hidden="1" customHeight="1">
      <c r="A66" s="21"/>
      <c r="B66" s="73" t="s">
        <v>109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7"/>
        <v>0.38403000000000004</v>
      </c>
      <c r="I66" s="10">
        <v>0</v>
      </c>
    </row>
    <row r="67" spans="1:9" ht="27" hidden="1" customHeight="1">
      <c r="A67" s="21"/>
      <c r="B67" s="73" t="s">
        <v>110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7"/>
        <v>0.35829</v>
      </c>
      <c r="I67" s="10">
        <v>0</v>
      </c>
    </row>
    <row r="68" spans="1:9" ht="24.7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21" customHeight="1">
      <c r="A69" s="21"/>
      <c r="B69" s="23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18" hidden="1" customHeight="1">
      <c r="A70" s="21">
        <v>12</v>
      </c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f>G70*0.1</f>
        <v>53.623000000000005</v>
      </c>
    </row>
    <row r="71" spans="1:9" ht="23.2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6.2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5" customHeight="1">
      <c r="A73" s="21">
        <v>16</v>
      </c>
      <c r="B73" s="94" t="s">
        <v>155</v>
      </c>
      <c r="C73" s="115" t="s">
        <v>104</v>
      </c>
      <c r="D73" s="94" t="s">
        <v>171</v>
      </c>
      <c r="E73" s="14">
        <v>2</v>
      </c>
      <c r="F73" s="27">
        <f>E73*12</f>
        <v>24</v>
      </c>
      <c r="G73" s="27">
        <v>404</v>
      </c>
      <c r="H73" s="72"/>
      <c r="I73" s="10">
        <f>G73*F73/12</f>
        <v>808</v>
      </c>
    </row>
    <row r="74" spans="1:9" ht="15" customHeight="1">
      <c r="A74" s="21"/>
      <c r="B74" s="116" t="s">
        <v>156</v>
      </c>
      <c r="C74" s="117"/>
      <c r="D74" s="118"/>
      <c r="E74" s="119"/>
      <c r="F74" s="120"/>
      <c r="G74" s="120"/>
      <c r="H74" s="10"/>
      <c r="I74" s="10"/>
    </row>
    <row r="75" spans="1:9" ht="15" customHeight="1">
      <c r="A75" s="21">
        <v>17</v>
      </c>
      <c r="B75" s="94" t="s">
        <v>157</v>
      </c>
      <c r="C75" s="121" t="s">
        <v>158</v>
      </c>
      <c r="D75" s="118"/>
      <c r="E75" s="119">
        <v>2054.6</v>
      </c>
      <c r="F75" s="120">
        <f>E75*12</f>
        <v>24655.199999999997</v>
      </c>
      <c r="G75" s="120">
        <v>2.4900000000000002</v>
      </c>
      <c r="H75" s="10"/>
      <c r="I75" s="10">
        <f>G75*F75/12</f>
        <v>5115.9539999999997</v>
      </c>
    </row>
    <row r="76" spans="1:9" ht="24" hidden="1" customHeight="1">
      <c r="A76" s="21"/>
      <c r="B76" s="74" t="s">
        <v>73</v>
      </c>
      <c r="C76" s="13"/>
      <c r="D76" s="11"/>
      <c r="E76" s="15"/>
      <c r="F76" s="10"/>
      <c r="G76" s="10" t="s">
        <v>113</v>
      </c>
      <c r="H76" s="72" t="s">
        <v>113</v>
      </c>
      <c r="I76" s="10"/>
    </row>
    <row r="77" spans="1:9" ht="24" hidden="1" customHeight="1">
      <c r="A77" s="21"/>
      <c r="B77" s="36" t="s">
        <v>114</v>
      </c>
      <c r="C77" s="13" t="s">
        <v>74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9.25" hidden="1" customHeight="1">
      <c r="A78" s="21"/>
      <c r="B78" s="53" t="s">
        <v>86</v>
      </c>
      <c r="C78" s="75"/>
      <c r="D78" s="23"/>
      <c r="E78" s="24"/>
      <c r="F78" s="64"/>
      <c r="G78" s="64"/>
      <c r="H78" s="76">
        <f>SUM(H57:H77)</f>
        <v>68.771774374000003</v>
      </c>
      <c r="I78" s="64"/>
    </row>
    <row r="79" spans="1:9" ht="24.75" hidden="1" customHeight="1">
      <c r="A79" s="21"/>
      <c r="B79" s="58" t="s">
        <v>111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63" t="s">
        <v>134</v>
      </c>
      <c r="B80" s="164"/>
      <c r="C80" s="164"/>
      <c r="D80" s="164"/>
      <c r="E80" s="164"/>
      <c r="F80" s="164"/>
      <c r="G80" s="164"/>
      <c r="H80" s="164"/>
      <c r="I80" s="165"/>
    </row>
    <row r="81" spans="1:9" ht="15.75" customHeight="1">
      <c r="A81" s="21">
        <v>18</v>
      </c>
      <c r="B81" s="94" t="s">
        <v>112</v>
      </c>
      <c r="C81" s="115" t="s">
        <v>53</v>
      </c>
      <c r="D81" s="133"/>
      <c r="E81" s="27">
        <v>2054.6</v>
      </c>
      <c r="F81" s="27">
        <f>SUM(E81*12)</f>
        <v>24655.199999999997</v>
      </c>
      <c r="G81" s="27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19</v>
      </c>
      <c r="B82" s="94" t="s">
        <v>159</v>
      </c>
      <c r="C82" s="115" t="s">
        <v>53</v>
      </c>
      <c r="D82" s="131"/>
      <c r="E82" s="132">
        <f>E81</f>
        <v>2054.6</v>
      </c>
      <c r="F82" s="124">
        <f>E82*12</f>
        <v>24655.199999999997</v>
      </c>
      <c r="G82" s="124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76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I82+I81+I75+I73+I61+I59+I33+I31+I30+I26+I25+I24+I23+I22+I21+I20+I18+I17+I16</f>
        <v>30611.369097999996</v>
      </c>
    </row>
    <row r="84" spans="1:9" ht="15.75" customHeight="1">
      <c r="A84" s="177" t="s">
        <v>58</v>
      </c>
      <c r="B84" s="178"/>
      <c r="C84" s="178"/>
      <c r="D84" s="178"/>
      <c r="E84" s="178"/>
      <c r="F84" s="178"/>
      <c r="G84" s="178"/>
      <c r="H84" s="178"/>
      <c r="I84" s="179"/>
    </row>
    <row r="85" spans="1:9" ht="17.25" customHeight="1">
      <c r="A85" s="139">
        <v>20</v>
      </c>
      <c r="B85" s="153" t="s">
        <v>234</v>
      </c>
      <c r="C85" s="149" t="s">
        <v>184</v>
      </c>
      <c r="D85" s="39" t="s">
        <v>235</v>
      </c>
      <c r="E85" s="27"/>
      <c r="F85" s="27">
        <v>2</v>
      </c>
      <c r="G85" s="27">
        <v>295.36</v>
      </c>
      <c r="H85" s="143"/>
      <c r="I85" s="144">
        <v>0</v>
      </c>
    </row>
    <row r="86" spans="1:9" ht="18" customHeight="1">
      <c r="A86" s="139">
        <v>21</v>
      </c>
      <c r="B86" s="88" t="s">
        <v>236</v>
      </c>
      <c r="C86" s="40" t="s">
        <v>104</v>
      </c>
      <c r="D86" s="39" t="s">
        <v>239</v>
      </c>
      <c r="E86" s="27"/>
      <c r="F86" s="27">
        <v>1</v>
      </c>
      <c r="G86" s="27">
        <v>211.85</v>
      </c>
      <c r="H86" s="143"/>
      <c r="I86" s="144">
        <f>G86*1</f>
        <v>211.85</v>
      </c>
    </row>
    <row r="87" spans="1:9" ht="31.5" customHeight="1">
      <c r="A87" s="139">
        <v>22</v>
      </c>
      <c r="B87" s="88" t="s">
        <v>237</v>
      </c>
      <c r="C87" s="40" t="s">
        <v>185</v>
      </c>
      <c r="D87" s="94" t="s">
        <v>238</v>
      </c>
      <c r="E87" s="27"/>
      <c r="F87" s="27">
        <v>2</v>
      </c>
      <c r="G87" s="27">
        <v>614.47</v>
      </c>
      <c r="H87" s="143"/>
      <c r="I87" s="144">
        <f>G87*2</f>
        <v>1228.94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SUM(I85:I87)</f>
        <v>1440.79</v>
      </c>
    </row>
    <row r="89" spans="1:9" ht="15.75" customHeight="1">
      <c r="A89" s="21"/>
      <c r="B89" s="36" t="s">
        <v>75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143</v>
      </c>
      <c r="C90" s="26"/>
      <c r="D90" s="26"/>
      <c r="E90" s="26"/>
      <c r="F90" s="26"/>
      <c r="G90" s="26"/>
      <c r="H90" s="26"/>
      <c r="I90" s="33">
        <f>I83+I88</f>
        <v>32052.159097999996</v>
      </c>
    </row>
    <row r="91" spans="1:9" ht="15.75">
      <c r="A91" s="176" t="s">
        <v>240</v>
      </c>
      <c r="B91" s="176"/>
      <c r="C91" s="176"/>
      <c r="D91" s="176"/>
      <c r="E91" s="176"/>
      <c r="F91" s="176"/>
      <c r="G91" s="176"/>
      <c r="H91" s="176"/>
      <c r="I91" s="176"/>
    </row>
    <row r="92" spans="1:9" ht="15.75">
      <c r="A92" s="46"/>
      <c r="B92" s="171" t="s">
        <v>241</v>
      </c>
      <c r="C92" s="171"/>
      <c r="D92" s="171"/>
      <c r="E92" s="171"/>
      <c r="F92" s="171"/>
      <c r="G92" s="171"/>
      <c r="H92" s="57"/>
      <c r="I92" s="2"/>
    </row>
    <row r="93" spans="1:9">
      <c r="A93" s="49"/>
      <c r="B93" s="167" t="s">
        <v>6</v>
      </c>
      <c r="C93" s="167"/>
      <c r="D93" s="167"/>
      <c r="E93" s="167"/>
      <c r="F93" s="167"/>
      <c r="G93" s="167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72" t="s">
        <v>7</v>
      </c>
      <c r="B95" s="172"/>
      <c r="C95" s="172"/>
      <c r="D95" s="172"/>
      <c r="E95" s="172"/>
      <c r="F95" s="172"/>
      <c r="G95" s="172"/>
      <c r="H95" s="172"/>
      <c r="I95" s="172"/>
    </row>
    <row r="96" spans="1:9" ht="15.75">
      <c r="A96" s="172" t="s">
        <v>8</v>
      </c>
      <c r="B96" s="172"/>
      <c r="C96" s="172"/>
      <c r="D96" s="172"/>
      <c r="E96" s="172"/>
      <c r="F96" s="172"/>
      <c r="G96" s="172"/>
      <c r="H96" s="172"/>
      <c r="I96" s="172"/>
    </row>
    <row r="97" spans="1:9" ht="15.75">
      <c r="A97" s="173" t="s">
        <v>59</v>
      </c>
      <c r="B97" s="173"/>
      <c r="C97" s="173"/>
      <c r="D97" s="173"/>
      <c r="E97" s="173"/>
      <c r="F97" s="173"/>
      <c r="G97" s="173"/>
      <c r="H97" s="173"/>
      <c r="I97" s="173"/>
    </row>
    <row r="98" spans="1:9" ht="15.75">
      <c r="A98" s="8"/>
    </row>
    <row r="99" spans="1:9" ht="15.75">
      <c r="A99" s="174" t="s">
        <v>9</v>
      </c>
      <c r="B99" s="174"/>
      <c r="C99" s="174"/>
      <c r="D99" s="174"/>
      <c r="E99" s="174"/>
      <c r="F99" s="174"/>
      <c r="G99" s="174"/>
      <c r="H99" s="174"/>
      <c r="I99" s="174"/>
    </row>
    <row r="100" spans="1:9" ht="15.75">
      <c r="A100" s="3"/>
    </row>
    <row r="101" spans="1:9" ht="15.75">
      <c r="B101" s="50" t="s">
        <v>10</v>
      </c>
      <c r="C101" s="166" t="s">
        <v>192</v>
      </c>
      <c r="D101" s="166"/>
      <c r="E101" s="166"/>
      <c r="F101" s="55"/>
      <c r="I101" s="48"/>
    </row>
    <row r="102" spans="1:9">
      <c r="A102" s="49"/>
      <c r="C102" s="167" t="s">
        <v>11</v>
      </c>
      <c r="D102" s="167"/>
      <c r="E102" s="167"/>
      <c r="F102" s="16"/>
      <c r="I102" s="47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0" t="s">
        <v>13</v>
      </c>
      <c r="C104" s="168"/>
      <c r="D104" s="168"/>
      <c r="E104" s="168"/>
      <c r="F104" s="56"/>
      <c r="I104" s="48"/>
    </row>
    <row r="105" spans="1:9">
      <c r="A105" s="49"/>
      <c r="C105" s="169" t="s">
        <v>11</v>
      </c>
      <c r="D105" s="169"/>
      <c r="E105" s="169"/>
      <c r="F105" s="49"/>
      <c r="I105" s="47" t="s">
        <v>12</v>
      </c>
    </row>
    <row r="106" spans="1:9" ht="15.75">
      <c r="A106" s="3" t="s">
        <v>14</v>
      </c>
    </row>
    <row r="107" spans="1:9">
      <c r="A107" s="170" t="s">
        <v>15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45" customHeight="1">
      <c r="A108" s="162" t="s">
        <v>16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30" customHeight="1">
      <c r="A109" s="162" t="s">
        <v>17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21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15" customHeight="1">
      <c r="A111" s="162" t="s">
        <v>20</v>
      </c>
      <c r="B111" s="162"/>
      <c r="C111" s="162"/>
      <c r="D111" s="162"/>
      <c r="E111" s="162"/>
      <c r="F111" s="162"/>
      <c r="G111" s="162"/>
      <c r="H111" s="162"/>
      <c r="I111" s="162"/>
    </row>
  </sheetData>
  <mergeCells count="28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A99:I99"/>
    <mergeCell ref="A15:I15"/>
    <mergeCell ref="A28:I28"/>
    <mergeCell ref="A44:I44"/>
    <mergeCell ref="A55:I55"/>
    <mergeCell ref="A80:I80"/>
    <mergeCell ref="A91:I91"/>
    <mergeCell ref="B92:G92"/>
    <mergeCell ref="B93:G93"/>
    <mergeCell ref="A95:I95"/>
    <mergeCell ref="A96:I96"/>
    <mergeCell ref="A97:I97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8"/>
  <sheetViews>
    <sheetView view="pageBreakPreview" topLeftCell="A55" zoomScale="60" zoomScaleNormal="100" workbookViewId="0">
      <selection activeCell="G101" sqref="G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139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242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44439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6</v>
      </c>
      <c r="B30" s="25" t="s">
        <v>102</v>
      </c>
      <c r="C30" s="29" t="s">
        <v>83</v>
      </c>
      <c r="D30" s="25" t="s">
        <v>168</v>
      </c>
      <c r="E30" s="103">
        <v>124</v>
      </c>
      <c r="F30" s="103">
        <f>SUM(E30*24/1000)</f>
        <v>2.976</v>
      </c>
      <c r="G30" s="103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7</v>
      </c>
      <c r="B31" s="25" t="s">
        <v>101</v>
      </c>
      <c r="C31" s="29" t="s">
        <v>83</v>
      </c>
      <c r="D31" s="25" t="s">
        <v>167</v>
      </c>
      <c r="E31" s="103">
        <v>128</v>
      </c>
      <c r="F31" s="103">
        <f>SUM(E31*52/1000)</f>
        <v>6.6559999999999997</v>
      </c>
      <c r="G31" s="103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3">
        <v>124</v>
      </c>
      <c r="F32" s="103">
        <f>SUM(E32/1000)</f>
        <v>0.124</v>
      </c>
      <c r="G32" s="103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8</v>
      </c>
      <c r="B33" s="25" t="s">
        <v>164</v>
      </c>
      <c r="C33" s="29" t="s">
        <v>39</v>
      </c>
      <c r="D33" s="25" t="s">
        <v>169</v>
      </c>
      <c r="E33" s="135">
        <v>1</v>
      </c>
      <c r="F33" s="103">
        <f>E33*155/100</f>
        <v>1.55</v>
      </c>
      <c r="G33" s="103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customHeight="1">
      <c r="A44" s="163" t="s">
        <v>122</v>
      </c>
      <c r="B44" s="164"/>
      <c r="C44" s="164"/>
      <c r="D44" s="164"/>
      <c r="E44" s="164"/>
      <c r="F44" s="164"/>
      <c r="G44" s="164"/>
      <c r="H44" s="164"/>
      <c r="I44" s="165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>
        <v>10</v>
      </c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f>F53/2*G53</f>
        <v>60.421199999999999</v>
      </c>
    </row>
    <row r="54" spans="1:9" ht="15.75" customHeight="1">
      <c r="A54" s="21">
        <v>9</v>
      </c>
      <c r="B54" s="25" t="s">
        <v>40</v>
      </c>
      <c r="C54" s="29" t="s">
        <v>104</v>
      </c>
      <c r="D54" s="142">
        <v>44439</v>
      </c>
      <c r="E54" s="102">
        <v>72</v>
      </c>
      <c r="F54" s="103">
        <f>SUM(E54)*3</f>
        <v>216</v>
      </c>
      <c r="G54" s="136">
        <v>87.32</v>
      </c>
      <c r="H54" s="62">
        <f t="shared" si="6"/>
        <v>18.86112</v>
      </c>
      <c r="I54" s="10">
        <f>E54*G54</f>
        <v>6287.0399999999991</v>
      </c>
    </row>
    <row r="55" spans="1:9" ht="16.5" customHeight="1">
      <c r="A55" s="163" t="s">
        <v>123</v>
      </c>
      <c r="B55" s="164"/>
      <c r="C55" s="164"/>
      <c r="D55" s="164"/>
      <c r="E55" s="164"/>
      <c r="F55" s="164"/>
      <c r="G55" s="164"/>
      <c r="H55" s="164"/>
      <c r="I55" s="165"/>
    </row>
    <row r="56" spans="1:9" ht="20.2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18.7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.75" customHeight="1">
      <c r="A58" s="21"/>
      <c r="B58" s="113" t="s">
        <v>154</v>
      </c>
      <c r="C58" s="109"/>
      <c r="D58" s="108"/>
      <c r="E58" s="110"/>
      <c r="F58" s="114"/>
      <c r="G58" s="27"/>
      <c r="H58" s="95"/>
      <c r="I58" s="10"/>
    </row>
    <row r="59" spans="1:9" ht="18.75" customHeight="1">
      <c r="A59" s="21">
        <v>10</v>
      </c>
      <c r="B59" s="94" t="s">
        <v>148</v>
      </c>
      <c r="C59" s="115" t="s">
        <v>149</v>
      </c>
      <c r="D59" s="94" t="s">
        <v>170</v>
      </c>
      <c r="E59" s="128">
        <v>120</v>
      </c>
      <c r="F59" s="114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hidden="1" customHeight="1">
      <c r="A60" s="21"/>
      <c r="B60" s="79" t="s">
        <v>43</v>
      </c>
      <c r="C60" s="67"/>
      <c r="D60" s="68"/>
      <c r="E60" s="69"/>
      <c r="F60" s="70"/>
      <c r="G60" s="70"/>
      <c r="H60" s="71" t="s">
        <v>113</v>
      </c>
      <c r="I60" s="10"/>
    </row>
    <row r="61" spans="1:9" ht="21.75" hidden="1" customHeight="1">
      <c r="A61" s="21">
        <v>12</v>
      </c>
      <c r="B61" s="11" t="s">
        <v>44</v>
      </c>
      <c r="C61" s="13" t="s">
        <v>104</v>
      </c>
      <c r="D61" s="11" t="s">
        <v>170</v>
      </c>
      <c r="E61" s="15">
        <v>8</v>
      </c>
      <c r="F61" s="61">
        <v>8</v>
      </c>
      <c r="G61" s="90">
        <v>318.82</v>
      </c>
      <c r="H61" s="72">
        <f t="shared" ref="H61:H70" si="7">SUM(F61*G61/1000)</f>
        <v>2.5505599999999999</v>
      </c>
      <c r="I61" s="10">
        <f>G61*1</f>
        <v>318.82</v>
      </c>
    </row>
    <row r="62" spans="1:9" ht="18.75" hidden="1" customHeight="1">
      <c r="A62" s="21"/>
      <c r="B62" s="11" t="s">
        <v>45</v>
      </c>
      <c r="C62" s="13" t="s">
        <v>104</v>
      </c>
      <c r="D62" s="11" t="s">
        <v>64</v>
      </c>
      <c r="E62" s="15">
        <v>3</v>
      </c>
      <c r="F62" s="61">
        <v>3</v>
      </c>
      <c r="G62" s="10">
        <v>81.510000000000005</v>
      </c>
      <c r="H62" s="72">
        <f t="shared" si="7"/>
        <v>0.24453000000000003</v>
      </c>
      <c r="I62" s="10">
        <v>0</v>
      </c>
    </row>
    <row r="63" spans="1:9" ht="23.25" hidden="1" customHeight="1">
      <c r="A63" s="21"/>
      <c r="B63" s="11" t="s">
        <v>46</v>
      </c>
      <c r="C63" s="13" t="s">
        <v>107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7"/>
        <v>19.3655981</v>
      </c>
      <c r="I63" s="10">
        <v>0</v>
      </c>
    </row>
    <row r="64" spans="1:9" ht="20.25" hidden="1" customHeight="1">
      <c r="A64" s="21"/>
      <c r="B64" s="11" t="s">
        <v>47</v>
      </c>
      <c r="C64" s="13" t="s">
        <v>108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7"/>
        <v>1.5080727900000002</v>
      </c>
      <c r="I64" s="10">
        <v>0</v>
      </c>
    </row>
    <row r="65" spans="1:9" ht="24.75" hidden="1" customHeight="1">
      <c r="A65" s="21"/>
      <c r="B65" s="11" t="s">
        <v>48</v>
      </c>
      <c r="C65" s="13" t="s">
        <v>74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7"/>
        <v>30.383586000000005</v>
      </c>
      <c r="I65" s="10">
        <v>0</v>
      </c>
    </row>
    <row r="66" spans="1:9" ht="21.75" hidden="1" customHeight="1">
      <c r="A66" s="21"/>
      <c r="B66" s="73" t="s">
        <v>109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7"/>
        <v>0.38403000000000004</v>
      </c>
      <c r="I66" s="10">
        <v>0</v>
      </c>
    </row>
    <row r="67" spans="1:9" ht="22.5" hidden="1" customHeight="1">
      <c r="A67" s="21"/>
      <c r="B67" s="73" t="s">
        <v>110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7"/>
        <v>0.35829</v>
      </c>
      <c r="I67" s="10">
        <v>0</v>
      </c>
    </row>
    <row r="68" spans="1:9" ht="22.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21.75" customHeight="1">
      <c r="A69" s="21"/>
      <c r="B69" s="23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22.5" hidden="1" customHeight="1">
      <c r="A70" s="21"/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v>0</v>
      </c>
    </row>
    <row r="71" spans="1:9" ht="22.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2.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9.5" customHeight="1">
      <c r="A73" s="21">
        <v>11</v>
      </c>
      <c r="B73" s="94" t="s">
        <v>155</v>
      </c>
      <c r="C73" s="115" t="s">
        <v>104</v>
      </c>
      <c r="D73" s="94" t="s">
        <v>171</v>
      </c>
      <c r="E73" s="14">
        <v>2</v>
      </c>
      <c r="F73" s="27">
        <f>E73*12</f>
        <v>24</v>
      </c>
      <c r="G73" s="27">
        <v>404</v>
      </c>
      <c r="H73" s="72"/>
      <c r="I73" s="10">
        <f>G73*2</f>
        <v>808</v>
      </c>
    </row>
    <row r="74" spans="1:9" ht="13.5" customHeight="1">
      <c r="A74" s="21"/>
      <c r="B74" s="116" t="s">
        <v>156</v>
      </c>
      <c r="C74" s="117"/>
      <c r="D74" s="118"/>
      <c r="E74" s="119"/>
      <c r="F74" s="120"/>
      <c r="G74" s="120"/>
      <c r="H74" s="10"/>
      <c r="I74" s="10"/>
    </row>
    <row r="75" spans="1:9" ht="18" customHeight="1">
      <c r="A75" s="21">
        <v>12</v>
      </c>
      <c r="B75" s="94" t="s">
        <v>157</v>
      </c>
      <c r="C75" s="121" t="s">
        <v>158</v>
      </c>
      <c r="D75" s="118"/>
      <c r="E75" s="119">
        <v>2054.6</v>
      </c>
      <c r="F75" s="120">
        <f>E75*12</f>
        <v>24655.199999999997</v>
      </c>
      <c r="G75" s="120">
        <v>2.4900000000000002</v>
      </c>
      <c r="H75" s="10"/>
      <c r="I75" s="10">
        <f>G75*F75/12</f>
        <v>5115.9539999999997</v>
      </c>
    </row>
    <row r="76" spans="1:9" ht="15.75" hidden="1" customHeight="1">
      <c r="A76" s="21"/>
      <c r="B76" s="53" t="s">
        <v>86</v>
      </c>
      <c r="C76" s="75"/>
      <c r="D76" s="23"/>
      <c r="E76" s="24"/>
      <c r="F76" s="64"/>
      <c r="G76" s="64"/>
      <c r="H76" s="76">
        <f>SUM(H57:H75)</f>
        <v>67.340036874000006</v>
      </c>
      <c r="I76" s="64"/>
    </row>
    <row r="77" spans="1:9" ht="16.5" hidden="1" customHeight="1">
      <c r="A77" s="21"/>
      <c r="B77" s="58" t="s">
        <v>111</v>
      </c>
      <c r="C77" s="13"/>
      <c r="D77" s="11"/>
      <c r="E77" s="77"/>
      <c r="F77" s="10">
        <v>1</v>
      </c>
      <c r="G77" s="10">
        <v>7101.4</v>
      </c>
      <c r="H77" s="72">
        <f>G77*F77/1000</f>
        <v>7.1013999999999999</v>
      </c>
      <c r="I77" s="10">
        <v>0</v>
      </c>
    </row>
    <row r="78" spans="1:9" ht="15.75" customHeight="1">
      <c r="A78" s="163" t="s">
        <v>124</v>
      </c>
      <c r="B78" s="164"/>
      <c r="C78" s="164"/>
      <c r="D78" s="164"/>
      <c r="E78" s="164"/>
      <c r="F78" s="164"/>
      <c r="G78" s="164"/>
      <c r="H78" s="164"/>
      <c r="I78" s="165"/>
    </row>
    <row r="79" spans="1:9" ht="15.75" customHeight="1">
      <c r="A79" s="21">
        <v>13</v>
      </c>
      <c r="B79" s="94" t="s">
        <v>112</v>
      </c>
      <c r="C79" s="115" t="s">
        <v>53</v>
      </c>
      <c r="D79" s="133"/>
      <c r="E79" s="27">
        <v>2054.6</v>
      </c>
      <c r="F79" s="27">
        <f>SUM(E79*12)</f>
        <v>24655.199999999997</v>
      </c>
      <c r="G79" s="27">
        <v>3.38</v>
      </c>
      <c r="H79" s="72">
        <f>SUM(F79*G79/1000)</f>
        <v>83.334575999999984</v>
      </c>
      <c r="I79" s="10">
        <f>F79/12*G79</f>
        <v>6944.5479999999998</v>
      </c>
    </row>
    <row r="80" spans="1:9" ht="31.5" customHeight="1">
      <c r="A80" s="21">
        <v>14</v>
      </c>
      <c r="B80" s="94" t="s">
        <v>159</v>
      </c>
      <c r="C80" s="115" t="s">
        <v>53</v>
      </c>
      <c r="D80" s="131"/>
      <c r="E80" s="132">
        <f>E79</f>
        <v>2054.6</v>
      </c>
      <c r="F80" s="124">
        <f>E80*12</f>
        <v>24655.199999999997</v>
      </c>
      <c r="G80" s="124">
        <v>3.05</v>
      </c>
      <c r="H80" s="72">
        <f>F80*G80/1000</f>
        <v>75.19835999999998</v>
      </c>
      <c r="I80" s="10">
        <f>F80/12*G80</f>
        <v>6266.53</v>
      </c>
    </row>
    <row r="81" spans="1:9" ht="15.75" customHeight="1">
      <c r="A81" s="21"/>
      <c r="B81" s="28" t="s">
        <v>76</v>
      </c>
      <c r="C81" s="75"/>
      <c r="D81" s="74"/>
      <c r="E81" s="64"/>
      <c r="F81" s="64"/>
      <c r="G81" s="64"/>
      <c r="H81" s="76">
        <f>H80</f>
        <v>75.19835999999998</v>
      </c>
      <c r="I81" s="64">
        <f>I80+I79+I75+I73+I59+I54+I33+I31+I30+I21+I20+I18+I17+I16</f>
        <v>35238.385417999991</v>
      </c>
    </row>
    <row r="82" spans="1:9" ht="15.75" customHeight="1">
      <c r="A82" s="177" t="s">
        <v>58</v>
      </c>
      <c r="B82" s="178"/>
      <c r="C82" s="178"/>
      <c r="D82" s="178"/>
      <c r="E82" s="178"/>
      <c r="F82" s="178"/>
      <c r="G82" s="178"/>
      <c r="H82" s="178"/>
      <c r="I82" s="179"/>
    </row>
    <row r="83" spans="1:9" ht="16.5" customHeight="1">
      <c r="A83" s="21">
        <v>15</v>
      </c>
      <c r="B83" s="88" t="s">
        <v>243</v>
      </c>
      <c r="C83" s="40" t="s">
        <v>28</v>
      </c>
      <c r="D83" s="39"/>
      <c r="E83" s="27"/>
      <c r="F83" s="27">
        <v>0.189</v>
      </c>
      <c r="G83" s="27">
        <v>4683.09</v>
      </c>
      <c r="H83" s="30"/>
      <c r="I83" s="144">
        <f>G83*0.189</f>
        <v>885.10401000000002</v>
      </c>
    </row>
    <row r="84" spans="1:9" ht="19.5" customHeight="1">
      <c r="A84" s="21">
        <v>16</v>
      </c>
      <c r="B84" s="153" t="s">
        <v>234</v>
      </c>
      <c r="C84" s="149" t="s">
        <v>184</v>
      </c>
      <c r="D84" s="39" t="s">
        <v>244</v>
      </c>
      <c r="E84" s="27"/>
      <c r="F84" s="27">
        <v>4</v>
      </c>
      <c r="G84" s="27">
        <v>295.36</v>
      </c>
      <c r="H84" s="30"/>
      <c r="I84" s="144">
        <v>0</v>
      </c>
    </row>
    <row r="85" spans="1:9" ht="15.75" customHeight="1">
      <c r="A85" s="21"/>
      <c r="B85" s="34" t="s">
        <v>49</v>
      </c>
      <c r="C85" s="30"/>
      <c r="D85" s="37"/>
      <c r="E85" s="30">
        <v>1</v>
      </c>
      <c r="F85" s="30"/>
      <c r="G85" s="30"/>
      <c r="H85" s="30"/>
      <c r="I85" s="24">
        <f>SUM(I83:I84)</f>
        <v>885.10401000000002</v>
      </c>
    </row>
    <row r="86" spans="1:9" ht="15.75" customHeight="1">
      <c r="A86" s="21"/>
      <c r="B86" s="36" t="s">
        <v>75</v>
      </c>
      <c r="C86" s="12"/>
      <c r="D86" s="12"/>
      <c r="E86" s="31"/>
      <c r="F86" s="31"/>
      <c r="G86" s="32"/>
      <c r="H86" s="32"/>
      <c r="I86" s="14">
        <v>0</v>
      </c>
    </row>
    <row r="87" spans="1:9" ht="15.75" customHeight="1">
      <c r="A87" s="38"/>
      <c r="B87" s="35" t="s">
        <v>143</v>
      </c>
      <c r="C87" s="26"/>
      <c r="D87" s="26"/>
      <c r="E87" s="26"/>
      <c r="F87" s="26"/>
      <c r="G87" s="26"/>
      <c r="H87" s="26"/>
      <c r="I87" s="33">
        <f>I81+I85</f>
        <v>36123.489427999993</v>
      </c>
    </row>
    <row r="88" spans="1:9" ht="15.75">
      <c r="A88" s="176" t="s">
        <v>245</v>
      </c>
      <c r="B88" s="176"/>
      <c r="C88" s="176"/>
      <c r="D88" s="176"/>
      <c r="E88" s="176"/>
      <c r="F88" s="176"/>
      <c r="G88" s="176"/>
      <c r="H88" s="176"/>
      <c r="I88" s="176"/>
    </row>
    <row r="89" spans="1:9" ht="15.75">
      <c r="A89" s="46"/>
      <c r="B89" s="171" t="s">
        <v>246</v>
      </c>
      <c r="C89" s="171"/>
      <c r="D89" s="171"/>
      <c r="E89" s="171"/>
      <c r="F89" s="171"/>
      <c r="G89" s="171"/>
      <c r="H89" s="57"/>
      <c r="I89" s="2"/>
    </row>
    <row r="90" spans="1:9">
      <c r="A90" s="49"/>
      <c r="B90" s="167" t="s">
        <v>6</v>
      </c>
      <c r="C90" s="167"/>
      <c r="D90" s="167"/>
      <c r="E90" s="167"/>
      <c r="F90" s="167"/>
      <c r="G90" s="167"/>
      <c r="H90" s="16"/>
      <c r="I90" s="4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 ht="15.75">
      <c r="A92" s="172" t="s">
        <v>7</v>
      </c>
      <c r="B92" s="172"/>
      <c r="C92" s="172"/>
      <c r="D92" s="172"/>
      <c r="E92" s="172"/>
      <c r="F92" s="172"/>
      <c r="G92" s="172"/>
      <c r="H92" s="172"/>
      <c r="I92" s="172"/>
    </row>
    <row r="93" spans="1:9" ht="15.75">
      <c r="A93" s="172" t="s">
        <v>8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173" t="s">
        <v>59</v>
      </c>
      <c r="B94" s="173"/>
      <c r="C94" s="173"/>
      <c r="D94" s="173"/>
      <c r="E94" s="173"/>
      <c r="F94" s="173"/>
      <c r="G94" s="173"/>
      <c r="H94" s="173"/>
      <c r="I94" s="173"/>
    </row>
    <row r="95" spans="1:9" ht="15.75">
      <c r="A95" s="8"/>
    </row>
    <row r="96" spans="1:9" ht="15.75">
      <c r="A96" s="174" t="s">
        <v>9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3"/>
    </row>
    <row r="98" spans="1:9" ht="15.75">
      <c r="B98" s="50" t="s">
        <v>10</v>
      </c>
      <c r="C98" s="166" t="s">
        <v>192</v>
      </c>
      <c r="D98" s="166"/>
      <c r="E98" s="166"/>
      <c r="F98" s="55"/>
      <c r="I98" s="48"/>
    </row>
    <row r="99" spans="1:9">
      <c r="A99" s="49"/>
      <c r="C99" s="167" t="s">
        <v>11</v>
      </c>
      <c r="D99" s="167"/>
      <c r="E99" s="167"/>
      <c r="F99" s="16"/>
      <c r="I99" s="47" t="s">
        <v>12</v>
      </c>
    </row>
    <row r="100" spans="1:9" ht="15.75">
      <c r="A100" s="17"/>
      <c r="C100" s="9"/>
      <c r="D100" s="9"/>
      <c r="G100" s="9"/>
      <c r="H100" s="9"/>
    </row>
    <row r="101" spans="1:9" ht="15.75">
      <c r="B101" s="50" t="s">
        <v>13</v>
      </c>
      <c r="C101" s="168"/>
      <c r="D101" s="168"/>
      <c r="E101" s="168"/>
      <c r="F101" s="56"/>
      <c r="I101" s="48"/>
    </row>
    <row r="102" spans="1:9">
      <c r="A102" s="49"/>
      <c r="C102" s="169" t="s">
        <v>11</v>
      </c>
      <c r="D102" s="169"/>
      <c r="E102" s="169"/>
      <c r="F102" s="49"/>
      <c r="I102" s="47" t="s">
        <v>12</v>
      </c>
    </row>
    <row r="103" spans="1:9" ht="15.75">
      <c r="A103" s="3" t="s">
        <v>14</v>
      </c>
    </row>
    <row r="104" spans="1:9">
      <c r="A104" s="170" t="s">
        <v>15</v>
      </c>
      <c r="B104" s="170"/>
      <c r="C104" s="170"/>
      <c r="D104" s="170"/>
      <c r="E104" s="170"/>
      <c r="F104" s="170"/>
      <c r="G104" s="170"/>
      <c r="H104" s="170"/>
      <c r="I104" s="170"/>
    </row>
    <row r="105" spans="1:9" ht="45" customHeight="1">
      <c r="A105" s="162" t="s">
        <v>16</v>
      </c>
      <c r="B105" s="162"/>
      <c r="C105" s="162"/>
      <c r="D105" s="162"/>
      <c r="E105" s="162"/>
      <c r="F105" s="162"/>
      <c r="G105" s="162"/>
      <c r="H105" s="162"/>
      <c r="I105" s="162"/>
    </row>
    <row r="106" spans="1:9" ht="30" customHeight="1">
      <c r="A106" s="162" t="s">
        <v>17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30" customHeight="1">
      <c r="A107" s="162" t="s">
        <v>21</v>
      </c>
      <c r="B107" s="162"/>
      <c r="C107" s="162"/>
      <c r="D107" s="162"/>
      <c r="E107" s="162"/>
      <c r="F107" s="162"/>
      <c r="G107" s="162"/>
      <c r="H107" s="162"/>
      <c r="I107" s="162"/>
    </row>
    <row r="108" spans="1:9" ht="15" customHeight="1">
      <c r="A108" s="162" t="s">
        <v>20</v>
      </c>
      <c r="B108" s="162"/>
      <c r="C108" s="162"/>
      <c r="D108" s="162"/>
      <c r="E108" s="162"/>
      <c r="F108" s="162"/>
      <c r="G108" s="162"/>
      <c r="H108" s="162"/>
      <c r="I108" s="162"/>
    </row>
  </sheetData>
  <mergeCells count="28">
    <mergeCell ref="A106:I106"/>
    <mergeCell ref="A107:I107"/>
    <mergeCell ref="A108:I108"/>
    <mergeCell ref="C98:E98"/>
    <mergeCell ref="C99:E99"/>
    <mergeCell ref="C101:E101"/>
    <mergeCell ref="C102:E102"/>
    <mergeCell ref="A104:I104"/>
    <mergeCell ref="A105:I105"/>
    <mergeCell ref="A96:I96"/>
    <mergeCell ref="A15:I15"/>
    <mergeCell ref="A28:I28"/>
    <mergeCell ref="A44:I44"/>
    <mergeCell ref="A55:I55"/>
    <mergeCell ref="A78:I78"/>
    <mergeCell ref="A88:I88"/>
    <mergeCell ref="B89:G89"/>
    <mergeCell ref="B90:G90"/>
    <mergeCell ref="A92:I92"/>
    <mergeCell ref="A93:I93"/>
    <mergeCell ref="A94:I94"/>
    <mergeCell ref="A14:I14"/>
    <mergeCell ref="A82:I82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9"/>
  <sheetViews>
    <sheetView topLeftCell="A68" zoomScaleNormal="100" workbookViewId="0">
      <selection activeCell="G96" sqref="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150</v>
      </c>
      <c r="I1" s="18"/>
    </row>
    <row r="2" spans="1:9" ht="15.75">
      <c r="A2" s="20" t="s">
        <v>60</v>
      </c>
    </row>
    <row r="3" spans="1:9" ht="15.75">
      <c r="A3" s="181" t="s">
        <v>140</v>
      </c>
      <c r="B3" s="181"/>
      <c r="C3" s="181"/>
      <c r="D3" s="181"/>
      <c r="E3" s="181"/>
      <c r="F3" s="181"/>
      <c r="G3" s="181"/>
      <c r="H3" s="181"/>
      <c r="I3" s="181"/>
    </row>
    <row r="4" spans="1:9" ht="31.5" customHeight="1">
      <c r="A4" s="182" t="s">
        <v>121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1" t="s">
        <v>247</v>
      </c>
      <c r="B5" s="183"/>
      <c r="C5" s="183"/>
      <c r="D5" s="183"/>
      <c r="E5" s="183"/>
      <c r="F5" s="183"/>
      <c r="G5" s="183"/>
      <c r="H5" s="183"/>
      <c r="I5" s="183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44469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4" t="s">
        <v>193</v>
      </c>
      <c r="B8" s="184"/>
      <c r="C8" s="184"/>
      <c r="D8" s="184"/>
      <c r="E8" s="184"/>
      <c r="F8" s="184"/>
      <c r="G8" s="184"/>
      <c r="H8" s="184"/>
      <c r="I8" s="184"/>
    </row>
    <row r="9" spans="1:9" ht="15.75">
      <c r="A9" s="3"/>
    </row>
    <row r="10" spans="1:9" ht="47.25" customHeight="1">
      <c r="A10" s="185" t="s">
        <v>142</v>
      </c>
      <c r="B10" s="185"/>
      <c r="C10" s="185"/>
      <c r="D10" s="185"/>
      <c r="E10" s="185"/>
      <c r="F10" s="185"/>
      <c r="G10" s="185"/>
      <c r="H10" s="185"/>
      <c r="I10" s="18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0" t="s">
        <v>57</v>
      </c>
      <c r="B14" s="180"/>
      <c r="C14" s="180"/>
      <c r="D14" s="180"/>
      <c r="E14" s="180"/>
      <c r="F14" s="180"/>
      <c r="G14" s="180"/>
      <c r="H14" s="180"/>
      <c r="I14" s="180"/>
    </row>
    <row r="15" spans="1:9">
      <c r="A15" s="175" t="s">
        <v>4</v>
      </c>
      <c r="B15" s="175"/>
      <c r="C15" s="175"/>
      <c r="D15" s="175"/>
      <c r="E15" s="175"/>
      <c r="F15" s="175"/>
      <c r="G15" s="175"/>
      <c r="H15" s="175"/>
      <c r="I15" s="175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166</v>
      </c>
      <c r="E16" s="102">
        <v>55</v>
      </c>
      <c r="F16" s="103">
        <f>SUM(E16*156/100)</f>
        <v>85.8</v>
      </c>
      <c r="G16" s="103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167</v>
      </c>
      <c r="E17" s="102">
        <v>165</v>
      </c>
      <c r="F17" s="103">
        <f>SUM(E17*104/100)</f>
        <v>171.6</v>
      </c>
      <c r="G17" s="103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182</v>
      </c>
      <c r="E18" s="102">
        <f>SUM(E16+E17)</f>
        <v>220</v>
      </c>
      <c r="F18" s="103">
        <f>SUM(E18*18/100)</f>
        <v>39.6</v>
      </c>
      <c r="G18" s="103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2">
        <v>26.02</v>
      </c>
      <c r="F19" s="103">
        <f>SUM(E19/10)</f>
        <v>2.6019999999999999</v>
      </c>
      <c r="G19" s="103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171</v>
      </c>
      <c r="E20" s="102">
        <v>12.24</v>
      </c>
      <c r="F20" s="103">
        <f>SUM(E20*12/100)</f>
        <v>1.4687999999999999</v>
      </c>
      <c r="G20" s="103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171</v>
      </c>
      <c r="E21" s="102">
        <v>10.08</v>
      </c>
      <c r="F21" s="103">
        <f>SUM(E21*12/100)</f>
        <v>1.2096</v>
      </c>
      <c r="G21" s="103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2">
        <v>293.76</v>
      </c>
      <c r="F22" s="103">
        <f>SUM(E22/100)</f>
        <v>2.9375999999999998</v>
      </c>
      <c r="G22" s="103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4">
        <v>20</v>
      </c>
      <c r="F23" s="103">
        <f>SUM(E23/100)</f>
        <v>0.2</v>
      </c>
      <c r="G23" s="103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2">
        <v>8.6</v>
      </c>
      <c r="F24" s="103">
        <f>E24/100</f>
        <v>8.5999999999999993E-2</v>
      </c>
      <c r="G24" s="103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2">
        <v>12.6</v>
      </c>
      <c r="F25" s="103">
        <f>E25/100</f>
        <v>0.126</v>
      </c>
      <c r="G25" s="103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2">
        <v>14.4</v>
      </c>
      <c r="F26" s="103">
        <f>SUM(E26/100)</f>
        <v>0.14400000000000002</v>
      </c>
      <c r="G26" s="103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hidden="1" customHeight="1">
      <c r="A27" s="21">
        <v>6</v>
      </c>
      <c r="B27" s="25" t="s">
        <v>151</v>
      </c>
      <c r="C27" s="29" t="s">
        <v>31</v>
      </c>
      <c r="D27" s="25" t="s">
        <v>177</v>
      </c>
      <c r="E27" s="104">
        <v>0.1</v>
      </c>
      <c r="F27" s="103">
        <f>SUM(E27*258)</f>
        <v>25.8</v>
      </c>
      <c r="G27" s="103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63" t="s">
        <v>78</v>
      </c>
      <c r="B28" s="164"/>
      <c r="C28" s="164"/>
      <c r="D28" s="164"/>
      <c r="E28" s="164"/>
      <c r="F28" s="164"/>
      <c r="G28" s="164"/>
      <c r="H28" s="164"/>
      <c r="I28" s="165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6</v>
      </c>
      <c r="B30" s="25" t="s">
        <v>102</v>
      </c>
      <c r="C30" s="29" t="s">
        <v>83</v>
      </c>
      <c r="D30" s="25" t="s">
        <v>168</v>
      </c>
      <c r="E30" s="103">
        <v>124</v>
      </c>
      <c r="F30" s="103">
        <f>SUM(E30*24/1000)</f>
        <v>2.976</v>
      </c>
      <c r="G30" s="103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7</v>
      </c>
      <c r="B31" s="25" t="s">
        <v>101</v>
      </c>
      <c r="C31" s="29" t="s">
        <v>83</v>
      </c>
      <c r="D31" s="25" t="s">
        <v>167</v>
      </c>
      <c r="E31" s="103">
        <v>128</v>
      </c>
      <c r="F31" s="103">
        <f>SUM(E31*52/1000)</f>
        <v>6.6559999999999997</v>
      </c>
      <c r="G31" s="103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3">
        <v>124</v>
      </c>
      <c r="F32" s="103">
        <f>SUM(E32/1000)</f>
        <v>0.124</v>
      </c>
      <c r="G32" s="103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8</v>
      </c>
      <c r="B33" s="25" t="s">
        <v>164</v>
      </c>
      <c r="C33" s="29" t="s">
        <v>39</v>
      </c>
      <c r="D33" s="25" t="s">
        <v>169</v>
      </c>
      <c r="E33" s="135">
        <v>1</v>
      </c>
      <c r="F33" s="103">
        <f>E33*155/100</f>
        <v>1.55</v>
      </c>
      <c r="G33" s="103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126</v>
      </c>
      <c r="C39" s="59" t="s">
        <v>127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customHeight="1">
      <c r="A44" s="163" t="s">
        <v>122</v>
      </c>
      <c r="B44" s="164"/>
      <c r="C44" s="164"/>
      <c r="D44" s="164"/>
      <c r="E44" s="164"/>
      <c r="F44" s="164"/>
      <c r="G44" s="164"/>
      <c r="H44" s="164"/>
      <c r="I44" s="165"/>
    </row>
    <row r="45" spans="1:9" ht="15.75" customHeight="1">
      <c r="A45" s="21">
        <v>9</v>
      </c>
      <c r="B45" s="25" t="s">
        <v>103</v>
      </c>
      <c r="C45" s="29" t="s">
        <v>83</v>
      </c>
      <c r="D45" s="25" t="s">
        <v>170</v>
      </c>
      <c r="E45" s="102">
        <v>917.8</v>
      </c>
      <c r="F45" s="103">
        <f>SUM(E45*2/1000)</f>
        <v>1.8355999999999999</v>
      </c>
      <c r="G45" s="27">
        <v>1160.81</v>
      </c>
      <c r="H45" s="62">
        <f t="shared" ref="H45:H54" si="6">SUM(F45*G45/1000)</f>
        <v>2.1307828359999998</v>
      </c>
      <c r="I45" s="10">
        <f t="shared" ref="I45:I48" si="7">F45/2*G45</f>
        <v>1065.3914179999999</v>
      </c>
    </row>
    <row r="46" spans="1:9" ht="15.75" customHeight="1">
      <c r="A46" s="21">
        <v>10</v>
      </c>
      <c r="B46" s="25" t="s">
        <v>34</v>
      </c>
      <c r="C46" s="29" t="s">
        <v>83</v>
      </c>
      <c r="D46" s="25" t="s">
        <v>170</v>
      </c>
      <c r="E46" s="102">
        <v>48</v>
      </c>
      <c r="F46" s="103">
        <f>E46*2/1000</f>
        <v>9.6000000000000002E-2</v>
      </c>
      <c r="G46" s="27">
        <v>830.69</v>
      </c>
      <c r="H46" s="62">
        <f t="shared" si="6"/>
        <v>7.9746239999999996E-2</v>
      </c>
      <c r="I46" s="10">
        <f t="shared" si="7"/>
        <v>39.87312</v>
      </c>
    </row>
    <row r="47" spans="1:9" ht="15.75" customHeight="1">
      <c r="A47" s="21">
        <v>11</v>
      </c>
      <c r="B47" s="25" t="s">
        <v>35</v>
      </c>
      <c r="C47" s="29" t="s">
        <v>83</v>
      </c>
      <c r="D47" s="25" t="s">
        <v>170</v>
      </c>
      <c r="E47" s="102">
        <v>937.4</v>
      </c>
      <c r="F47" s="103">
        <f>SUM(E47*2/1000)</f>
        <v>1.8748</v>
      </c>
      <c r="G47" s="27">
        <v>830.69</v>
      </c>
      <c r="H47" s="62">
        <f t="shared" si="6"/>
        <v>1.5573776120000002</v>
      </c>
      <c r="I47" s="10">
        <f t="shared" si="7"/>
        <v>778.68880600000011</v>
      </c>
    </row>
    <row r="48" spans="1:9" ht="15.75" customHeight="1">
      <c r="A48" s="21">
        <v>12</v>
      </c>
      <c r="B48" s="25" t="s">
        <v>36</v>
      </c>
      <c r="C48" s="29" t="s">
        <v>83</v>
      </c>
      <c r="D48" s="25" t="s">
        <v>183</v>
      </c>
      <c r="E48" s="102">
        <v>1243.28</v>
      </c>
      <c r="F48" s="103">
        <f>SUM(E48*2/1000)</f>
        <v>2.4865599999999999</v>
      </c>
      <c r="G48" s="27">
        <v>869.86</v>
      </c>
      <c r="H48" s="62">
        <f t="shared" si="6"/>
        <v>2.1629590815999999</v>
      </c>
      <c r="I48" s="10">
        <f t="shared" si="7"/>
        <v>1081.4795408</v>
      </c>
    </row>
    <row r="49" spans="1:9" ht="15.75" customHeight="1">
      <c r="A49" s="21">
        <v>13</v>
      </c>
      <c r="B49" s="25" t="s">
        <v>32</v>
      </c>
      <c r="C49" s="29" t="s">
        <v>33</v>
      </c>
      <c r="D49" s="25" t="s">
        <v>170</v>
      </c>
      <c r="E49" s="102">
        <v>64.5</v>
      </c>
      <c r="F49" s="103">
        <f>SUM(E49*2/100)</f>
        <v>1.29</v>
      </c>
      <c r="G49" s="27">
        <v>104.38</v>
      </c>
      <c r="H49" s="62">
        <f t="shared" si="6"/>
        <v>0.1346502</v>
      </c>
      <c r="I49" s="10">
        <f>F49/2*G49</f>
        <v>67.325099999999992</v>
      </c>
    </row>
    <row r="50" spans="1:9" ht="15.75" customHeight="1">
      <c r="A50" s="21">
        <v>14</v>
      </c>
      <c r="B50" s="25" t="s">
        <v>54</v>
      </c>
      <c r="C50" s="29" t="s">
        <v>83</v>
      </c>
      <c r="D50" s="25" t="s">
        <v>170</v>
      </c>
      <c r="E50" s="102">
        <v>2054.6</v>
      </c>
      <c r="F50" s="103">
        <f>SUM(E50*5/1000)</f>
        <v>10.273</v>
      </c>
      <c r="G50" s="27">
        <v>1739.68</v>
      </c>
      <c r="H50" s="62">
        <f t="shared" si="6"/>
        <v>17.871732639999998</v>
      </c>
      <c r="I50" s="10">
        <f>F50/5*G50</f>
        <v>3574.3465279999996</v>
      </c>
    </row>
    <row r="51" spans="1:9" ht="31.5" customHeight="1">
      <c r="A51" s="21">
        <v>15</v>
      </c>
      <c r="B51" s="25" t="s">
        <v>84</v>
      </c>
      <c r="C51" s="29" t="s">
        <v>83</v>
      </c>
      <c r="D51" s="25" t="s">
        <v>170</v>
      </c>
      <c r="E51" s="102">
        <v>2054.6</v>
      </c>
      <c r="F51" s="103">
        <f>SUM(E51*2/1000)</f>
        <v>4.1091999999999995</v>
      </c>
      <c r="G51" s="27">
        <v>1739.68</v>
      </c>
      <c r="H51" s="62">
        <f t="shared" si="6"/>
        <v>7.148693055999999</v>
      </c>
      <c r="I51" s="10">
        <f>G51*F51/2</f>
        <v>3574.3465279999996</v>
      </c>
    </row>
    <row r="52" spans="1:9" ht="31.5" customHeight="1">
      <c r="A52" s="21">
        <v>16</v>
      </c>
      <c r="B52" s="25" t="s">
        <v>85</v>
      </c>
      <c r="C52" s="29" t="s">
        <v>37</v>
      </c>
      <c r="D52" s="25" t="s">
        <v>170</v>
      </c>
      <c r="E52" s="102">
        <v>12</v>
      </c>
      <c r="F52" s="103">
        <f>SUM(E52*2/100)</f>
        <v>0.24</v>
      </c>
      <c r="G52" s="27">
        <v>3914.31</v>
      </c>
      <c r="H52" s="62">
        <f t="shared" si="6"/>
        <v>0.9394344</v>
      </c>
      <c r="I52" s="10">
        <f>G52*F52/2</f>
        <v>469.71719999999999</v>
      </c>
    </row>
    <row r="53" spans="1:9" ht="15.75" customHeight="1">
      <c r="A53" s="21">
        <v>17</v>
      </c>
      <c r="B53" s="25" t="s">
        <v>38</v>
      </c>
      <c r="C53" s="29" t="s">
        <v>39</v>
      </c>
      <c r="D53" s="25" t="s">
        <v>170</v>
      </c>
      <c r="E53" s="102">
        <v>1</v>
      </c>
      <c r="F53" s="103">
        <v>0.02</v>
      </c>
      <c r="G53" s="27">
        <v>8102.62</v>
      </c>
      <c r="H53" s="62">
        <f t="shared" si="6"/>
        <v>0.16205240000000001</v>
      </c>
      <c r="I53" s="10">
        <f>G53*F53/2</f>
        <v>81.026200000000003</v>
      </c>
    </row>
    <row r="54" spans="1:9" ht="15.75" hidden="1" customHeight="1">
      <c r="A54" s="21">
        <v>17</v>
      </c>
      <c r="B54" s="58" t="s">
        <v>40</v>
      </c>
      <c r="C54" s="59" t="s">
        <v>104</v>
      </c>
      <c r="D54" s="58" t="s">
        <v>68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63" t="s">
        <v>123</v>
      </c>
      <c r="B55" s="164"/>
      <c r="C55" s="164"/>
      <c r="D55" s="164"/>
      <c r="E55" s="164"/>
      <c r="F55" s="164"/>
      <c r="G55" s="164"/>
      <c r="H55" s="164"/>
      <c r="I55" s="165"/>
    </row>
    <row r="56" spans="1:9" ht="15.7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31.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" customHeight="1">
      <c r="A58" s="21"/>
      <c r="B58" s="113" t="s">
        <v>154</v>
      </c>
      <c r="C58" s="109"/>
      <c r="D58" s="108"/>
      <c r="E58" s="110"/>
      <c r="F58" s="114"/>
      <c r="G58" s="27"/>
      <c r="H58" s="95"/>
      <c r="I58" s="10"/>
    </row>
    <row r="59" spans="1:9" ht="16.5" customHeight="1">
      <c r="A59" s="21">
        <v>18</v>
      </c>
      <c r="B59" s="94" t="s">
        <v>148</v>
      </c>
      <c r="C59" s="115" t="s">
        <v>149</v>
      </c>
      <c r="D59" s="94" t="s">
        <v>170</v>
      </c>
      <c r="E59" s="128">
        <v>120</v>
      </c>
      <c r="F59" s="114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79" t="s">
        <v>43</v>
      </c>
      <c r="C60" s="67"/>
      <c r="D60" s="68"/>
      <c r="E60" s="69"/>
      <c r="F60" s="70"/>
      <c r="G60" s="70"/>
      <c r="H60" s="71" t="s">
        <v>113</v>
      </c>
      <c r="I60" s="10"/>
    </row>
    <row r="61" spans="1:9" ht="17.25" customHeight="1">
      <c r="A61" s="21">
        <v>19</v>
      </c>
      <c r="B61" s="11" t="s">
        <v>44</v>
      </c>
      <c r="C61" s="13" t="s">
        <v>104</v>
      </c>
      <c r="D61" s="11" t="s">
        <v>170</v>
      </c>
      <c r="E61" s="15">
        <v>8</v>
      </c>
      <c r="F61" s="61">
        <v>8</v>
      </c>
      <c r="G61" s="90">
        <v>318.82</v>
      </c>
      <c r="H61" s="72">
        <f t="shared" ref="H61:H75" si="8">SUM(F61*G61/1000)</f>
        <v>2.5505599999999999</v>
      </c>
      <c r="I61" s="10">
        <f>G61</f>
        <v>318.82</v>
      </c>
    </row>
    <row r="62" spans="1:9" ht="15.75" customHeight="1">
      <c r="A62" s="21">
        <v>20</v>
      </c>
      <c r="B62" s="11" t="s">
        <v>45</v>
      </c>
      <c r="C62" s="13" t="s">
        <v>104</v>
      </c>
      <c r="D62" s="11" t="s">
        <v>172</v>
      </c>
      <c r="E62" s="15">
        <v>3</v>
      </c>
      <c r="F62" s="61">
        <v>3</v>
      </c>
      <c r="G62" s="90">
        <v>109.32</v>
      </c>
      <c r="H62" s="72">
        <f t="shared" si="8"/>
        <v>0.32795999999999997</v>
      </c>
      <c r="I62" s="10">
        <f>G62*2</f>
        <v>218.64</v>
      </c>
    </row>
    <row r="63" spans="1:9" ht="15.75" hidden="1" customHeight="1">
      <c r="A63" s="21"/>
      <c r="B63" s="11" t="s">
        <v>46</v>
      </c>
      <c r="C63" s="13" t="s">
        <v>107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8"/>
        <v>19.3655981</v>
      </c>
      <c r="I63" s="10">
        <v>0</v>
      </c>
    </row>
    <row r="64" spans="1:9" ht="15.75" hidden="1" customHeight="1">
      <c r="A64" s="21"/>
      <c r="B64" s="11" t="s">
        <v>47</v>
      </c>
      <c r="C64" s="13" t="s">
        <v>108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8"/>
        <v>1.5080727900000002</v>
      </c>
      <c r="I64" s="10">
        <v>0</v>
      </c>
    </row>
    <row r="65" spans="1:9" ht="15.75" hidden="1" customHeight="1">
      <c r="A65" s="21"/>
      <c r="B65" s="11" t="s">
        <v>48</v>
      </c>
      <c r="C65" s="13" t="s">
        <v>74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8"/>
        <v>30.383586000000005</v>
      </c>
      <c r="I65" s="10">
        <v>0</v>
      </c>
    </row>
    <row r="66" spans="1:9" ht="15.75" hidden="1" customHeight="1">
      <c r="A66" s="21"/>
      <c r="B66" s="73" t="s">
        <v>109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8"/>
        <v>0.38403000000000004</v>
      </c>
      <c r="I66" s="10">
        <v>0</v>
      </c>
    </row>
    <row r="67" spans="1:9" ht="15.75" hidden="1" customHeight="1">
      <c r="A67" s="21"/>
      <c r="B67" s="73" t="s">
        <v>110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8"/>
        <v>0.35829</v>
      </c>
      <c r="I67" s="10">
        <v>0</v>
      </c>
    </row>
    <row r="68" spans="1:9" ht="15.75" customHeight="1">
      <c r="A68" s="21">
        <v>21</v>
      </c>
      <c r="B68" s="94" t="s">
        <v>55</v>
      </c>
      <c r="C68" s="115" t="s">
        <v>56</v>
      </c>
      <c r="D68" s="94" t="s">
        <v>171</v>
      </c>
      <c r="E68" s="14">
        <v>3</v>
      </c>
      <c r="F68" s="103">
        <v>3</v>
      </c>
      <c r="G68" s="27">
        <v>71.510000000000005</v>
      </c>
      <c r="H68" s="72">
        <f t="shared" si="8"/>
        <v>0.21453000000000003</v>
      </c>
      <c r="I68" s="10">
        <f>G68*3</f>
        <v>214.53000000000003</v>
      </c>
    </row>
    <row r="69" spans="1:9" ht="15.75" customHeight="1">
      <c r="A69" s="21"/>
      <c r="B69" s="23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15.75" hidden="1" customHeight="1">
      <c r="A70" s="21"/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8"/>
        <v>0.10724600000000001</v>
      </c>
      <c r="I70" s="10">
        <v>0</v>
      </c>
    </row>
    <row r="71" spans="1:9" ht="15.7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15.7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5.75" customHeight="1">
      <c r="A73" s="21">
        <v>22</v>
      </c>
      <c r="B73" s="94" t="s">
        <v>155</v>
      </c>
      <c r="C73" s="115" t="s">
        <v>104</v>
      </c>
      <c r="D73" s="94" t="s">
        <v>171</v>
      </c>
      <c r="E73" s="14">
        <v>2</v>
      </c>
      <c r="F73" s="27">
        <f>E73*12</f>
        <v>24</v>
      </c>
      <c r="G73" s="27">
        <v>404</v>
      </c>
      <c r="H73" s="72"/>
      <c r="I73" s="10">
        <f>G73*2</f>
        <v>808</v>
      </c>
    </row>
    <row r="74" spans="1:9" ht="15.75" hidden="1" customHeight="1">
      <c r="A74" s="21"/>
      <c r="B74" s="74" t="s">
        <v>73</v>
      </c>
      <c r="C74" s="13"/>
      <c r="D74" s="11"/>
      <c r="E74" s="15"/>
      <c r="F74" s="10"/>
      <c r="G74" s="10" t="s">
        <v>113</v>
      </c>
      <c r="H74" s="72" t="s">
        <v>113</v>
      </c>
      <c r="I74" s="10"/>
    </row>
    <row r="75" spans="1:9" ht="15.75" hidden="1" customHeight="1">
      <c r="A75" s="21"/>
      <c r="B75" s="36" t="s">
        <v>114</v>
      </c>
      <c r="C75" s="13" t="s">
        <v>74</v>
      </c>
      <c r="D75" s="11"/>
      <c r="E75" s="15"/>
      <c r="F75" s="10">
        <v>1.35</v>
      </c>
      <c r="G75" s="10">
        <v>2949.85</v>
      </c>
      <c r="H75" s="72">
        <f t="shared" si="8"/>
        <v>3.9822975</v>
      </c>
      <c r="I75" s="10">
        <v>0</v>
      </c>
    </row>
    <row r="76" spans="1:9" ht="15.75" hidden="1" customHeight="1">
      <c r="A76" s="21"/>
      <c r="B76" s="53" t="s">
        <v>86</v>
      </c>
      <c r="C76" s="75"/>
      <c r="D76" s="23"/>
      <c r="E76" s="24"/>
      <c r="F76" s="64"/>
      <c r="G76" s="64"/>
      <c r="H76" s="76">
        <f>SUM(H57:H75)</f>
        <v>71.459434373999997</v>
      </c>
      <c r="I76" s="64"/>
    </row>
    <row r="77" spans="1:9" ht="15.75" hidden="1" customHeight="1">
      <c r="A77" s="21"/>
      <c r="B77" s="58" t="s">
        <v>111</v>
      </c>
      <c r="C77" s="13"/>
      <c r="D77" s="11"/>
      <c r="E77" s="77"/>
      <c r="F77" s="10">
        <v>1</v>
      </c>
      <c r="G77" s="10">
        <v>7101.4</v>
      </c>
      <c r="H77" s="72">
        <f>G77*F77/1000</f>
        <v>7.1013999999999999</v>
      </c>
      <c r="I77" s="10">
        <v>0</v>
      </c>
    </row>
    <row r="78" spans="1:9" ht="15.75" customHeight="1">
      <c r="A78" s="145"/>
      <c r="B78" s="116" t="s">
        <v>156</v>
      </c>
      <c r="C78" s="117"/>
      <c r="D78" s="118"/>
      <c r="E78" s="119"/>
      <c r="F78" s="120"/>
      <c r="G78" s="120"/>
      <c r="H78" s="10"/>
      <c r="I78" s="10"/>
    </row>
    <row r="79" spans="1:9" ht="15.75" customHeight="1">
      <c r="A79" s="21">
        <v>23</v>
      </c>
      <c r="B79" s="94" t="s">
        <v>157</v>
      </c>
      <c r="C79" s="121" t="s">
        <v>158</v>
      </c>
      <c r="D79" s="118"/>
      <c r="E79" s="119">
        <v>2054.6</v>
      </c>
      <c r="F79" s="120">
        <f>E79*12</f>
        <v>24655.199999999997</v>
      </c>
      <c r="G79" s="120">
        <v>2.4900000000000002</v>
      </c>
      <c r="H79" s="10"/>
      <c r="I79" s="10">
        <f>G79*F79/12</f>
        <v>5115.9539999999997</v>
      </c>
    </row>
    <row r="80" spans="1:9" ht="15.75" customHeight="1">
      <c r="A80" s="163" t="s">
        <v>124</v>
      </c>
      <c r="B80" s="164"/>
      <c r="C80" s="164"/>
      <c r="D80" s="164"/>
      <c r="E80" s="164"/>
      <c r="F80" s="164"/>
      <c r="G80" s="164"/>
      <c r="H80" s="164"/>
      <c r="I80" s="165"/>
    </row>
    <row r="81" spans="1:9" ht="15.75" customHeight="1">
      <c r="A81" s="21">
        <v>24</v>
      </c>
      <c r="B81" s="94" t="s">
        <v>112</v>
      </c>
      <c r="C81" s="115" t="s">
        <v>53</v>
      </c>
      <c r="D81" s="133"/>
      <c r="E81" s="27">
        <v>2054.6</v>
      </c>
      <c r="F81" s="27">
        <f>SUM(E81*12)</f>
        <v>24655.199999999997</v>
      </c>
      <c r="G81" s="27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25</v>
      </c>
      <c r="B82" s="94" t="s">
        <v>159</v>
      </c>
      <c r="C82" s="115" t="s">
        <v>53</v>
      </c>
      <c r="D82" s="131"/>
      <c r="E82" s="132">
        <f>E81</f>
        <v>2054.6</v>
      </c>
      <c r="F82" s="124">
        <f>E82*12</f>
        <v>24655.199999999997</v>
      </c>
      <c r="G82" s="124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76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I82+I81+I79+I73+I68+I62+I61+I59+I53+I52+I51+I50+I49+I48+I47+I46+I45+I33+I31+I30+I21+I20+I18+I17+I16</f>
        <v>40435.529858799986</v>
      </c>
    </row>
    <row r="84" spans="1:9" ht="15.75" customHeight="1">
      <c r="A84" s="177" t="s">
        <v>58</v>
      </c>
      <c r="B84" s="178"/>
      <c r="C84" s="178"/>
      <c r="D84" s="178"/>
      <c r="E84" s="178"/>
      <c r="F84" s="178"/>
      <c r="G84" s="178"/>
      <c r="H84" s="178"/>
      <c r="I84" s="179"/>
    </row>
    <row r="85" spans="1:9" ht="19.5" customHeight="1">
      <c r="A85" s="21">
        <v>26</v>
      </c>
      <c r="B85" s="88" t="s">
        <v>248</v>
      </c>
      <c r="C85" s="149" t="s">
        <v>249</v>
      </c>
      <c r="D85" s="39"/>
      <c r="E85" s="27"/>
      <c r="F85" s="27">
        <v>0.06</v>
      </c>
      <c r="G85" s="27">
        <v>4113.16</v>
      </c>
      <c r="H85" s="10"/>
      <c r="I85" s="10">
        <f>G85*0.06</f>
        <v>246.78959999999998</v>
      </c>
    </row>
    <row r="86" spans="1:9" ht="15.75" customHeight="1">
      <c r="A86" s="21"/>
      <c r="B86" s="34" t="s">
        <v>49</v>
      </c>
      <c r="C86" s="30"/>
      <c r="D86" s="37"/>
      <c r="E86" s="30">
        <v>1</v>
      </c>
      <c r="F86" s="30"/>
      <c r="G86" s="30"/>
      <c r="H86" s="30"/>
      <c r="I86" s="24">
        <f>SUM(I85:I85)</f>
        <v>246.78959999999998</v>
      </c>
    </row>
    <row r="87" spans="1:9" ht="15.75" customHeight="1">
      <c r="A87" s="21"/>
      <c r="B87" s="36" t="s">
        <v>75</v>
      </c>
      <c r="C87" s="12"/>
      <c r="D87" s="12"/>
      <c r="E87" s="31"/>
      <c r="F87" s="31"/>
      <c r="G87" s="32"/>
      <c r="H87" s="32"/>
      <c r="I87" s="14">
        <v>0</v>
      </c>
    </row>
    <row r="88" spans="1:9" ht="15.75" customHeight="1">
      <c r="A88" s="38"/>
      <c r="B88" s="35" t="s">
        <v>143</v>
      </c>
      <c r="C88" s="26"/>
      <c r="D88" s="26"/>
      <c r="E88" s="26"/>
      <c r="F88" s="26"/>
      <c r="G88" s="26"/>
      <c r="H88" s="26"/>
      <c r="I88" s="33">
        <f>I83+I86</f>
        <v>40682.319458799982</v>
      </c>
    </row>
    <row r="89" spans="1:9" ht="15.75">
      <c r="A89" s="176" t="s">
        <v>250</v>
      </c>
      <c r="B89" s="176"/>
      <c r="C89" s="176"/>
      <c r="D89" s="176"/>
      <c r="E89" s="176"/>
      <c r="F89" s="176"/>
      <c r="G89" s="176"/>
      <c r="H89" s="176"/>
      <c r="I89" s="176"/>
    </row>
    <row r="90" spans="1:9" ht="15.75">
      <c r="A90" s="46"/>
      <c r="B90" s="171" t="s">
        <v>251</v>
      </c>
      <c r="C90" s="171"/>
      <c r="D90" s="171"/>
      <c r="E90" s="171"/>
      <c r="F90" s="171"/>
      <c r="G90" s="171"/>
      <c r="H90" s="57"/>
      <c r="I90" s="2"/>
    </row>
    <row r="91" spans="1:9">
      <c r="A91" s="49"/>
      <c r="B91" s="167" t="s">
        <v>6</v>
      </c>
      <c r="C91" s="167"/>
      <c r="D91" s="167"/>
      <c r="E91" s="167"/>
      <c r="F91" s="167"/>
      <c r="G91" s="167"/>
      <c r="H91" s="16"/>
      <c r="I91" s="4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 ht="15.75">
      <c r="A93" s="172" t="s">
        <v>7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172" t="s">
        <v>8</v>
      </c>
      <c r="B94" s="172"/>
      <c r="C94" s="172"/>
      <c r="D94" s="172"/>
      <c r="E94" s="172"/>
      <c r="F94" s="172"/>
      <c r="G94" s="172"/>
      <c r="H94" s="172"/>
      <c r="I94" s="172"/>
    </row>
    <row r="95" spans="1:9" ht="15.75">
      <c r="A95" s="173" t="s">
        <v>59</v>
      </c>
      <c r="B95" s="173"/>
      <c r="C95" s="173"/>
      <c r="D95" s="173"/>
      <c r="E95" s="173"/>
      <c r="F95" s="173"/>
      <c r="G95" s="173"/>
      <c r="H95" s="173"/>
      <c r="I95" s="173"/>
    </row>
    <row r="96" spans="1:9" ht="15.75">
      <c r="A96" s="8"/>
    </row>
    <row r="97" spans="1:9" ht="15.75">
      <c r="A97" s="174" t="s">
        <v>9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>
      <c r="A98" s="3"/>
    </row>
    <row r="99" spans="1:9" ht="15.75">
      <c r="B99" s="50" t="s">
        <v>10</v>
      </c>
      <c r="C99" s="166" t="s">
        <v>192</v>
      </c>
      <c r="D99" s="166"/>
      <c r="E99" s="166"/>
      <c r="F99" s="55"/>
      <c r="I99" s="48"/>
    </row>
    <row r="100" spans="1:9">
      <c r="A100" s="49"/>
      <c r="C100" s="167" t="s">
        <v>11</v>
      </c>
      <c r="D100" s="167"/>
      <c r="E100" s="167"/>
      <c r="F100" s="16"/>
      <c r="I100" s="47" t="s">
        <v>12</v>
      </c>
    </row>
    <row r="101" spans="1:9" ht="15.75">
      <c r="A101" s="17"/>
      <c r="C101" s="9"/>
      <c r="D101" s="9"/>
      <c r="G101" s="9"/>
      <c r="H101" s="9"/>
    </row>
    <row r="102" spans="1:9" ht="15.75">
      <c r="B102" s="50" t="s">
        <v>13</v>
      </c>
      <c r="C102" s="168"/>
      <c r="D102" s="168"/>
      <c r="E102" s="168"/>
      <c r="F102" s="56"/>
      <c r="I102" s="48"/>
    </row>
    <row r="103" spans="1:9">
      <c r="A103" s="49"/>
      <c r="C103" s="169" t="s">
        <v>11</v>
      </c>
      <c r="D103" s="169"/>
      <c r="E103" s="169"/>
      <c r="F103" s="49"/>
      <c r="I103" s="47" t="s">
        <v>12</v>
      </c>
    </row>
    <row r="104" spans="1:9" ht="15.75">
      <c r="A104" s="3" t="s">
        <v>14</v>
      </c>
    </row>
    <row r="105" spans="1:9">
      <c r="A105" s="170" t="s">
        <v>15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45" customHeight="1">
      <c r="A106" s="162" t="s">
        <v>16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30" customHeight="1">
      <c r="A107" s="162" t="s">
        <v>17</v>
      </c>
      <c r="B107" s="162"/>
      <c r="C107" s="162"/>
      <c r="D107" s="162"/>
      <c r="E107" s="162"/>
      <c r="F107" s="162"/>
      <c r="G107" s="162"/>
      <c r="H107" s="162"/>
      <c r="I107" s="162"/>
    </row>
    <row r="108" spans="1:9" ht="30" customHeight="1">
      <c r="A108" s="162" t="s">
        <v>21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15" customHeight="1">
      <c r="A109" s="162" t="s">
        <v>20</v>
      </c>
      <c r="B109" s="162"/>
      <c r="C109" s="162"/>
      <c r="D109" s="162"/>
      <c r="E109" s="162"/>
      <c r="F109" s="162"/>
      <c r="G109" s="162"/>
      <c r="H109" s="162"/>
      <c r="I109" s="162"/>
    </row>
  </sheetData>
  <mergeCells count="28">
    <mergeCell ref="A107:I107"/>
    <mergeCell ref="A108:I108"/>
    <mergeCell ref="A109:I109"/>
    <mergeCell ref="C99:E99"/>
    <mergeCell ref="C100:E100"/>
    <mergeCell ref="C102:E102"/>
    <mergeCell ref="C103:E103"/>
    <mergeCell ref="A105:I105"/>
    <mergeCell ref="A106:I106"/>
    <mergeCell ref="A97:I97"/>
    <mergeCell ref="A15:I15"/>
    <mergeCell ref="A28:I28"/>
    <mergeCell ref="A44:I44"/>
    <mergeCell ref="A55:I55"/>
    <mergeCell ref="A80:I80"/>
    <mergeCell ref="A89:I89"/>
    <mergeCell ref="B90:G90"/>
    <mergeCell ref="B91:G91"/>
    <mergeCell ref="A93:I93"/>
    <mergeCell ref="A94:I94"/>
    <mergeCell ref="A95:I95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  <rowBreaks count="1" manualBreakCount="1">
    <brk id="1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2022-02-10T12:59:30Z</cp:lastPrinted>
  <dcterms:created xsi:type="dcterms:W3CDTF">2016-03-25T08:33:47Z</dcterms:created>
  <dcterms:modified xsi:type="dcterms:W3CDTF">2022-02-10T13:00:10Z</dcterms:modified>
</cp:coreProperties>
</file>