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90" yWindow="315" windowWidth="20025" windowHeight="7650"/>
  </bookViews>
  <sheets>
    <sheet name="Лерм.,17" sheetId="1" r:id="rId1"/>
  </sheets>
  <definedNames>
    <definedName name="_xlnm.Print_Area" localSheetId="0">'Лерм.,17'!$A$1:$U$115</definedName>
  </definedNames>
  <calcPr calcId="124519"/>
</workbook>
</file>

<file path=xl/calcChain.xml><?xml version="1.0" encoding="utf-8"?>
<calcChain xmlns="http://schemas.openxmlformats.org/spreadsheetml/2006/main">
  <c r="I49" i="1"/>
  <c r="Q57"/>
  <c r="Q96"/>
  <c r="R97"/>
  <c r="F97"/>
  <c r="R57"/>
  <c r="R101"/>
  <c r="U101"/>
  <c r="H101"/>
  <c r="U67"/>
  <c r="F67"/>
  <c r="H67" s="1"/>
  <c r="C113"/>
  <c r="C110"/>
  <c r="T82"/>
  <c r="T102"/>
  <c r="U71"/>
  <c r="U54"/>
  <c r="U58"/>
  <c r="U69"/>
  <c r="T37"/>
  <c r="T32"/>
  <c r="S32"/>
  <c r="U27"/>
  <c r="U28"/>
  <c r="E63"/>
  <c r="S102" l="1"/>
  <c r="U102" s="1"/>
  <c r="H102"/>
  <c r="S57"/>
  <c r="S97"/>
  <c r="S85"/>
  <c r="S84"/>
  <c r="F84"/>
  <c r="S66"/>
  <c r="S82"/>
  <c r="R82"/>
  <c r="Q82"/>
  <c r="S98"/>
  <c r="R66"/>
  <c r="R89"/>
  <c r="Q98"/>
  <c r="Q100"/>
  <c r="U100" s="1"/>
  <c r="H100"/>
  <c r="Q64" l="1"/>
  <c r="U64" s="1"/>
  <c r="T48"/>
  <c r="S37" l="1"/>
  <c r="L32"/>
  <c r="F72"/>
  <c r="F71"/>
  <c r="H71" s="1"/>
  <c r="H66"/>
  <c r="F64"/>
  <c r="H64" s="1"/>
  <c r="F63"/>
  <c r="H63" s="1"/>
  <c r="F62"/>
  <c r="H62" s="1"/>
  <c r="F61"/>
  <c r="H61" s="1"/>
  <c r="F60"/>
  <c r="H60" s="1"/>
  <c r="F59"/>
  <c r="H59" s="1"/>
  <c r="H58"/>
  <c r="H57"/>
  <c r="H55"/>
  <c r="F52"/>
  <c r="F49"/>
  <c r="H49" s="1"/>
  <c r="H48"/>
  <c r="F47"/>
  <c r="F46"/>
  <c r="F45"/>
  <c r="F44"/>
  <c r="F43"/>
  <c r="H43" s="1"/>
  <c r="F42"/>
  <c r="F41"/>
  <c r="F40"/>
  <c r="Q43"/>
  <c r="H37"/>
  <c r="F36"/>
  <c r="F35"/>
  <c r="F34"/>
  <c r="F33"/>
  <c r="H32"/>
  <c r="F29"/>
  <c r="H29" s="1"/>
  <c r="H28"/>
  <c r="H27"/>
  <c r="F26"/>
  <c r="H26" s="1"/>
  <c r="H25"/>
  <c r="F25"/>
  <c r="F24"/>
  <c r="H24" s="1"/>
  <c r="F23"/>
  <c r="H23" s="1"/>
  <c r="F22"/>
  <c r="H22" s="1"/>
  <c r="P99"/>
  <c r="U99" s="1"/>
  <c r="H99"/>
  <c r="P97"/>
  <c r="H97"/>
  <c r="O89"/>
  <c r="O98"/>
  <c r="U98" s="1"/>
  <c r="O97"/>
  <c r="U97" s="1"/>
  <c r="O57"/>
  <c r="O90"/>
  <c r="O96"/>
  <c r="U96" s="1"/>
  <c r="H96"/>
  <c r="M89"/>
  <c r="N95"/>
  <c r="U95" s="1"/>
  <c r="N94"/>
  <c r="U94" s="1"/>
  <c r="F95"/>
  <c r="H95" s="1"/>
  <c r="F94"/>
  <c r="H94" s="1"/>
  <c r="N89"/>
  <c r="H89"/>
  <c r="N57"/>
  <c r="N93"/>
  <c r="U93" s="1"/>
  <c r="H93"/>
  <c r="N92"/>
  <c r="U92" s="1"/>
  <c r="H92"/>
  <c r="N91"/>
  <c r="U91" s="1"/>
  <c r="H91"/>
  <c r="N90"/>
  <c r="U90" s="1"/>
  <c r="U103" l="1"/>
  <c r="H33"/>
  <c r="T33"/>
  <c r="H35"/>
  <c r="T35"/>
  <c r="H40"/>
  <c r="Q40"/>
  <c r="H42"/>
  <c r="Q42"/>
  <c r="H44"/>
  <c r="Q44"/>
  <c r="H46"/>
  <c r="T46"/>
  <c r="H52"/>
  <c r="T52"/>
  <c r="S52"/>
  <c r="L52"/>
  <c r="H72"/>
  <c r="T72"/>
  <c r="S72"/>
  <c r="R72"/>
  <c r="P72"/>
  <c r="Q72"/>
  <c r="U89"/>
  <c r="S35"/>
  <c r="S33"/>
  <c r="H34"/>
  <c r="T34"/>
  <c r="H36"/>
  <c r="T36"/>
  <c r="H41"/>
  <c r="Q41"/>
  <c r="H45"/>
  <c r="Q45"/>
  <c r="T45"/>
  <c r="H47"/>
  <c r="T47"/>
  <c r="S36"/>
  <c r="S34"/>
  <c r="M43"/>
  <c r="U43" s="1"/>
  <c r="H50"/>
  <c r="M57"/>
  <c r="M88"/>
  <c r="U88" s="1"/>
  <c r="H88"/>
  <c r="M87" l="1"/>
  <c r="U87" s="1"/>
  <c r="H87"/>
  <c r="L57" l="1"/>
  <c r="U57" s="1"/>
  <c r="K84"/>
  <c r="J86"/>
  <c r="U86" s="1"/>
  <c r="H86"/>
  <c r="J85"/>
  <c r="U85" s="1"/>
  <c r="H85"/>
  <c r="J84"/>
  <c r="J83"/>
  <c r="U83" s="1"/>
  <c r="H83"/>
  <c r="P82"/>
  <c r="O82"/>
  <c r="N82"/>
  <c r="M82"/>
  <c r="L82"/>
  <c r="K82"/>
  <c r="I82"/>
  <c r="U82" s="1"/>
  <c r="J82"/>
  <c r="H82"/>
  <c r="U84" l="1"/>
  <c r="I66"/>
  <c r="U66" s="1"/>
  <c r="T55" l="1"/>
  <c r="S55"/>
  <c r="R55"/>
  <c r="Q55"/>
  <c r="P55"/>
  <c r="O55"/>
  <c r="N55"/>
  <c r="M55"/>
  <c r="L55"/>
  <c r="K55"/>
  <c r="J55"/>
  <c r="I55"/>
  <c r="U55" s="1"/>
  <c r="F19"/>
  <c r="M19" s="1"/>
  <c r="U19" s="1"/>
  <c r="F18"/>
  <c r="T18" s="1"/>
  <c r="F17"/>
  <c r="H17" s="1"/>
  <c r="F16"/>
  <c r="S16" s="1"/>
  <c r="F15"/>
  <c r="T15" s="1"/>
  <c r="F14"/>
  <c r="H14" s="1"/>
  <c r="E13"/>
  <c r="F13" s="1"/>
  <c r="F12"/>
  <c r="S12" s="1"/>
  <c r="F11"/>
  <c r="T11" s="1"/>
  <c r="S13" l="1"/>
  <c r="Q13"/>
  <c r="O13"/>
  <c r="M13"/>
  <c r="K13"/>
  <c r="I13"/>
  <c r="T13"/>
  <c r="R13"/>
  <c r="P13"/>
  <c r="N13"/>
  <c r="L13"/>
  <c r="J13"/>
  <c r="H13"/>
  <c r="I11"/>
  <c r="K11"/>
  <c r="M11"/>
  <c r="O11"/>
  <c r="Q11"/>
  <c r="S11"/>
  <c r="H12"/>
  <c r="J12"/>
  <c r="L12"/>
  <c r="N12"/>
  <c r="P12"/>
  <c r="R12"/>
  <c r="T12"/>
  <c r="M14"/>
  <c r="U14" s="1"/>
  <c r="I15"/>
  <c r="K15"/>
  <c r="M15"/>
  <c r="O15"/>
  <c r="Q15"/>
  <c r="S15"/>
  <c r="H16"/>
  <c r="J16"/>
  <c r="L16"/>
  <c r="N16"/>
  <c r="P16"/>
  <c r="R16"/>
  <c r="T16"/>
  <c r="M17"/>
  <c r="U17" s="1"/>
  <c r="I18"/>
  <c r="K18"/>
  <c r="M18"/>
  <c r="O18"/>
  <c r="Q18"/>
  <c r="S18"/>
  <c r="H19"/>
  <c r="H11"/>
  <c r="J11"/>
  <c r="L11"/>
  <c r="N11"/>
  <c r="P11"/>
  <c r="R11"/>
  <c r="I12"/>
  <c r="K12"/>
  <c r="M12"/>
  <c r="O12"/>
  <c r="Q12"/>
  <c r="H15"/>
  <c r="J15"/>
  <c r="L15"/>
  <c r="N15"/>
  <c r="P15"/>
  <c r="R15"/>
  <c r="I16"/>
  <c r="K16"/>
  <c r="M16"/>
  <c r="O16"/>
  <c r="Q16"/>
  <c r="H18"/>
  <c r="J18"/>
  <c r="L18"/>
  <c r="N18"/>
  <c r="P18"/>
  <c r="R18"/>
  <c r="U12" l="1"/>
  <c r="U16"/>
  <c r="U18"/>
  <c r="U15"/>
  <c r="U11"/>
  <c r="U13"/>
  <c r="H20"/>
  <c r="U20" l="1"/>
  <c r="P49" l="1"/>
  <c r="H90" l="1"/>
  <c r="L49"/>
  <c r="L37" l="1"/>
  <c r="K32"/>
  <c r="H84"/>
  <c r="C112" l="1"/>
  <c r="H98"/>
  <c r="H103" s="1"/>
  <c r="K37"/>
  <c r="U49"/>
  <c r="M48"/>
  <c r="U48" s="1"/>
  <c r="I37"/>
  <c r="J37"/>
  <c r="L33"/>
  <c r="I32"/>
  <c r="J32"/>
  <c r="U32" l="1"/>
  <c r="U37"/>
  <c r="Q25"/>
  <c r="O25"/>
  <c r="R25"/>
  <c r="P25"/>
  <c r="N25"/>
  <c r="M25"/>
  <c r="J33"/>
  <c r="I33"/>
  <c r="K33"/>
  <c r="U33" l="1"/>
  <c r="U25"/>
  <c r="L34"/>
  <c r="F106"/>
  <c r="H105"/>
  <c r="E74"/>
  <c r="H78" s="1"/>
  <c r="H69"/>
  <c r="M63"/>
  <c r="U63" s="1"/>
  <c r="M62"/>
  <c r="U62" s="1"/>
  <c r="M61"/>
  <c r="U61" s="1"/>
  <c r="M60"/>
  <c r="U60" s="1"/>
  <c r="M59"/>
  <c r="U59" s="1"/>
  <c r="M45"/>
  <c r="M44"/>
  <c r="U44" s="1"/>
  <c r="M42"/>
  <c r="U42" s="1"/>
  <c r="M41"/>
  <c r="U41" s="1"/>
  <c r="M40"/>
  <c r="U40" s="1"/>
  <c r="L36"/>
  <c r="L35"/>
  <c r="M24"/>
  <c r="U24" s="1"/>
  <c r="R23" l="1"/>
  <c r="P23"/>
  <c r="N23"/>
  <c r="Q23"/>
  <c r="O23"/>
  <c r="M23"/>
  <c r="Q22"/>
  <c r="O22"/>
  <c r="R22"/>
  <c r="P22"/>
  <c r="N22"/>
  <c r="M22"/>
  <c r="T26"/>
  <c r="R26"/>
  <c r="P26"/>
  <c r="N26"/>
  <c r="S26"/>
  <c r="Q26"/>
  <c r="O26"/>
  <c r="M26"/>
  <c r="L26"/>
  <c r="K26"/>
  <c r="O72"/>
  <c r="N72"/>
  <c r="M72"/>
  <c r="K72"/>
  <c r="L72"/>
  <c r="S29"/>
  <c r="Q29"/>
  <c r="O29"/>
  <c r="T29"/>
  <c r="R29"/>
  <c r="P29"/>
  <c r="N29"/>
  <c r="M29"/>
  <c r="L29"/>
  <c r="K29"/>
  <c r="K52"/>
  <c r="J29"/>
  <c r="I29"/>
  <c r="U29" s="1"/>
  <c r="K35"/>
  <c r="I35"/>
  <c r="U35" s="1"/>
  <c r="J35"/>
  <c r="M46"/>
  <c r="U46" s="1"/>
  <c r="J72"/>
  <c r="I72"/>
  <c r="J34"/>
  <c r="K34"/>
  <c r="I34"/>
  <c r="H30"/>
  <c r="J26"/>
  <c r="I26"/>
  <c r="J36"/>
  <c r="K36"/>
  <c r="I36"/>
  <c r="I45"/>
  <c r="U45" s="1"/>
  <c r="J45"/>
  <c r="M47"/>
  <c r="U47" s="1"/>
  <c r="H70"/>
  <c r="J52"/>
  <c r="I52"/>
  <c r="H73"/>
  <c r="F74"/>
  <c r="H38"/>
  <c r="U26" l="1"/>
  <c r="U22"/>
  <c r="O106"/>
  <c r="U72"/>
  <c r="U73" s="1"/>
  <c r="U23"/>
  <c r="T74"/>
  <c r="T106" s="1"/>
  <c r="R74"/>
  <c r="R106" s="1"/>
  <c r="S74"/>
  <c r="S106" s="1"/>
  <c r="Q74"/>
  <c r="Q106" s="1"/>
  <c r="P74"/>
  <c r="P106" s="1"/>
  <c r="U52"/>
  <c r="U70" s="1"/>
  <c r="U36"/>
  <c r="U34"/>
  <c r="O74"/>
  <c r="N74"/>
  <c r="N106" s="1"/>
  <c r="L74"/>
  <c r="L106" s="1"/>
  <c r="K74"/>
  <c r="K106" s="1"/>
  <c r="M74"/>
  <c r="M106" s="1"/>
  <c r="J74"/>
  <c r="J106" s="1"/>
  <c r="I74"/>
  <c r="I106" s="1"/>
  <c r="U38"/>
  <c r="H74"/>
  <c r="H75" s="1"/>
  <c r="H76" s="1"/>
  <c r="H79" s="1"/>
  <c r="U74" l="1"/>
  <c r="U75" s="1"/>
  <c r="U30"/>
  <c r="U50"/>
  <c r="G106"/>
  <c r="H106" s="1"/>
  <c r="U76" l="1"/>
  <c r="U106" s="1"/>
  <c r="C115" s="1"/>
  <c r="C111" l="1"/>
</calcChain>
</file>

<file path=xl/sharedStrings.xml><?xml version="1.0" encoding="utf-8"?>
<sst xmlns="http://schemas.openxmlformats.org/spreadsheetml/2006/main" count="307" uniqueCount="230">
  <si>
    <t>ОТЧЁТ</t>
  </si>
  <si>
    <t xml:space="preserve">по предоставленным услугам и произведённым работам по содержанию и ремонту общего имущества собственников помещений в многоквартирном доме </t>
  </si>
  <si>
    <t>№ расц.</t>
  </si>
  <si>
    <t>Перечень работ</t>
  </si>
  <si>
    <t>Ед.изм</t>
  </si>
  <si>
    <t>Периодичность</t>
  </si>
  <si>
    <t>Объем работ разовый</t>
  </si>
  <si>
    <t xml:space="preserve">Объем работ на год </t>
  </si>
  <si>
    <t>Расценка (руб)</t>
  </si>
  <si>
    <t>Сумма в год (тыс.руб)</t>
  </si>
  <si>
    <t>А.Обязательные работы по содержанию общего имущества собственников помещений в многоквартирном доме</t>
  </si>
  <si>
    <t>100м2</t>
  </si>
  <si>
    <t>итого:</t>
  </si>
  <si>
    <t>Летняя уборка</t>
  </si>
  <si>
    <t>2 раза в неделю 52 раза в сезон</t>
  </si>
  <si>
    <t>1000м2</t>
  </si>
  <si>
    <t>3 раза в неделю 78 раз за сезон</t>
  </si>
  <si>
    <t>Уборка газонов сильной загрязненности</t>
  </si>
  <si>
    <t>1 раз в год</t>
  </si>
  <si>
    <t xml:space="preserve"> - Уборка контейнерной площадки (16 кв.м.)</t>
  </si>
  <si>
    <t>шт.</t>
  </si>
  <si>
    <t>155 раз</t>
  </si>
  <si>
    <t>Подборка мусора на контейнерной площадке</t>
  </si>
  <si>
    <t>м3</t>
  </si>
  <si>
    <t>ежедневно 365 раз</t>
  </si>
  <si>
    <t>по мере необходимости</t>
  </si>
  <si>
    <t>м/час</t>
  </si>
  <si>
    <t>Вывоз ТБО и КГО</t>
  </si>
  <si>
    <t xml:space="preserve">кв. м </t>
  </si>
  <si>
    <t xml:space="preserve"> </t>
  </si>
  <si>
    <t>Зимняя уборка</t>
  </si>
  <si>
    <t>Механизированная уборка дворовой территории</t>
  </si>
  <si>
    <t xml:space="preserve">Сдвигание снега в дни снегопада </t>
  </si>
  <si>
    <t>1000 м2</t>
  </si>
  <si>
    <t>45 раз за сезон</t>
  </si>
  <si>
    <t xml:space="preserve"> II. Плановые осмотры</t>
  </si>
  <si>
    <t>2 раза в год</t>
  </si>
  <si>
    <t>Осмотр деревянных заполнений проемов</t>
  </si>
  <si>
    <t>Осмотр внутренней и наружной отделки здания</t>
  </si>
  <si>
    <t>Осмотр деревянных конструкций стропил</t>
  </si>
  <si>
    <t>100 м3</t>
  </si>
  <si>
    <t xml:space="preserve">Осмотр СО </t>
  </si>
  <si>
    <t>1 раз в месяц (5 раз за сезон)</t>
  </si>
  <si>
    <t>Осмотр электросетей, арматуры и электрооборудования на чердаках, подвалах и техэтажах</t>
  </si>
  <si>
    <t>100 лест.</t>
  </si>
  <si>
    <t>Осмотр вводных электрических щитков</t>
  </si>
  <si>
    <t>100 шт.</t>
  </si>
  <si>
    <t>шт</t>
  </si>
  <si>
    <t>2-1-1б</t>
  </si>
  <si>
    <t>Проверка вентканалов</t>
  </si>
  <si>
    <t>Кровля</t>
  </si>
  <si>
    <t>Чердак, подвал, технический этаж</t>
  </si>
  <si>
    <t>Отопление</t>
  </si>
  <si>
    <t>Ликвидация воздушных пробок в стояках</t>
  </si>
  <si>
    <t>Ликвидация воздушных пробок в радиаторах</t>
  </si>
  <si>
    <t xml:space="preserve">Промывка СО </t>
  </si>
  <si>
    <t>100м3</t>
  </si>
  <si>
    <t>Спуск воды и наполнение системы без осмотра</t>
  </si>
  <si>
    <t>1000м3</t>
  </si>
  <si>
    <t>Гидравлическое испытание СО</t>
  </si>
  <si>
    <t>100м</t>
  </si>
  <si>
    <t>Проверка на прогрев отопительных приборов</t>
  </si>
  <si>
    <t>прибор</t>
  </si>
  <si>
    <t>Электроснабжение</t>
  </si>
  <si>
    <t>Смена ламп накаливания</t>
  </si>
  <si>
    <t>10 шт</t>
  </si>
  <si>
    <t>Мелкий ремонт электропроводки</t>
  </si>
  <si>
    <t>Вентканалы, дымоходы</t>
  </si>
  <si>
    <t>ГЭСН60-16</t>
  </si>
  <si>
    <t xml:space="preserve"> - прочистка каналов</t>
  </si>
  <si>
    <t>Аварийно-диспетчерское обслуживание</t>
  </si>
  <si>
    <t>1 м2</t>
  </si>
  <si>
    <t>Услуги по выпуску квитанций, сопровождение собраний, работа с должниками</t>
  </si>
  <si>
    <t>ИТОГО</t>
  </si>
  <si>
    <t xml:space="preserve">ВСЕГО </t>
  </si>
  <si>
    <t>Площадь жилых помещений и нежилых</t>
  </si>
  <si>
    <t xml:space="preserve">     </t>
  </si>
  <si>
    <t>Затраты на 1 кв.м  в месяц в рублях  по плану</t>
  </si>
  <si>
    <t>Текущий ремонт</t>
  </si>
  <si>
    <t>итого по текущему ремонту</t>
  </si>
  <si>
    <t>Размер платы по текущему ремонту, руб/м2 в мес.</t>
  </si>
  <si>
    <t xml:space="preserve">Затраты в рублях  по плану   </t>
  </si>
  <si>
    <t>Очистка от мусора</t>
  </si>
  <si>
    <t>Вода для промывки системы отопления</t>
  </si>
  <si>
    <t>Спуск воды после промывки системы отопления в канализацию</t>
  </si>
  <si>
    <t>Генеральный директор ООО "Жилсервис"_______Ю.Л.Куканов</t>
  </si>
  <si>
    <t xml:space="preserve">Выполнение    январь  </t>
  </si>
  <si>
    <t>Выполнение   февраль</t>
  </si>
  <si>
    <t>Выполнение   март</t>
  </si>
  <si>
    <t>Выполнение    апрель</t>
  </si>
  <si>
    <t>Выполнение    июнь</t>
  </si>
  <si>
    <t>Выполнение    июль</t>
  </si>
  <si>
    <t>Выполнение    август</t>
  </si>
  <si>
    <t>Выполнение    сентябрь</t>
  </si>
  <si>
    <t>Выполнение    октябрь</t>
  </si>
  <si>
    <t>Выполнение    ноябрь</t>
  </si>
  <si>
    <t>Выполнение    декабрь</t>
  </si>
  <si>
    <t>3 раза в год</t>
  </si>
  <si>
    <t>Стоимость (руб.)</t>
  </si>
  <si>
    <t>договор</t>
  </si>
  <si>
    <t>ТО внутридомового газ.оборудования</t>
  </si>
  <si>
    <t>Ремонт групповых щитков на лестничной клетке без ремонта автоматов</t>
  </si>
  <si>
    <t>калькуляция</t>
  </si>
  <si>
    <t>маш/час</t>
  </si>
  <si>
    <t>Внеплановый осмотр электросетей, арматуры и электрооборудования на лестничных клетках</t>
  </si>
  <si>
    <t>Баланс выполненных работ на 01.01.2016 г. ( -долг за предприятием, +долг за населением)</t>
  </si>
  <si>
    <t>Начислено за содержание и текущий ремонт за 2016 г.</t>
  </si>
  <si>
    <t>Выполнено работ по содержанию за 2016 г.</t>
  </si>
  <si>
    <t>Выполнено работ по текущему ремонту за 2016 г.</t>
  </si>
  <si>
    <t>Фактически оплачено за 2016 г.</t>
  </si>
  <si>
    <t>место</t>
  </si>
  <si>
    <t>Устройство хомута</t>
  </si>
  <si>
    <t xml:space="preserve"> - Уборка газонов</t>
  </si>
  <si>
    <t xml:space="preserve"> - Подметание территории с усовершенствованным покрытием асф.: крыльца, контейнерн пл., проезд, тротуар</t>
  </si>
  <si>
    <t xml:space="preserve">Погрузка травы, ветвей </t>
  </si>
  <si>
    <t>Вывоз смета, травы, ветвей и т.п.- м/ч</t>
  </si>
  <si>
    <t xml:space="preserve">Подметание снега с тротуара, крылец, конт. площадок </t>
  </si>
  <si>
    <t>Очистка территории 1-го класса с усовершенствованным покрытием под скребок: ступеньки и площадки крылец, контейнерные площадки</t>
  </si>
  <si>
    <t xml:space="preserve">Пескопосыпка территории: крыльца и тротуары </t>
  </si>
  <si>
    <t>Стоимость песка -100м2-0,002м3</t>
  </si>
  <si>
    <t>Осмотр электросетей, арматуры и электооборудования на лестничных клетках</t>
  </si>
  <si>
    <t>Осмотр шиферной кровли</t>
  </si>
  <si>
    <t>Очистка края кровли от слежавшегося снега со сбрасыванием сосулек (10% от S кровли и козырьки)</t>
  </si>
  <si>
    <t>смета</t>
  </si>
  <si>
    <t>тыс.руб.</t>
  </si>
  <si>
    <t>ТЕР 53-020</t>
  </si>
  <si>
    <t>ТЕР 53-001</t>
  </si>
  <si>
    <t>ТЕР 53-021</t>
  </si>
  <si>
    <t>ТЕР 52-033</t>
  </si>
  <si>
    <t>пр.ТЕР 52-003</t>
  </si>
  <si>
    <t>ТЕР 53-030</t>
  </si>
  <si>
    <t>ТЕР 54-013</t>
  </si>
  <si>
    <t>ТЕР 54-003</t>
  </si>
  <si>
    <t>ТЕР 54-022</t>
  </si>
  <si>
    <t>ТЕР 54-025</t>
  </si>
  <si>
    <t>ТЕР 42-002</t>
  </si>
  <si>
    <t>ТЕР 42-007</t>
  </si>
  <si>
    <t>ТЕР 42-009</t>
  </si>
  <si>
    <t>ТЕР 42-003</t>
  </si>
  <si>
    <t>ТЕР 42-011</t>
  </si>
  <si>
    <t>ТЕР 42-013</t>
  </si>
  <si>
    <t>ТЕР 42-012</t>
  </si>
  <si>
    <t>ТЕР 42-014</t>
  </si>
  <si>
    <t>ТЕР 54-041 и 42</t>
  </si>
  <si>
    <t>ТЕР 51-034</t>
  </si>
  <si>
    <t>ТЕР 31-065</t>
  </si>
  <si>
    <t>ТЕР 31-064</t>
  </si>
  <si>
    <t>ТЕР 31-052</t>
  </si>
  <si>
    <t>ТЕР 31-043</t>
  </si>
  <si>
    <t>ТЕР 31-068</t>
  </si>
  <si>
    <t>ТЕР 31-045</t>
  </si>
  <si>
    <t>ТЕР 33-019</t>
  </si>
  <si>
    <t>ТЕР 33-030</t>
  </si>
  <si>
    <t>пр.ТЕР 32-098</t>
  </si>
  <si>
    <r>
      <t xml:space="preserve">по адресу:  </t>
    </r>
    <r>
      <rPr>
        <b/>
        <sz val="14"/>
        <color indexed="10"/>
        <rFont val="Arial"/>
        <family val="2"/>
        <charset val="204"/>
      </rPr>
      <t>ул. Лермонтова, 17</t>
    </r>
    <r>
      <rPr>
        <b/>
        <sz val="14"/>
        <rFont val="Arial"/>
        <family val="2"/>
        <charset val="204"/>
      </rPr>
      <t xml:space="preserve">  (п. Ярега)  </t>
    </r>
    <r>
      <rPr>
        <b/>
        <sz val="14"/>
        <color indexed="10"/>
        <rFont val="Arial"/>
        <family val="2"/>
        <charset val="204"/>
      </rPr>
      <t>за 2016 год</t>
    </r>
  </si>
  <si>
    <t>4 этажа, 5 подъезда</t>
  </si>
  <si>
    <t xml:space="preserve">1. Санитарное содержание </t>
  </si>
  <si>
    <t>Влажное подметание лестничных клеток 1 этажа</t>
  </si>
  <si>
    <t>3 раза в неделю 156 раз в год</t>
  </si>
  <si>
    <t>Влажное подметание лестничных клеток 2-5 этажа</t>
  </si>
  <si>
    <t>2 раза в неделю 104 раза в год</t>
  </si>
  <si>
    <t>Мытье лестничных  площадок и маршей 1-5 этаж.</t>
  </si>
  <si>
    <t xml:space="preserve">1 раз в месяц   12 раз в год </t>
  </si>
  <si>
    <t>Мытье окон</t>
  </si>
  <si>
    <t>10м2</t>
  </si>
  <si>
    <t xml:space="preserve">1 раз в год     </t>
  </si>
  <si>
    <t>Влажная протирка перил</t>
  </si>
  <si>
    <t>1 раз в месяц</t>
  </si>
  <si>
    <t>Влажная протирка почтовых ящиков</t>
  </si>
  <si>
    <t>Влажная протирка дверей</t>
  </si>
  <si>
    <t>100 м2</t>
  </si>
  <si>
    <t>Влажная протирка подоконников</t>
  </si>
  <si>
    <t xml:space="preserve">1 раз в месяц    </t>
  </si>
  <si>
    <t>Влажная протирка отопительных приборов</t>
  </si>
  <si>
    <t>ТЕР 51-001</t>
  </si>
  <si>
    <t>ТЕР 51-009</t>
  </si>
  <si>
    <t>ТЕР 51-025</t>
  </si>
  <si>
    <t>ТЕР 51-023</t>
  </si>
  <si>
    <t>ТЕР 51-019</t>
  </si>
  <si>
    <t>ТЕР 51-020</t>
  </si>
  <si>
    <t>ТЕР 51-024</t>
  </si>
  <si>
    <t>ТЕР 51-031</t>
  </si>
  <si>
    <t>Дератизация</t>
  </si>
  <si>
    <t>м2</t>
  </si>
  <si>
    <t>С учетом показателя инфляции (К=1,094)</t>
  </si>
  <si>
    <t>ТЕР 33-037</t>
  </si>
  <si>
    <t>Снятие показаний эл.счетчика коммунального назначения</t>
  </si>
  <si>
    <t>Ремонт силового предохранительного шкафа (без стоимости материалов)</t>
  </si>
  <si>
    <t>ТЕР 33-032</t>
  </si>
  <si>
    <t>1 м</t>
  </si>
  <si>
    <t>ТЕР Q2-2-1-3-3</t>
  </si>
  <si>
    <t>Работа автовышки</t>
  </si>
  <si>
    <t>Смена арматуры - вентилей и клапанов обратных муфтовых диаметром до 32 мм</t>
  </si>
  <si>
    <t>1 шт</t>
  </si>
  <si>
    <t>ТЕР 32-028</t>
  </si>
  <si>
    <t xml:space="preserve">Смена трубопроводов на полипропиленовые трубы PN25 диаметром 20мм </t>
  </si>
  <si>
    <t>м</t>
  </si>
  <si>
    <t>Смена арматуры - задвижек диаметром 50 мм</t>
  </si>
  <si>
    <t>Смена арматуры - задвижек диаметром 100 мм</t>
  </si>
  <si>
    <t>пр.ТЕР 32-034</t>
  </si>
  <si>
    <t>пр.ТЕР 32-035</t>
  </si>
  <si>
    <t>Смена арматуры - задвижек диаметром 80 мм</t>
  </si>
  <si>
    <t>Подключение и отключение сварочного аппарата</t>
  </si>
  <si>
    <t>ТЕР 33-060</t>
  </si>
  <si>
    <t>100шт</t>
  </si>
  <si>
    <t>Смена арматуры - вентилей и клапанов обратных муфтовых диаметром до 20 мм</t>
  </si>
  <si>
    <t>ТЕР 32-027</t>
  </si>
  <si>
    <t>Прочистка засоров ГВС, XВC</t>
  </si>
  <si>
    <t>3м</t>
  </si>
  <si>
    <t>ТЕР 32-101</t>
  </si>
  <si>
    <t>Масляная окраска подъезда (IV подъезд)</t>
  </si>
  <si>
    <t>20 раз за сезон</t>
  </si>
  <si>
    <t>155 раз за сезон</t>
  </si>
  <si>
    <t>50 раз за сезон</t>
  </si>
  <si>
    <t>ТЭР 42-010</t>
  </si>
  <si>
    <t>Осмотр каменных конструкций</t>
  </si>
  <si>
    <t xml:space="preserve">6 раз за сезон </t>
  </si>
  <si>
    <t>Смена арматуры - вентилей и клапанов обратных муфтовых диаметром до 20 мм (без материала)</t>
  </si>
  <si>
    <t>Смена вентилей диаметром до 32 мм (без материалов)</t>
  </si>
  <si>
    <t>пр.ТЕР 32-027</t>
  </si>
  <si>
    <t>пр.ТЕР 32-028</t>
  </si>
  <si>
    <t>Внеплановый осмотр электросетей, арматуры и электрооборудования на чердаках и подвалах</t>
  </si>
  <si>
    <t>Внеплановый осмотр вводных электрических щитков</t>
  </si>
  <si>
    <t>Просроченная задолженность по Вашему дому по статье "Содержание и текущий ремонт МКД" на конец декабря 2016 г., составляет:</t>
  </si>
  <si>
    <t>Баланс выполненных работ на 01.01.2017 г. ( -долг за предприятием, +долг за населением)</t>
  </si>
  <si>
    <t>ТЕР 33-043</t>
  </si>
  <si>
    <t>Смена плвкой вставки в электрощитке</t>
  </si>
  <si>
    <t>Смена дверных приборов (замки навесные)</t>
  </si>
  <si>
    <t>ТЕР 15-051</t>
  </si>
  <si>
    <t>Выполне  ние       май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</si>
</sst>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#,##0.000"/>
  </numFmts>
  <fonts count="21">
    <font>
      <sz val="10"/>
      <name val="Arial Cyr"/>
      <family val="2"/>
      <charset val="204"/>
    </font>
    <font>
      <sz val="10"/>
      <name val="Arial"/>
      <family val="2"/>
      <charset val="204"/>
    </font>
    <font>
      <b/>
      <sz val="10"/>
      <color indexed="18"/>
      <name val="Arial"/>
      <family val="2"/>
      <charset val="204"/>
    </font>
    <font>
      <b/>
      <sz val="10"/>
      <name val="Arial"/>
      <family val="2"/>
      <charset val="204"/>
    </font>
    <font>
      <b/>
      <u/>
      <sz val="10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name val="Arial Cyr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4"/>
      <color rgb="FFFF0000"/>
      <name val="Arial"/>
      <family val="2"/>
      <charset val="204"/>
    </font>
    <font>
      <b/>
      <sz val="14"/>
      <name val="Arial"/>
      <family val="2"/>
      <charset val="204"/>
    </font>
    <font>
      <b/>
      <sz val="14"/>
      <color indexed="10"/>
      <name val="Arial"/>
      <family val="2"/>
      <charset val="204"/>
    </font>
    <font>
      <sz val="11"/>
      <name val="Arial"/>
      <family val="2"/>
      <charset val="204"/>
    </font>
    <font>
      <sz val="8"/>
      <name val="Arial"/>
      <family val="2"/>
      <charset val="204"/>
    </font>
    <font>
      <sz val="10"/>
      <color rgb="FFFF0000"/>
      <name val="Arial"/>
      <family val="2"/>
      <charset val="204"/>
    </font>
    <font>
      <b/>
      <i/>
      <sz val="10"/>
      <name val="Arial"/>
      <family val="2"/>
      <charset val="204"/>
    </font>
    <font>
      <i/>
      <sz val="10"/>
      <name val="Arial"/>
      <family val="2"/>
      <charset val="204"/>
    </font>
    <font>
      <sz val="14"/>
      <name val="Arial"/>
      <family val="2"/>
      <charset val="204"/>
    </font>
    <font>
      <b/>
      <sz val="10"/>
      <color rgb="FFFF0000"/>
      <name val="Arial"/>
      <family val="2"/>
      <charset val="204"/>
    </font>
    <font>
      <b/>
      <sz val="11"/>
      <name val="Arial"/>
      <family val="2"/>
      <charset val="204"/>
    </font>
    <font>
      <sz val="10"/>
      <color indexed="8"/>
      <name val="Arial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26"/>
      </patternFill>
    </fill>
    <fill>
      <patternFill patternType="solid">
        <fgColor theme="0"/>
        <bgColor indexed="51"/>
      </patternFill>
    </fill>
    <fill>
      <patternFill patternType="solid">
        <fgColor theme="0"/>
        <bgColor indexed="26"/>
      </patternFill>
    </fill>
    <fill>
      <patternFill patternType="solid">
        <fgColor theme="2"/>
        <bgColor indexed="64"/>
      </patternFill>
    </fill>
    <fill>
      <patternFill patternType="solid">
        <fgColor theme="2"/>
        <bgColor indexed="26"/>
      </patternFill>
    </fill>
    <fill>
      <patternFill patternType="solid">
        <fgColor rgb="FFFFFF00"/>
        <bgColor indexed="41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34"/>
      </patternFill>
    </fill>
    <fill>
      <patternFill patternType="solid">
        <fgColor theme="0"/>
        <bgColor indexed="41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</borders>
  <cellStyleXfs count="1">
    <xf numFmtId="0" fontId="0" fillId="0" borderId="0"/>
  </cellStyleXfs>
  <cellXfs count="192">
    <xf numFmtId="0" fontId="0" fillId="0" borderId="0" xfId="0"/>
    <xf numFmtId="0" fontId="0" fillId="3" borderId="0" xfId="0" applyFont="1" applyFill="1"/>
    <xf numFmtId="0" fontId="0" fillId="3" borderId="0" xfId="0" applyFill="1"/>
    <xf numFmtId="4" fontId="0" fillId="0" borderId="0" xfId="0" applyNumberFormat="1"/>
    <xf numFmtId="4" fontId="6" fillId="0" borderId="0" xfId="0" applyNumberFormat="1" applyFont="1"/>
    <xf numFmtId="0" fontId="6" fillId="0" borderId="0" xfId="0" applyFont="1"/>
    <xf numFmtId="164" fontId="0" fillId="0" borderId="0" xfId="0" applyNumberFormat="1"/>
    <xf numFmtId="2" fontId="0" fillId="0" borderId="0" xfId="0" applyNumberFormat="1"/>
    <xf numFmtId="0" fontId="1" fillId="4" borderId="1" xfId="0" applyFont="1" applyFill="1" applyBorder="1" applyAlignment="1">
      <alignment horizontal="center" vertical="center" wrapText="1"/>
    </xf>
    <xf numFmtId="0" fontId="0" fillId="2" borderId="0" xfId="0" applyFill="1"/>
    <xf numFmtId="0" fontId="0" fillId="5" borderId="0" xfId="0" applyFill="1"/>
    <xf numFmtId="0" fontId="2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1" fillId="7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3" fillId="7" borderId="4" xfId="0" applyFont="1" applyFill="1" applyBorder="1" applyAlignment="1">
      <alignment horizontal="left" vertical="center" wrapText="1"/>
    </xf>
    <xf numFmtId="0" fontId="1" fillId="7" borderId="3" xfId="0" applyFont="1" applyFill="1" applyBorder="1" applyAlignment="1">
      <alignment horizontal="left" vertical="center" wrapText="1"/>
    </xf>
    <xf numFmtId="0" fontId="5" fillId="7" borderId="3" xfId="0" applyFont="1" applyFill="1" applyBorder="1" applyAlignment="1">
      <alignment horizontal="left" vertical="center" wrapText="1"/>
    </xf>
    <xf numFmtId="0" fontId="1" fillId="4" borderId="3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2" fillId="8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8" borderId="3" xfId="0" applyFont="1" applyFill="1" applyBorder="1" applyAlignment="1">
      <alignment horizontal="center" vertical="center"/>
    </xf>
    <xf numFmtId="4" fontId="1" fillId="8" borderId="3" xfId="0" applyNumberFormat="1" applyFont="1" applyFill="1" applyBorder="1" applyAlignment="1">
      <alignment horizontal="center" vertical="center"/>
    </xf>
    <xf numFmtId="0" fontId="1" fillId="0" borderId="0" xfId="0" applyFont="1"/>
    <xf numFmtId="164" fontId="1" fillId="4" borderId="2" xfId="0" applyNumberFormat="1" applyFont="1" applyFill="1" applyBorder="1" applyAlignment="1">
      <alignment horizontal="center" vertical="center"/>
    </xf>
    <xf numFmtId="0" fontId="1" fillId="8" borderId="3" xfId="0" applyFont="1" applyFill="1" applyBorder="1" applyAlignment="1">
      <alignment vertical="center"/>
    </xf>
    <xf numFmtId="4" fontId="1" fillId="8" borderId="3" xfId="0" applyNumberFormat="1" applyFont="1" applyFill="1" applyBorder="1" applyAlignment="1">
      <alignment vertical="center"/>
    </xf>
    <xf numFmtId="0" fontId="13" fillId="4" borderId="1" xfId="0" applyFont="1" applyFill="1" applyBorder="1" applyAlignment="1">
      <alignment horizontal="left" vertical="center" wrapText="1"/>
    </xf>
    <xf numFmtId="4" fontId="1" fillId="4" borderId="1" xfId="0" applyNumberFormat="1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horizontal="center" vertical="center"/>
    </xf>
    <xf numFmtId="4" fontId="1" fillId="4" borderId="2" xfId="0" applyNumberFormat="1" applyFont="1" applyFill="1" applyBorder="1" applyAlignment="1">
      <alignment horizontal="center" vertical="center"/>
    </xf>
    <xf numFmtId="4" fontId="14" fillId="4" borderId="1" xfId="0" applyNumberFormat="1" applyFont="1" applyFill="1" applyBorder="1" applyAlignment="1">
      <alignment horizontal="center" vertical="center" wrapText="1"/>
    </xf>
    <xf numFmtId="4" fontId="1" fillId="7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/>
    </xf>
    <xf numFmtId="4" fontId="3" fillId="8" borderId="3" xfId="0" applyNumberFormat="1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4" fontId="1" fillId="7" borderId="1" xfId="0" applyNumberFormat="1" applyFont="1" applyFill="1" applyBorder="1" applyAlignment="1">
      <alignment horizontal="center" vertical="center"/>
    </xf>
    <xf numFmtId="4" fontId="1" fillId="9" borderId="3" xfId="0" applyNumberFormat="1" applyFont="1" applyFill="1" applyBorder="1" applyAlignment="1">
      <alignment horizontal="center" vertical="center"/>
    </xf>
    <xf numFmtId="4" fontId="1" fillId="4" borderId="3" xfId="0" applyNumberFormat="1" applyFont="1" applyFill="1" applyBorder="1" applyAlignment="1">
      <alignment horizontal="center" vertical="center"/>
    </xf>
    <xf numFmtId="4" fontId="1" fillId="7" borderId="3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4" fontId="3" fillId="5" borderId="1" xfId="0" applyNumberFormat="1" applyFont="1" applyFill="1" applyBorder="1" applyAlignment="1">
      <alignment horizontal="center" vertical="center" wrapText="1"/>
    </xf>
    <xf numFmtId="4" fontId="3" fillId="5" borderId="1" xfId="0" applyNumberFormat="1" applyFont="1" applyFill="1" applyBorder="1" applyAlignment="1">
      <alignment horizontal="center" vertical="center"/>
    </xf>
    <xf numFmtId="4" fontId="1" fillId="4" borderId="0" xfId="0" applyNumberFormat="1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left" vertical="center" wrapText="1"/>
    </xf>
    <xf numFmtId="4" fontId="1" fillId="4" borderId="4" xfId="0" applyNumberFormat="1" applyFont="1" applyFill="1" applyBorder="1" applyAlignment="1">
      <alignment horizontal="center" vertical="center" wrapText="1"/>
    </xf>
    <xf numFmtId="4" fontId="1" fillId="4" borderId="4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4" fontId="1" fillId="4" borderId="3" xfId="0" applyNumberFormat="1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left" vertical="center"/>
    </xf>
    <xf numFmtId="0" fontId="1" fillId="7" borderId="3" xfId="0" applyFont="1" applyFill="1" applyBorder="1" applyAlignment="1">
      <alignment horizontal="left" vertical="center"/>
    </xf>
    <xf numFmtId="4" fontId="1" fillId="7" borderId="3" xfId="0" applyNumberFormat="1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left" vertical="center" wrapText="1"/>
    </xf>
    <xf numFmtId="4" fontId="3" fillId="5" borderId="3" xfId="0" applyNumberFormat="1" applyFont="1" applyFill="1" applyBorder="1" applyAlignment="1">
      <alignment horizontal="center" vertical="center" wrapText="1"/>
    </xf>
    <xf numFmtId="4" fontId="3" fillId="5" borderId="3" xfId="0" applyNumberFormat="1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left" vertical="center" wrapText="1"/>
    </xf>
    <xf numFmtId="4" fontId="1" fillId="6" borderId="3" xfId="0" applyNumberFormat="1" applyFont="1" applyFill="1" applyBorder="1" applyAlignment="1">
      <alignment horizontal="center" vertical="center"/>
    </xf>
    <xf numFmtId="4" fontId="3" fillId="6" borderId="3" xfId="0" applyNumberFormat="1" applyFont="1" applyFill="1" applyBorder="1" applyAlignment="1">
      <alignment horizontal="center" vertical="center"/>
    </xf>
    <xf numFmtId="1" fontId="1" fillId="4" borderId="3" xfId="0" applyNumberFormat="1" applyFont="1" applyFill="1" applyBorder="1" applyAlignment="1">
      <alignment horizontal="left" vertical="center" wrapText="1"/>
    </xf>
    <xf numFmtId="4" fontId="3" fillId="4" borderId="3" xfId="0" applyNumberFormat="1" applyFont="1" applyFill="1" applyBorder="1" applyAlignment="1">
      <alignment horizontal="center" vertical="center"/>
    </xf>
    <xf numFmtId="2" fontId="3" fillId="2" borderId="3" xfId="0" applyNumberFormat="1" applyFont="1" applyFill="1" applyBorder="1" applyAlignment="1" applyProtection="1">
      <alignment horizontal="center" vertical="center" wrapText="1"/>
      <protection hidden="1"/>
    </xf>
    <xf numFmtId="0" fontId="3" fillId="2" borderId="3" xfId="0" applyFont="1" applyFill="1" applyBorder="1" applyAlignment="1">
      <alignment horizontal="left" vertical="center" wrapText="1"/>
    </xf>
    <xf numFmtId="4" fontId="3" fillId="2" borderId="3" xfId="0" applyNumberFormat="1" applyFont="1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>
      <alignment horizontal="center" vertical="center"/>
    </xf>
    <xf numFmtId="4" fontId="3" fillId="2" borderId="3" xfId="0" applyNumberFormat="1" applyFont="1" applyFill="1" applyBorder="1" applyAlignment="1" applyProtection="1">
      <alignment horizontal="center" vertical="center" wrapText="1"/>
      <protection hidden="1"/>
    </xf>
    <xf numFmtId="0" fontId="1" fillId="4" borderId="3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left" vertical="center"/>
    </xf>
    <xf numFmtId="4" fontId="1" fillId="2" borderId="3" xfId="0" applyNumberFormat="1" applyFont="1" applyFill="1" applyBorder="1" applyAlignment="1">
      <alignment horizontal="center" vertical="center"/>
    </xf>
    <xf numFmtId="4" fontId="15" fillId="8" borderId="3" xfId="0" applyNumberFormat="1" applyFont="1" applyFill="1" applyBorder="1" applyAlignment="1">
      <alignment horizontal="center" vertical="center"/>
    </xf>
    <xf numFmtId="165" fontId="15" fillId="4" borderId="3" xfId="0" applyNumberFormat="1" applyFont="1" applyFill="1" applyBorder="1" applyAlignment="1">
      <alignment horizontal="center" vertical="center"/>
    </xf>
    <xf numFmtId="165" fontId="1" fillId="4" borderId="3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4" fontId="1" fillId="2" borderId="3" xfId="0" applyNumberFormat="1" applyFont="1" applyFill="1" applyBorder="1" applyAlignment="1">
      <alignment vertical="center"/>
    </xf>
    <xf numFmtId="0" fontId="3" fillId="4" borderId="3" xfId="0" applyFont="1" applyFill="1" applyBorder="1" applyAlignment="1">
      <alignment vertical="center"/>
    </xf>
    <xf numFmtId="0" fontId="1" fillId="4" borderId="3" xfId="0" applyFont="1" applyFill="1" applyBorder="1" applyAlignment="1">
      <alignment vertical="center"/>
    </xf>
    <xf numFmtId="4" fontId="1" fillId="4" borderId="3" xfId="0" applyNumberFormat="1" applyFont="1" applyFill="1" applyBorder="1" applyAlignment="1">
      <alignment vertical="center"/>
    </xf>
    <xf numFmtId="165" fontId="3" fillId="4" borderId="6" xfId="0" applyNumberFormat="1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center" vertical="center"/>
    </xf>
    <xf numFmtId="4" fontId="1" fillId="2" borderId="7" xfId="0" applyNumberFormat="1" applyFont="1" applyFill="1" applyBorder="1" applyAlignment="1">
      <alignment horizontal="center" vertical="center"/>
    </xf>
    <xf numFmtId="4" fontId="15" fillId="2" borderId="7" xfId="0" applyNumberFormat="1" applyFont="1" applyFill="1" applyBorder="1" applyAlignment="1">
      <alignment horizontal="center" vertical="center"/>
    </xf>
    <xf numFmtId="4" fontId="1" fillId="0" borderId="0" xfId="0" applyNumberFormat="1" applyFont="1"/>
    <xf numFmtId="0" fontId="1" fillId="0" borderId="0" xfId="0" applyFont="1" applyFill="1" applyBorder="1" applyAlignment="1" applyProtection="1">
      <alignment horizontal="center" vertical="top" wrapText="1"/>
    </xf>
    <xf numFmtId="49" fontId="1" fillId="0" borderId="0" xfId="0" applyNumberFormat="1" applyFont="1" applyFill="1" applyBorder="1" applyAlignment="1" applyProtection="1">
      <alignment horizontal="left" vertical="top" wrapText="1"/>
      <protection hidden="1"/>
    </xf>
    <xf numFmtId="2" fontId="1" fillId="0" borderId="0" xfId="0" applyNumberFormat="1" applyFont="1" applyFill="1" applyBorder="1" applyAlignment="1" applyProtection="1">
      <alignment horizontal="center" vertical="top" wrapText="1"/>
      <protection hidden="1"/>
    </xf>
    <xf numFmtId="0" fontId="1" fillId="0" borderId="0" xfId="0" applyFont="1" applyBorder="1" applyAlignment="1">
      <alignment horizontal="left" vertical="top" wrapText="1"/>
    </xf>
    <xf numFmtId="4" fontId="1" fillId="0" borderId="0" xfId="0" applyNumberFormat="1" applyFont="1" applyBorder="1" applyAlignment="1">
      <alignment horizontal="left" vertical="top" wrapText="1"/>
    </xf>
    <xf numFmtId="4" fontId="1" fillId="0" borderId="0" xfId="0" applyNumberFormat="1" applyFont="1" applyBorder="1"/>
    <xf numFmtId="4" fontId="1" fillId="0" borderId="0" xfId="0" applyNumberFormat="1" applyFont="1" applyFill="1" applyBorder="1" applyAlignment="1" applyProtection="1">
      <alignment horizontal="left" vertical="top" wrapText="1"/>
      <protection hidden="1"/>
    </xf>
    <xf numFmtId="4" fontId="1" fillId="0" borderId="0" xfId="0" applyNumberFormat="1" applyFont="1" applyBorder="1" applyAlignment="1">
      <alignment horizontal="center"/>
    </xf>
    <xf numFmtId="4" fontId="16" fillId="0" borderId="0" xfId="0" applyNumberFormat="1" applyFont="1"/>
    <xf numFmtId="0" fontId="16" fillId="0" borderId="0" xfId="0" applyFont="1"/>
    <xf numFmtId="0" fontId="17" fillId="0" borderId="0" xfId="0" applyFont="1" applyAlignment="1"/>
    <xf numFmtId="4" fontId="3" fillId="2" borderId="3" xfId="0" applyNumberFormat="1" applyFont="1" applyFill="1" applyBorder="1" applyAlignment="1">
      <alignment vertical="center"/>
    </xf>
    <xf numFmtId="4" fontId="3" fillId="5" borderId="3" xfId="0" applyNumberFormat="1" applyFont="1" applyFill="1" applyBorder="1" applyAlignment="1">
      <alignment vertical="center"/>
    </xf>
    <xf numFmtId="0" fontId="1" fillId="5" borderId="3" xfId="0" applyFont="1" applyFill="1" applyBorder="1" applyAlignment="1">
      <alignment horizontal="center" vertical="center"/>
    </xf>
    <xf numFmtId="4" fontId="3" fillId="10" borderId="3" xfId="0" applyNumberFormat="1" applyFont="1" applyFill="1" applyBorder="1" applyAlignment="1">
      <alignment horizontal="center" vertical="center"/>
    </xf>
    <xf numFmtId="3" fontId="1" fillId="0" borderId="0" xfId="0" applyNumberFormat="1" applyFont="1"/>
    <xf numFmtId="4" fontId="3" fillId="2" borderId="6" xfId="0" applyNumberFormat="1" applyFont="1" applyFill="1" applyBorder="1" applyAlignment="1">
      <alignment horizontal="center" vertical="center"/>
    </xf>
    <xf numFmtId="4" fontId="1" fillId="4" borderId="6" xfId="0" applyNumberFormat="1" applyFont="1" applyFill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18" fillId="0" borderId="0" xfId="0" applyFont="1" applyAlignment="1"/>
    <xf numFmtId="0" fontId="1" fillId="2" borderId="3" xfId="0" applyFont="1" applyFill="1" applyBorder="1"/>
    <xf numFmtId="0" fontId="1" fillId="8" borderId="3" xfId="0" applyFont="1" applyFill="1" applyBorder="1"/>
    <xf numFmtId="0" fontId="1" fillId="5" borderId="3" xfId="0" applyFont="1" applyFill="1" applyBorder="1"/>
    <xf numFmtId="4" fontId="1" fillId="4" borderId="0" xfId="0" applyNumberFormat="1" applyFont="1" applyFill="1" applyBorder="1" applyAlignment="1">
      <alignment horizontal="center" vertical="center" wrapText="1"/>
    </xf>
    <xf numFmtId="4" fontId="1" fillId="8" borderId="6" xfId="0" applyNumberFormat="1" applyFont="1" applyFill="1" applyBorder="1" applyAlignment="1">
      <alignment horizontal="center" vertical="center"/>
    </xf>
    <xf numFmtId="0" fontId="1" fillId="11" borderId="3" xfId="0" applyNumberFormat="1" applyFont="1" applyFill="1" applyBorder="1" applyAlignment="1" applyProtection="1">
      <alignment horizontal="center" vertical="center"/>
    </xf>
    <xf numFmtId="0" fontId="1" fillId="4" borderId="3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/>
    </xf>
    <xf numFmtId="0" fontId="1" fillId="0" borderId="3" xfId="0" applyNumberFormat="1" applyFont="1" applyFill="1" applyBorder="1" applyAlignment="1" applyProtection="1">
      <alignment horizontal="left" vertical="center" wrapText="1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>
      <alignment horizontal="left" vertical="center"/>
    </xf>
    <xf numFmtId="4" fontId="1" fillId="0" borderId="3" xfId="0" applyNumberFormat="1" applyFont="1" applyFill="1" applyBorder="1" applyAlignment="1">
      <alignment horizontal="center" vertical="center"/>
    </xf>
    <xf numFmtId="0" fontId="0" fillId="0" borderId="0" xfId="0" applyFill="1"/>
    <xf numFmtId="0" fontId="1" fillId="2" borderId="3" xfId="0" applyFont="1" applyFill="1" applyBorder="1" applyAlignment="1" applyProtection="1">
      <alignment horizontal="center" vertical="center" wrapText="1"/>
    </xf>
    <xf numFmtId="0" fontId="1" fillId="4" borderId="3" xfId="0" applyFont="1" applyFill="1" applyBorder="1" applyAlignment="1" applyProtection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</xf>
    <xf numFmtId="0" fontId="1" fillId="4" borderId="3" xfId="0" applyNumberFormat="1" applyFont="1" applyFill="1" applyBorder="1" applyAlignment="1" applyProtection="1">
      <alignment horizontal="left" vertical="center" wrapText="1"/>
    </xf>
    <xf numFmtId="4" fontId="15" fillId="2" borderId="3" xfId="0" applyNumberFormat="1" applyFont="1" applyFill="1" applyBorder="1" applyAlignment="1">
      <alignment horizontal="center" vertical="center"/>
    </xf>
    <xf numFmtId="4" fontId="1" fillId="4" borderId="2" xfId="0" applyNumberFormat="1" applyFont="1" applyFill="1" applyBorder="1" applyAlignment="1">
      <alignment horizontal="center" vertical="center" wrapText="1"/>
    </xf>
    <xf numFmtId="4" fontId="15" fillId="4" borderId="6" xfId="0" applyNumberFormat="1" applyFont="1" applyFill="1" applyBorder="1" applyAlignment="1">
      <alignment horizontal="center" vertical="center"/>
    </xf>
    <xf numFmtId="4" fontId="3" fillId="2" borderId="8" xfId="0" applyNumberFormat="1" applyFont="1" applyFill="1" applyBorder="1" applyAlignment="1">
      <alignment horizontal="center" vertical="center"/>
    </xf>
    <xf numFmtId="4" fontId="1" fillId="0" borderId="6" xfId="0" applyNumberFormat="1" applyFont="1" applyFill="1" applyBorder="1" applyAlignment="1">
      <alignment horizontal="center" vertical="center"/>
    </xf>
    <xf numFmtId="4" fontId="3" fillId="10" borderId="6" xfId="0" applyNumberFormat="1" applyFont="1" applyFill="1" applyBorder="1" applyAlignment="1">
      <alignment horizontal="center" vertical="center"/>
    </xf>
    <xf numFmtId="4" fontId="15" fillId="2" borderId="5" xfId="0" applyNumberFormat="1" applyFont="1" applyFill="1" applyBorder="1" applyAlignment="1">
      <alignment horizontal="center" vertical="center"/>
    </xf>
    <xf numFmtId="4" fontId="3" fillId="10" borderId="2" xfId="0" applyNumberFormat="1" applyFont="1" applyFill="1" applyBorder="1" applyAlignment="1">
      <alignment horizontal="center" vertical="center"/>
    </xf>
    <xf numFmtId="4" fontId="1" fillId="4" borderId="5" xfId="0" applyNumberFormat="1" applyFont="1" applyFill="1" applyBorder="1" applyAlignment="1">
      <alignment horizontal="center" vertical="center"/>
    </xf>
    <xf numFmtId="4" fontId="0" fillId="8" borderId="3" xfId="0" applyNumberForma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 wrapText="1"/>
    </xf>
    <xf numFmtId="0" fontId="12" fillId="4" borderId="13" xfId="0" applyFont="1" applyFill="1" applyBorder="1" applyAlignment="1">
      <alignment horizontal="center" vertical="center" wrapText="1"/>
    </xf>
    <xf numFmtId="0" fontId="12" fillId="4" borderId="14" xfId="0" applyFont="1" applyFill="1" applyBorder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7" borderId="15" xfId="0" applyFont="1" applyFill="1" applyBorder="1" applyAlignment="1">
      <alignment horizontal="center" vertical="center"/>
    </xf>
    <xf numFmtId="0" fontId="1" fillId="5" borderId="15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 wrapText="1"/>
    </xf>
    <xf numFmtId="0" fontId="1" fillId="4" borderId="16" xfId="0" applyFont="1" applyFill="1" applyBorder="1" applyAlignment="1">
      <alignment horizontal="center" vertical="center"/>
    </xf>
    <xf numFmtId="0" fontId="1" fillId="4" borderId="17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vertical="center"/>
    </xf>
    <xf numFmtId="0" fontId="1" fillId="0" borderId="17" xfId="0" applyFont="1" applyBorder="1"/>
    <xf numFmtId="4" fontId="1" fillId="2" borderId="18" xfId="0" applyNumberFormat="1" applyFont="1" applyFill="1" applyBorder="1" applyAlignment="1">
      <alignment horizontal="center" vertical="center" wrapText="1"/>
    </xf>
    <xf numFmtId="4" fontId="1" fillId="8" borderId="6" xfId="0" applyNumberFormat="1" applyFont="1" applyFill="1" applyBorder="1" applyAlignment="1">
      <alignment vertical="center"/>
    </xf>
    <xf numFmtId="165" fontId="1" fillId="4" borderId="2" xfId="0" applyNumberFormat="1" applyFont="1" applyFill="1" applyBorder="1" applyAlignment="1">
      <alignment horizontal="center" vertical="center"/>
    </xf>
    <xf numFmtId="4" fontId="1" fillId="4" borderId="19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65" fontId="3" fillId="12" borderId="2" xfId="0" applyNumberFormat="1" applyFont="1" applyFill="1" applyBorder="1" applyAlignment="1">
      <alignment horizontal="center" vertical="center"/>
    </xf>
    <xf numFmtId="165" fontId="1" fillId="4" borderId="5" xfId="0" applyNumberFormat="1" applyFont="1" applyFill="1" applyBorder="1" applyAlignment="1">
      <alignment horizontal="center" vertical="center"/>
    </xf>
    <xf numFmtId="165" fontId="3" fillId="13" borderId="0" xfId="0" applyNumberFormat="1" applyFont="1" applyFill="1" applyBorder="1" applyAlignment="1">
      <alignment horizontal="center" vertical="center"/>
    </xf>
    <xf numFmtId="0" fontId="1" fillId="4" borderId="3" xfId="0" applyFont="1" applyFill="1" applyBorder="1"/>
    <xf numFmtId="0" fontId="1" fillId="4" borderId="3" xfId="0" applyFont="1" applyFill="1" applyBorder="1" applyAlignment="1"/>
    <xf numFmtId="0" fontId="1" fillId="4" borderId="3" xfId="0" applyFont="1" applyFill="1" applyBorder="1" applyAlignment="1">
      <alignment wrapText="1"/>
    </xf>
    <xf numFmtId="0" fontId="0" fillId="4" borderId="0" xfId="0" applyFill="1"/>
    <xf numFmtId="165" fontId="1" fillId="4" borderId="6" xfId="0" applyNumberFormat="1" applyFont="1" applyFill="1" applyBorder="1" applyAlignment="1">
      <alignment horizontal="center" vertical="center"/>
    </xf>
    <xf numFmtId="0" fontId="1" fillId="4" borderId="3" xfId="0" applyNumberFormat="1" applyFont="1" applyFill="1" applyBorder="1" applyAlignment="1" applyProtection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1" xfId="0" applyNumberFormat="1" applyFont="1" applyFill="1" applyBorder="1" applyAlignment="1" applyProtection="1">
      <alignment horizontal="center" vertical="center" wrapText="1"/>
    </xf>
    <xf numFmtId="0" fontId="1" fillId="0" borderId="11" xfId="0" applyNumberFormat="1" applyFont="1" applyFill="1" applyBorder="1" applyAlignment="1" applyProtection="1">
      <alignment horizontal="left" vertical="center" wrapText="1"/>
    </xf>
    <xf numFmtId="165" fontId="1" fillId="4" borderId="20" xfId="0" applyNumberFormat="1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left" vertical="center"/>
    </xf>
    <xf numFmtId="0" fontId="9" fillId="0" borderId="0" xfId="0" applyFont="1" applyAlignment="1">
      <alignment horizontal="center"/>
    </xf>
    <xf numFmtId="0" fontId="10" fillId="0" borderId="0" xfId="0" applyFont="1" applyBorder="1" applyAlignment="1">
      <alignment horizontal="center" wrapText="1"/>
    </xf>
    <xf numFmtId="0" fontId="12" fillId="0" borderId="0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2" fontId="7" fillId="0" borderId="6" xfId="0" applyNumberFormat="1" applyFont="1" applyBorder="1" applyAlignment="1">
      <alignment horizontal="center" vertical="center"/>
    </xf>
    <xf numFmtId="2" fontId="7" fillId="0" borderId="9" xfId="0" applyNumberFormat="1" applyFont="1" applyBorder="1" applyAlignment="1">
      <alignment horizontal="center" vertical="center"/>
    </xf>
    <xf numFmtId="2" fontId="7" fillId="0" borderId="10" xfId="0" applyNumberFormat="1" applyFont="1" applyBorder="1" applyAlignment="1">
      <alignment horizontal="center" vertical="center"/>
    </xf>
    <xf numFmtId="4" fontId="7" fillId="0" borderId="6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2" fontId="8" fillId="0" borderId="6" xfId="0" applyNumberFormat="1" applyFont="1" applyBorder="1" applyAlignment="1">
      <alignment horizontal="center" vertical="center"/>
    </xf>
    <xf numFmtId="2" fontId="8" fillId="0" borderId="9" xfId="0" applyNumberFormat="1" applyFont="1" applyBorder="1" applyAlignment="1">
      <alignment horizontal="center" vertical="center"/>
    </xf>
    <xf numFmtId="2" fontId="8" fillId="0" borderId="10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5" tint="-0.249977111117893"/>
  </sheetPr>
  <dimension ref="A1:U121"/>
  <sheetViews>
    <sheetView tabSelected="1" view="pageBreakPreview" topLeftCell="C1" zoomScaleNormal="75" zoomScaleSheetLayoutView="100" workbookViewId="0">
      <pane ySplit="7" topLeftCell="A98" activePane="bottomLeft" state="frozen"/>
      <selection activeCell="B1" sqref="B1"/>
      <selection pane="bottomLeft" activeCell="M106" sqref="M106"/>
    </sheetView>
  </sheetViews>
  <sheetFormatPr defaultRowHeight="12.75"/>
  <cols>
    <col min="1" max="1" width="14.42578125" style="30" customWidth="1"/>
    <col min="2" max="2" width="42.85546875" customWidth="1"/>
    <col min="3" max="3" width="9.140625" customWidth="1"/>
    <col min="4" max="4" width="22" customWidth="1"/>
    <col min="5" max="7" width="10.140625" customWidth="1"/>
    <col min="8" max="8" width="11.5703125" customWidth="1"/>
    <col min="9" max="12" width="9.85546875" customWidth="1"/>
    <col min="13" max="13" width="10.7109375" customWidth="1"/>
    <col min="14" max="14" width="9.85546875" customWidth="1"/>
    <col min="15" max="15" width="9.5703125" customWidth="1"/>
    <col min="16" max="16" width="9.85546875" customWidth="1"/>
    <col min="17" max="17" width="10" customWidth="1"/>
    <col min="18" max="18" width="9.5703125" customWidth="1"/>
    <col min="19" max="20" width="9.85546875" customWidth="1"/>
    <col min="21" max="21" width="12.28515625" customWidth="1"/>
  </cols>
  <sheetData>
    <row r="1" spans="1:21" ht="14.25" customHeight="1"/>
    <row r="3" spans="1:21" ht="18">
      <c r="A3" s="119"/>
      <c r="B3" s="179" t="s">
        <v>0</v>
      </c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30"/>
      <c r="N3" s="30"/>
      <c r="O3" s="30"/>
      <c r="P3" s="30"/>
      <c r="Q3" s="30"/>
      <c r="R3" s="30"/>
      <c r="S3" s="30"/>
      <c r="T3" s="30"/>
      <c r="U3" s="30"/>
    </row>
    <row r="4" spans="1:21" ht="34.5" customHeight="1">
      <c r="B4" s="180" t="s">
        <v>1</v>
      </c>
      <c r="C4" s="180"/>
      <c r="D4" s="180"/>
      <c r="E4" s="180"/>
      <c r="F4" s="180"/>
      <c r="G4" s="180"/>
      <c r="H4" s="180"/>
      <c r="I4" s="180"/>
      <c r="J4" s="180"/>
      <c r="K4" s="180"/>
      <c r="L4" s="180"/>
      <c r="M4" s="30"/>
      <c r="N4" s="30"/>
      <c r="O4" s="30"/>
      <c r="P4" s="30"/>
      <c r="Q4" s="30"/>
      <c r="R4" s="30"/>
      <c r="S4" s="30"/>
      <c r="T4" s="30"/>
      <c r="U4" s="30"/>
    </row>
    <row r="5" spans="1:21" ht="18">
      <c r="B5" s="180" t="s">
        <v>154</v>
      </c>
      <c r="C5" s="180"/>
      <c r="D5" s="180"/>
      <c r="E5" s="180"/>
      <c r="F5" s="180"/>
      <c r="G5" s="180"/>
      <c r="H5" s="180"/>
      <c r="I5" s="180"/>
      <c r="J5" s="180"/>
      <c r="K5" s="180"/>
      <c r="L5" s="180"/>
      <c r="M5" s="30"/>
      <c r="N5" s="30"/>
      <c r="O5" s="30"/>
      <c r="P5" s="30"/>
      <c r="Q5" s="30"/>
      <c r="R5" s="30"/>
      <c r="S5" s="30"/>
      <c r="T5" s="30"/>
      <c r="U5" s="30"/>
    </row>
    <row r="6" spans="1:21" ht="15">
      <c r="B6" s="181" t="s">
        <v>155</v>
      </c>
      <c r="C6" s="182"/>
      <c r="D6" s="182"/>
      <c r="E6" s="182"/>
      <c r="F6" s="182"/>
      <c r="G6" s="182"/>
      <c r="H6" s="182"/>
      <c r="I6" s="182"/>
      <c r="J6" s="182"/>
      <c r="K6" s="182"/>
      <c r="L6" s="182"/>
      <c r="M6" s="30"/>
      <c r="N6" s="30"/>
      <c r="O6" s="30"/>
      <c r="P6" s="30"/>
      <c r="Q6" s="30"/>
      <c r="R6" s="30"/>
      <c r="S6" s="30"/>
      <c r="T6" s="30"/>
      <c r="U6" s="30"/>
    </row>
    <row r="7" spans="1:21" ht="47.25" customHeight="1">
      <c r="A7" s="147" t="s">
        <v>2</v>
      </c>
      <c r="B7" s="148" t="s">
        <v>3</v>
      </c>
      <c r="C7" s="148" t="s">
        <v>4</v>
      </c>
      <c r="D7" s="148" t="s">
        <v>5</v>
      </c>
      <c r="E7" s="148" t="s">
        <v>6</v>
      </c>
      <c r="F7" s="148" t="s">
        <v>7</v>
      </c>
      <c r="G7" s="148" t="s">
        <v>8</v>
      </c>
      <c r="H7" s="149" t="s">
        <v>9</v>
      </c>
      <c r="I7" s="25" t="s">
        <v>86</v>
      </c>
      <c r="J7" s="25" t="s">
        <v>87</v>
      </c>
      <c r="K7" s="25" t="s">
        <v>88</v>
      </c>
      <c r="L7" s="25" t="s">
        <v>89</v>
      </c>
      <c r="M7" s="25" t="s">
        <v>229</v>
      </c>
      <c r="N7" s="25" t="s">
        <v>90</v>
      </c>
      <c r="O7" s="25" t="s">
        <v>91</v>
      </c>
      <c r="P7" s="25" t="s">
        <v>92</v>
      </c>
      <c r="Q7" s="25" t="s">
        <v>93</v>
      </c>
      <c r="R7" s="25" t="s">
        <v>94</v>
      </c>
      <c r="S7" s="25" t="s">
        <v>95</v>
      </c>
      <c r="T7" s="25" t="s">
        <v>96</v>
      </c>
      <c r="U7" s="25" t="s">
        <v>98</v>
      </c>
    </row>
    <row r="8" spans="1:21">
      <c r="A8" s="150">
        <v>1</v>
      </c>
      <c r="B8" s="8">
        <v>2</v>
      </c>
      <c r="C8" s="26">
        <v>3</v>
      </c>
      <c r="D8" s="8">
        <v>4</v>
      </c>
      <c r="E8" s="8">
        <v>5</v>
      </c>
      <c r="F8" s="26">
        <v>6</v>
      </c>
      <c r="G8" s="26">
        <v>7</v>
      </c>
      <c r="H8" s="27">
        <v>8</v>
      </c>
      <c r="I8" s="28">
        <v>9</v>
      </c>
      <c r="J8" s="28">
        <v>10</v>
      </c>
      <c r="K8" s="28">
        <v>11</v>
      </c>
      <c r="L8" s="28">
        <v>12</v>
      </c>
      <c r="M8" s="28">
        <v>13</v>
      </c>
      <c r="N8" s="28">
        <v>14</v>
      </c>
      <c r="O8" s="28">
        <v>15</v>
      </c>
      <c r="P8" s="28">
        <v>16</v>
      </c>
      <c r="Q8" s="28">
        <v>17</v>
      </c>
      <c r="R8" s="28">
        <v>18</v>
      </c>
      <c r="S8" s="28">
        <v>19</v>
      </c>
      <c r="T8" s="28">
        <v>20</v>
      </c>
      <c r="U8" s="28">
        <v>21</v>
      </c>
    </row>
    <row r="9" spans="1:21" ht="38.25">
      <c r="A9" s="150"/>
      <c r="B9" s="11" t="s">
        <v>10</v>
      </c>
      <c r="C9" s="26"/>
      <c r="D9" s="13"/>
      <c r="E9" s="13"/>
      <c r="F9" s="26"/>
      <c r="G9" s="26"/>
      <c r="H9" s="31"/>
      <c r="I9" s="32"/>
      <c r="J9" s="32"/>
      <c r="K9" s="32"/>
      <c r="L9" s="32"/>
      <c r="M9" s="33"/>
      <c r="N9" s="28"/>
      <c r="O9" s="28"/>
      <c r="P9" s="28"/>
      <c r="Q9" s="28"/>
      <c r="R9" s="28"/>
      <c r="S9" s="28"/>
      <c r="T9" s="28"/>
      <c r="U9" s="28"/>
    </row>
    <row r="10" spans="1:21">
      <c r="A10" s="26"/>
      <c r="B10" s="11" t="s">
        <v>156</v>
      </c>
      <c r="C10" s="26"/>
      <c r="D10" s="13"/>
      <c r="E10" s="13"/>
      <c r="F10" s="26"/>
      <c r="G10" s="26"/>
      <c r="H10" s="31"/>
      <c r="I10" s="32"/>
      <c r="J10" s="32"/>
      <c r="K10" s="32"/>
      <c r="L10" s="32"/>
      <c r="M10" s="160"/>
      <c r="N10" s="121"/>
      <c r="O10" s="121"/>
      <c r="P10" s="121"/>
      <c r="Q10" s="121"/>
      <c r="R10" s="121"/>
      <c r="S10" s="121"/>
      <c r="T10" s="121"/>
      <c r="U10" s="121"/>
    </row>
    <row r="11" spans="1:21" ht="25.5">
      <c r="A11" s="26" t="s">
        <v>174</v>
      </c>
      <c r="B11" s="13" t="s">
        <v>157</v>
      </c>
      <c r="C11" s="26" t="s">
        <v>11</v>
      </c>
      <c r="D11" s="13" t="s">
        <v>158</v>
      </c>
      <c r="E11" s="35">
        <v>92.5</v>
      </c>
      <c r="F11" s="36">
        <f>SUM(E11*156/100)</f>
        <v>144.30000000000001</v>
      </c>
      <c r="G11" s="36">
        <v>175.38</v>
      </c>
      <c r="H11" s="161">
        <f t="shared" ref="H11:H19" si="0">SUM(F11*G11/1000)</f>
        <v>25.307334000000001</v>
      </c>
      <c r="I11" s="29">
        <f>F11/12*G11</f>
        <v>2108.9445000000001</v>
      </c>
      <c r="J11" s="29">
        <f>F11/12*G11</f>
        <v>2108.9445000000001</v>
      </c>
      <c r="K11" s="29">
        <f>F11/12*G11</f>
        <v>2108.9445000000001</v>
      </c>
      <c r="L11" s="29">
        <f>F11/12*G11</f>
        <v>2108.9445000000001</v>
      </c>
      <c r="M11" s="29">
        <f>F11/12*G11</f>
        <v>2108.9445000000001</v>
      </c>
      <c r="N11" s="29">
        <f>F11/12*G11</f>
        <v>2108.9445000000001</v>
      </c>
      <c r="O11" s="29">
        <f>F11/12*G11</f>
        <v>2108.9445000000001</v>
      </c>
      <c r="P11" s="29">
        <f>F11/12*G11</f>
        <v>2108.9445000000001</v>
      </c>
      <c r="Q11" s="29">
        <f>F11/12*G11</f>
        <v>2108.9445000000001</v>
      </c>
      <c r="R11" s="29">
        <f>F11/12*G11</f>
        <v>2108.9445000000001</v>
      </c>
      <c r="S11" s="29">
        <f>F11/12*G11</f>
        <v>2108.9445000000001</v>
      </c>
      <c r="T11" s="29">
        <f>F11/12*G11</f>
        <v>2108.9445000000001</v>
      </c>
      <c r="U11" s="29">
        <f>SUM(I11:T11)</f>
        <v>25307.334000000006</v>
      </c>
    </row>
    <row r="12" spans="1:21" ht="25.5">
      <c r="A12" s="26" t="s">
        <v>174</v>
      </c>
      <c r="B12" s="13" t="s">
        <v>159</v>
      </c>
      <c r="C12" s="26" t="s">
        <v>11</v>
      </c>
      <c r="D12" s="13" t="s">
        <v>160</v>
      </c>
      <c r="E12" s="35">
        <v>288.8</v>
      </c>
      <c r="F12" s="36">
        <f>SUM(E12*104/100)</f>
        <v>300.35200000000003</v>
      </c>
      <c r="G12" s="36">
        <v>175.38</v>
      </c>
      <c r="H12" s="161">
        <f t="shared" si="0"/>
        <v>52.67573376</v>
      </c>
      <c r="I12" s="29">
        <f>F12/12*G12</f>
        <v>4389.6444800000008</v>
      </c>
      <c r="J12" s="29">
        <f>F12/12*G12</f>
        <v>4389.6444800000008</v>
      </c>
      <c r="K12" s="29">
        <f>F12/12*G12</f>
        <v>4389.6444800000008</v>
      </c>
      <c r="L12" s="29">
        <f>F12/12*G12</f>
        <v>4389.6444800000008</v>
      </c>
      <c r="M12" s="29">
        <f>F12/12*G12</f>
        <v>4389.6444800000008</v>
      </c>
      <c r="N12" s="29">
        <f>F12/12*G12</f>
        <v>4389.6444800000008</v>
      </c>
      <c r="O12" s="29">
        <f>F12/12*G12</f>
        <v>4389.6444800000008</v>
      </c>
      <c r="P12" s="29">
        <f>F12/12*G12</f>
        <v>4389.6444800000008</v>
      </c>
      <c r="Q12" s="29">
        <f>F12/12*G12</f>
        <v>4389.6444800000008</v>
      </c>
      <c r="R12" s="29">
        <f>F12/12*G12</f>
        <v>4389.6444800000008</v>
      </c>
      <c r="S12" s="29">
        <f>F12/12*G12</f>
        <v>4389.6444800000008</v>
      </c>
      <c r="T12" s="29">
        <f>F12/12*G12</f>
        <v>4389.6444800000008</v>
      </c>
      <c r="U12" s="29">
        <f t="shared" ref="U12:U19" si="1">SUM(I12:T12)</f>
        <v>52675.733760000025</v>
      </c>
    </row>
    <row r="13" spans="1:21" ht="25.5">
      <c r="A13" s="26" t="s">
        <v>175</v>
      </c>
      <c r="B13" s="13" t="s">
        <v>161</v>
      </c>
      <c r="C13" s="26" t="s">
        <v>11</v>
      </c>
      <c r="D13" s="13" t="s">
        <v>162</v>
      </c>
      <c r="E13" s="35">
        <f>SUM(E11+E12)</f>
        <v>381.3</v>
      </c>
      <c r="F13" s="36">
        <f>SUM(E13*12/100)</f>
        <v>45.756</v>
      </c>
      <c r="G13" s="36">
        <v>504.5</v>
      </c>
      <c r="H13" s="161">
        <f t="shared" si="0"/>
        <v>23.083902000000002</v>
      </c>
      <c r="I13" s="29">
        <f>F13/12*G13</f>
        <v>1923.6585</v>
      </c>
      <c r="J13" s="29">
        <f>F13/12*G13</f>
        <v>1923.6585</v>
      </c>
      <c r="K13" s="29">
        <f>F13/12*G13</f>
        <v>1923.6585</v>
      </c>
      <c r="L13" s="29">
        <f>F13/12*G13</f>
        <v>1923.6585</v>
      </c>
      <c r="M13" s="29">
        <f>F13/12*G13</f>
        <v>1923.6585</v>
      </c>
      <c r="N13" s="29">
        <f>F13/12*G13</f>
        <v>1923.6585</v>
      </c>
      <c r="O13" s="29">
        <f>F13/12*G13</f>
        <v>1923.6585</v>
      </c>
      <c r="P13" s="29">
        <f>F13/12*G13</f>
        <v>1923.6585</v>
      </c>
      <c r="Q13" s="29">
        <f>F13/12*G13</f>
        <v>1923.6585</v>
      </c>
      <c r="R13" s="29">
        <f>F13/12*G13</f>
        <v>1923.6585</v>
      </c>
      <c r="S13" s="29">
        <f>F13/12*G13</f>
        <v>1923.6585</v>
      </c>
      <c r="T13" s="29">
        <f>F13/12*G13</f>
        <v>1923.6585</v>
      </c>
      <c r="U13" s="29">
        <f t="shared" si="1"/>
        <v>23083.902000000002</v>
      </c>
    </row>
    <row r="14" spans="1:21">
      <c r="A14" s="26" t="s">
        <v>181</v>
      </c>
      <c r="B14" s="13" t="s">
        <v>163</v>
      </c>
      <c r="C14" s="26" t="s">
        <v>164</v>
      </c>
      <c r="D14" s="13" t="s">
        <v>165</v>
      </c>
      <c r="E14" s="35">
        <v>19.2</v>
      </c>
      <c r="F14" s="36">
        <f>SUM(E14/10)</f>
        <v>1.92</v>
      </c>
      <c r="G14" s="36">
        <v>170.16</v>
      </c>
      <c r="H14" s="161">
        <f t="shared" si="0"/>
        <v>0.32670719999999998</v>
      </c>
      <c r="I14" s="29">
        <v>0</v>
      </c>
      <c r="J14" s="29">
        <v>0</v>
      </c>
      <c r="K14" s="29">
        <v>0</v>
      </c>
      <c r="L14" s="29">
        <v>0</v>
      </c>
      <c r="M14" s="29">
        <f>F14*G14</f>
        <v>326.7072</v>
      </c>
      <c r="N14" s="29">
        <v>0</v>
      </c>
      <c r="O14" s="29">
        <v>0</v>
      </c>
      <c r="P14" s="29">
        <v>0</v>
      </c>
      <c r="Q14" s="29">
        <v>0</v>
      </c>
      <c r="R14" s="29">
        <v>0</v>
      </c>
      <c r="S14" s="29">
        <v>0</v>
      </c>
      <c r="T14" s="29">
        <v>0</v>
      </c>
      <c r="U14" s="29">
        <f t="shared" si="1"/>
        <v>326.7072</v>
      </c>
    </row>
    <row r="15" spans="1:21">
      <c r="A15" s="26" t="s">
        <v>176</v>
      </c>
      <c r="B15" s="13" t="s">
        <v>166</v>
      </c>
      <c r="C15" s="26" t="s">
        <v>11</v>
      </c>
      <c r="D15" s="13" t="s">
        <v>167</v>
      </c>
      <c r="E15" s="35">
        <v>27.3</v>
      </c>
      <c r="F15" s="36">
        <f>SUM(E15*12/100)</f>
        <v>3.2760000000000002</v>
      </c>
      <c r="G15" s="36">
        <v>217.88</v>
      </c>
      <c r="H15" s="161">
        <f t="shared" si="0"/>
        <v>0.71377488</v>
      </c>
      <c r="I15" s="29">
        <f>F15/12*G15</f>
        <v>59.48124</v>
      </c>
      <c r="J15" s="29">
        <f>F15/12*G15</f>
        <v>59.48124</v>
      </c>
      <c r="K15" s="29">
        <f>F15/12*G15</f>
        <v>59.48124</v>
      </c>
      <c r="L15" s="29">
        <f>F15/12*G15</f>
        <v>59.48124</v>
      </c>
      <c r="M15" s="29">
        <f>F15/12*G15</f>
        <v>59.48124</v>
      </c>
      <c r="N15" s="29">
        <f>F15/12*G15</f>
        <v>59.48124</v>
      </c>
      <c r="O15" s="29">
        <f>F15/12*G15</f>
        <v>59.48124</v>
      </c>
      <c r="P15" s="29">
        <f>F15/12*G15</f>
        <v>59.48124</v>
      </c>
      <c r="Q15" s="29">
        <f>F15/12*G15</f>
        <v>59.48124</v>
      </c>
      <c r="R15" s="29">
        <f>F15/12*G15</f>
        <v>59.48124</v>
      </c>
      <c r="S15" s="29">
        <f>F15/12*G15</f>
        <v>59.48124</v>
      </c>
      <c r="T15" s="29">
        <f>F15/12*G15</f>
        <v>59.48124</v>
      </c>
      <c r="U15" s="29">
        <f t="shared" si="1"/>
        <v>713.77487999999994</v>
      </c>
    </row>
    <row r="16" spans="1:21">
      <c r="A16" s="26" t="s">
        <v>177</v>
      </c>
      <c r="B16" s="13" t="s">
        <v>168</v>
      </c>
      <c r="C16" s="26" t="s">
        <v>11</v>
      </c>
      <c r="D16" s="13" t="s">
        <v>167</v>
      </c>
      <c r="E16" s="35">
        <v>9.08</v>
      </c>
      <c r="F16" s="36">
        <f>SUM(E16*12/100)</f>
        <v>1.0896000000000001</v>
      </c>
      <c r="G16" s="36">
        <v>216.12</v>
      </c>
      <c r="H16" s="161">
        <f t="shared" si="0"/>
        <v>0.23548435200000004</v>
      </c>
      <c r="I16" s="29">
        <f>F16/12*G16</f>
        <v>19.623696000000002</v>
      </c>
      <c r="J16" s="29">
        <f>F16/12*G16</f>
        <v>19.623696000000002</v>
      </c>
      <c r="K16" s="29">
        <f>F16/12*G16</f>
        <v>19.623696000000002</v>
      </c>
      <c r="L16" s="29">
        <f>F16/12*G16</f>
        <v>19.623696000000002</v>
      </c>
      <c r="M16" s="29">
        <f>F16/12*G16</f>
        <v>19.623696000000002</v>
      </c>
      <c r="N16" s="29">
        <f>F16/12*G16</f>
        <v>19.623696000000002</v>
      </c>
      <c r="O16" s="29">
        <f>F16/12*G16</f>
        <v>19.623696000000002</v>
      </c>
      <c r="P16" s="29">
        <f>F16/12*G16</f>
        <v>19.623696000000002</v>
      </c>
      <c r="Q16" s="29">
        <f>F16/12*G16</f>
        <v>19.623696000000002</v>
      </c>
      <c r="R16" s="29">
        <f>F16/12*G16</f>
        <v>19.623696000000002</v>
      </c>
      <c r="S16" s="29">
        <f>F16/12*G16</f>
        <v>19.623696000000002</v>
      </c>
      <c r="T16" s="29">
        <f>F16/12*G16</f>
        <v>19.623696000000002</v>
      </c>
      <c r="U16" s="29">
        <f t="shared" si="1"/>
        <v>235.48435199999997</v>
      </c>
    </row>
    <row r="17" spans="1:21">
      <c r="A17" s="26" t="s">
        <v>178</v>
      </c>
      <c r="B17" s="13" t="s">
        <v>169</v>
      </c>
      <c r="C17" s="26" t="s">
        <v>170</v>
      </c>
      <c r="D17" s="13" t="s">
        <v>165</v>
      </c>
      <c r="E17" s="162">
        <v>12.6</v>
      </c>
      <c r="F17" s="36">
        <f>SUM(E17/100)</f>
        <v>0.126</v>
      </c>
      <c r="G17" s="36">
        <v>44.29</v>
      </c>
      <c r="H17" s="161">
        <f t="shared" si="0"/>
        <v>5.5805400000000002E-3</v>
      </c>
      <c r="I17" s="29">
        <v>0</v>
      </c>
      <c r="J17" s="29">
        <v>0</v>
      </c>
      <c r="K17" s="29">
        <v>0</v>
      </c>
      <c r="L17" s="29">
        <v>0</v>
      </c>
      <c r="M17" s="29">
        <f>F17*G17</f>
        <v>5.5805400000000001</v>
      </c>
      <c r="N17" s="29">
        <v>0</v>
      </c>
      <c r="O17" s="29">
        <v>0</v>
      </c>
      <c r="P17" s="29">
        <v>0</v>
      </c>
      <c r="Q17" s="29">
        <v>0</v>
      </c>
      <c r="R17" s="29">
        <v>0</v>
      </c>
      <c r="S17" s="29">
        <v>0</v>
      </c>
      <c r="T17" s="29">
        <v>0</v>
      </c>
      <c r="U17" s="29">
        <f t="shared" si="1"/>
        <v>5.5805400000000001</v>
      </c>
    </row>
    <row r="18" spans="1:21">
      <c r="A18" s="26" t="s">
        <v>179</v>
      </c>
      <c r="B18" s="13" t="s">
        <v>171</v>
      </c>
      <c r="C18" s="26" t="s">
        <v>170</v>
      </c>
      <c r="D18" s="13" t="s">
        <v>172</v>
      </c>
      <c r="E18" s="35">
        <v>20</v>
      </c>
      <c r="F18" s="36">
        <f>E18*12/100</f>
        <v>2.4</v>
      </c>
      <c r="G18" s="36">
        <v>389.72</v>
      </c>
      <c r="H18" s="161">
        <f t="shared" si="0"/>
        <v>0.93532799999999994</v>
      </c>
      <c r="I18" s="29">
        <f>F18/12*G18</f>
        <v>77.944000000000003</v>
      </c>
      <c r="J18" s="29">
        <f>F18/12*G18</f>
        <v>77.944000000000003</v>
      </c>
      <c r="K18" s="29">
        <f>F18/12*G18</f>
        <v>77.944000000000003</v>
      </c>
      <c r="L18" s="29">
        <f>F18/12*G18</f>
        <v>77.944000000000003</v>
      </c>
      <c r="M18" s="29">
        <f>F18/12*G18</f>
        <v>77.944000000000003</v>
      </c>
      <c r="N18" s="29">
        <f>F18/12*G18</f>
        <v>77.944000000000003</v>
      </c>
      <c r="O18" s="29">
        <f>F18/12*G18</f>
        <v>77.944000000000003</v>
      </c>
      <c r="P18" s="29">
        <f>F18/12*G18</f>
        <v>77.944000000000003</v>
      </c>
      <c r="Q18" s="29">
        <f>F18/12*G18</f>
        <v>77.944000000000003</v>
      </c>
      <c r="R18" s="29">
        <f>F18/12*G18</f>
        <v>77.944000000000003</v>
      </c>
      <c r="S18" s="29">
        <f>F18/12*G18</f>
        <v>77.944000000000003</v>
      </c>
      <c r="T18" s="29">
        <f>F18/12*G18</f>
        <v>77.944000000000003</v>
      </c>
      <c r="U18" s="29">
        <f t="shared" si="1"/>
        <v>935.32799999999986</v>
      </c>
    </row>
    <row r="19" spans="1:21">
      <c r="A19" s="26" t="s">
        <v>180</v>
      </c>
      <c r="B19" s="13" t="s">
        <v>173</v>
      </c>
      <c r="C19" s="26" t="s">
        <v>170</v>
      </c>
      <c r="D19" s="13" t="s">
        <v>165</v>
      </c>
      <c r="E19" s="35">
        <v>17</v>
      </c>
      <c r="F19" s="36">
        <f>SUM(E19/100)</f>
        <v>0.17</v>
      </c>
      <c r="G19" s="36">
        <v>520.79999999999995</v>
      </c>
      <c r="H19" s="161">
        <f t="shared" si="0"/>
        <v>8.8536000000000004E-2</v>
      </c>
      <c r="I19" s="29">
        <v>0</v>
      </c>
      <c r="J19" s="29">
        <v>0</v>
      </c>
      <c r="K19" s="29">
        <v>0</v>
      </c>
      <c r="L19" s="29">
        <v>0</v>
      </c>
      <c r="M19" s="29">
        <f>F19*G19</f>
        <v>88.536000000000001</v>
      </c>
      <c r="N19" s="29">
        <v>0</v>
      </c>
      <c r="O19" s="29">
        <v>0</v>
      </c>
      <c r="P19" s="29">
        <v>0</v>
      </c>
      <c r="Q19" s="29">
        <v>0</v>
      </c>
      <c r="R19" s="29">
        <v>0</v>
      </c>
      <c r="S19" s="29">
        <v>0</v>
      </c>
      <c r="T19" s="29">
        <v>0</v>
      </c>
      <c r="U19" s="29">
        <f t="shared" si="1"/>
        <v>88.536000000000001</v>
      </c>
    </row>
    <row r="20" spans="1:21" s="9" customFormat="1">
      <c r="A20" s="163"/>
      <c r="B20" s="14" t="s">
        <v>12</v>
      </c>
      <c r="C20" s="41"/>
      <c r="D20" s="14"/>
      <c r="E20" s="42"/>
      <c r="F20" s="43"/>
      <c r="G20" s="43"/>
      <c r="H20" s="164">
        <f>SUM(H11:H19)</f>
        <v>103.37238073200001</v>
      </c>
      <c r="I20" s="111"/>
      <c r="J20" s="111"/>
      <c r="K20" s="111"/>
      <c r="L20" s="111"/>
      <c r="M20" s="120"/>
      <c r="N20" s="120"/>
      <c r="O20" s="120"/>
      <c r="P20" s="120"/>
      <c r="Q20" s="120"/>
      <c r="R20" s="120"/>
      <c r="S20" s="120"/>
      <c r="T20" s="120"/>
      <c r="U20" s="77">
        <f>SUM(U11:U19)</f>
        <v>103372.38073200002</v>
      </c>
    </row>
    <row r="21" spans="1:21">
      <c r="A21" s="150"/>
      <c r="B21" s="12" t="s">
        <v>13</v>
      </c>
      <c r="C21" s="26"/>
      <c r="D21" s="34"/>
      <c r="E21" s="35"/>
      <c r="F21" s="36"/>
      <c r="G21" s="36"/>
      <c r="H21" s="37"/>
      <c r="I21" s="33"/>
      <c r="J21" s="33"/>
      <c r="K21" s="33"/>
      <c r="L21" s="33"/>
      <c r="M21" s="33"/>
      <c r="N21" s="28"/>
      <c r="O21" s="28"/>
      <c r="P21" s="28"/>
      <c r="Q21" s="28"/>
      <c r="R21" s="28"/>
      <c r="S21" s="28"/>
      <c r="T21" s="28"/>
      <c r="U21" s="28"/>
    </row>
    <row r="22" spans="1:21" ht="30" customHeight="1">
      <c r="A22" s="150" t="s">
        <v>125</v>
      </c>
      <c r="B22" s="13" t="s">
        <v>112</v>
      </c>
      <c r="C22" s="26" t="s">
        <v>15</v>
      </c>
      <c r="D22" s="13" t="s">
        <v>14</v>
      </c>
      <c r="E22" s="36">
        <v>561.6</v>
      </c>
      <c r="F22" s="36">
        <f>SUM(E22*52/1000)</f>
        <v>29.203200000000002</v>
      </c>
      <c r="G22" s="36">
        <v>155.88999999999999</v>
      </c>
      <c r="H22" s="161">
        <f t="shared" ref="H22:H29" si="2">SUM(F22*G22/1000)</f>
        <v>4.5524868479999991</v>
      </c>
      <c r="I22" s="29">
        <v>0</v>
      </c>
      <c r="J22" s="29">
        <v>0</v>
      </c>
      <c r="K22" s="29">
        <v>0</v>
      </c>
      <c r="L22" s="29">
        <v>0</v>
      </c>
      <c r="M22" s="29">
        <f>F22/6*G22</f>
        <v>758.74780799999996</v>
      </c>
      <c r="N22" s="29">
        <f>F22/6*G22</f>
        <v>758.74780799999996</v>
      </c>
      <c r="O22" s="29">
        <f>F22/6*G22</f>
        <v>758.74780799999996</v>
      </c>
      <c r="P22" s="29">
        <f>F22/6*G22</f>
        <v>758.74780799999996</v>
      </c>
      <c r="Q22" s="29">
        <f>F22/6*G22</f>
        <v>758.74780799999996</v>
      </c>
      <c r="R22" s="29">
        <f>F22/6*G22</f>
        <v>758.74780799999996</v>
      </c>
      <c r="S22" s="29">
        <v>0</v>
      </c>
      <c r="T22" s="29">
        <v>0</v>
      </c>
      <c r="U22" s="29">
        <f>SUM(I22:T22)</f>
        <v>4552.4868479999996</v>
      </c>
    </row>
    <row r="23" spans="1:21" ht="38.25" customHeight="1">
      <c r="A23" s="150" t="s">
        <v>126</v>
      </c>
      <c r="B23" s="13" t="s">
        <v>113</v>
      </c>
      <c r="C23" s="26" t="s">
        <v>15</v>
      </c>
      <c r="D23" s="13" t="s">
        <v>16</v>
      </c>
      <c r="E23" s="36">
        <v>205.7</v>
      </c>
      <c r="F23" s="36">
        <f>SUM(E23*78/1000)</f>
        <v>16.044599999999999</v>
      </c>
      <c r="G23" s="36">
        <v>258.63</v>
      </c>
      <c r="H23" s="161">
        <f t="shared" si="2"/>
        <v>4.1496148979999994</v>
      </c>
      <c r="I23" s="29">
        <v>0</v>
      </c>
      <c r="J23" s="29">
        <v>0</v>
      </c>
      <c r="K23" s="29">
        <v>0</v>
      </c>
      <c r="L23" s="29">
        <v>0</v>
      </c>
      <c r="M23" s="29">
        <f>F23/6*G23</f>
        <v>691.60248299999989</v>
      </c>
      <c r="N23" s="29">
        <f>F23/6*G23</f>
        <v>691.60248299999989</v>
      </c>
      <c r="O23" s="29">
        <f>F23/6*G23</f>
        <v>691.60248299999989</v>
      </c>
      <c r="P23" s="29">
        <f>F23/6*G23</f>
        <v>691.60248299999989</v>
      </c>
      <c r="Q23" s="29">
        <f>F23/6*G23</f>
        <v>691.60248299999989</v>
      </c>
      <c r="R23" s="29">
        <f>F23/6*G23</f>
        <v>691.60248299999989</v>
      </c>
      <c r="S23" s="29">
        <v>0</v>
      </c>
      <c r="T23" s="29">
        <v>0</v>
      </c>
      <c r="U23" s="29">
        <f t="shared" ref="U23:U29" si="3">SUM(I23:T23)</f>
        <v>4149.6148979999989</v>
      </c>
    </row>
    <row r="24" spans="1:21">
      <c r="A24" s="150" t="s">
        <v>127</v>
      </c>
      <c r="B24" s="13" t="s">
        <v>17</v>
      </c>
      <c r="C24" s="26" t="s">
        <v>15</v>
      </c>
      <c r="D24" s="13" t="s">
        <v>18</v>
      </c>
      <c r="E24" s="36">
        <v>561.6</v>
      </c>
      <c r="F24" s="36">
        <f>SUM(E24/1000)</f>
        <v>0.56159999999999999</v>
      </c>
      <c r="G24" s="36">
        <v>3020.33</v>
      </c>
      <c r="H24" s="161">
        <f t="shared" si="2"/>
        <v>1.6962173279999999</v>
      </c>
      <c r="I24" s="29">
        <v>0</v>
      </c>
      <c r="J24" s="29">
        <v>0</v>
      </c>
      <c r="K24" s="29">
        <v>0</v>
      </c>
      <c r="L24" s="29">
        <v>0</v>
      </c>
      <c r="M24" s="29">
        <f>F24*G24</f>
        <v>1696.217328</v>
      </c>
      <c r="N24" s="29">
        <v>0</v>
      </c>
      <c r="O24" s="29">
        <v>0</v>
      </c>
      <c r="P24" s="29">
        <v>0</v>
      </c>
      <c r="Q24" s="29">
        <v>0</v>
      </c>
      <c r="R24" s="29">
        <v>0</v>
      </c>
      <c r="S24" s="29">
        <v>0</v>
      </c>
      <c r="T24" s="29">
        <v>0</v>
      </c>
      <c r="U24" s="29">
        <f t="shared" si="3"/>
        <v>1696.217328</v>
      </c>
    </row>
    <row r="25" spans="1:21">
      <c r="A25" s="150" t="s">
        <v>128</v>
      </c>
      <c r="B25" s="13" t="s">
        <v>19</v>
      </c>
      <c r="C25" s="26" t="s">
        <v>20</v>
      </c>
      <c r="D25" s="13" t="s">
        <v>21</v>
      </c>
      <c r="E25" s="38">
        <v>0.33333333333333331</v>
      </c>
      <c r="F25" s="36">
        <f>155/3</f>
        <v>51.666666666666664</v>
      </c>
      <c r="G25" s="36">
        <v>56.69</v>
      </c>
      <c r="H25" s="161">
        <f>SUM(G25*155/3/1000)</f>
        <v>2.9289833333333331</v>
      </c>
      <c r="I25" s="29">
        <v>0</v>
      </c>
      <c r="J25" s="29">
        <v>0</v>
      </c>
      <c r="K25" s="29">
        <v>0</v>
      </c>
      <c r="L25" s="29">
        <v>0</v>
      </c>
      <c r="M25" s="29">
        <f>F25/6*G25</f>
        <v>488.16388888888883</v>
      </c>
      <c r="N25" s="29">
        <f>F25/6*G25</f>
        <v>488.16388888888883</v>
      </c>
      <c r="O25" s="29">
        <f>F25/6*G25</f>
        <v>488.16388888888883</v>
      </c>
      <c r="P25" s="29">
        <f>F25/6*G25</f>
        <v>488.16388888888883</v>
      </c>
      <c r="Q25" s="29">
        <f>F25/6*G25</f>
        <v>488.16388888888883</v>
      </c>
      <c r="R25" s="29">
        <f>F25/6*G25</f>
        <v>488.16388888888883</v>
      </c>
      <c r="S25" s="29">
        <v>0</v>
      </c>
      <c r="T25" s="29">
        <v>0</v>
      </c>
      <c r="U25" s="29">
        <f t="shared" si="3"/>
        <v>2928.9833333333331</v>
      </c>
    </row>
    <row r="26" spans="1:21" ht="12.75" customHeight="1">
      <c r="A26" s="150" t="s">
        <v>129</v>
      </c>
      <c r="B26" s="13" t="s">
        <v>22</v>
      </c>
      <c r="C26" s="26" t="s">
        <v>23</v>
      </c>
      <c r="D26" s="13" t="s">
        <v>24</v>
      </c>
      <c r="E26" s="39">
        <v>0.1</v>
      </c>
      <c r="F26" s="36">
        <f>SUM(E26*365)</f>
        <v>36.5</v>
      </c>
      <c r="G26" s="36">
        <v>147.03</v>
      </c>
      <c r="H26" s="161">
        <f t="shared" si="2"/>
        <v>5.3665950000000002</v>
      </c>
      <c r="I26" s="29">
        <f>F26/12*G26</f>
        <v>447.21625</v>
      </c>
      <c r="J26" s="29">
        <f>F26/12*G26</f>
        <v>447.21625</v>
      </c>
      <c r="K26" s="29">
        <f>F26/12*G26</f>
        <v>447.21625</v>
      </c>
      <c r="L26" s="29">
        <f>F26/12*G26</f>
        <v>447.21625</v>
      </c>
      <c r="M26" s="29">
        <f>F26/12*G26</f>
        <v>447.21625</v>
      </c>
      <c r="N26" s="29">
        <f>F26/12*G26</f>
        <v>447.21625</v>
      </c>
      <c r="O26" s="29">
        <f>F26/12*G26</f>
        <v>447.21625</v>
      </c>
      <c r="P26" s="29">
        <f>F26/12*G26</f>
        <v>447.21625</v>
      </c>
      <c r="Q26" s="29">
        <f>F26/12*G26</f>
        <v>447.21625</v>
      </c>
      <c r="R26" s="29">
        <f>F26/12*G26</f>
        <v>447.21625</v>
      </c>
      <c r="S26" s="29">
        <f>F26/12*G26</f>
        <v>447.21625</v>
      </c>
      <c r="T26" s="29">
        <f>F26/12*G26</f>
        <v>447.21625</v>
      </c>
      <c r="U26" s="29">
        <f t="shared" si="3"/>
        <v>5366.5950000000012</v>
      </c>
    </row>
    <row r="27" spans="1:21" ht="12.75" customHeight="1">
      <c r="A27" s="150" t="s">
        <v>130</v>
      </c>
      <c r="B27" s="13" t="s">
        <v>114</v>
      </c>
      <c r="C27" s="26" t="s">
        <v>23</v>
      </c>
      <c r="D27" s="13" t="s">
        <v>25</v>
      </c>
      <c r="E27" s="35"/>
      <c r="F27" s="36">
        <v>2</v>
      </c>
      <c r="G27" s="36">
        <v>191.32</v>
      </c>
      <c r="H27" s="161">
        <f t="shared" si="2"/>
        <v>0.38263999999999998</v>
      </c>
      <c r="I27" s="29">
        <v>0</v>
      </c>
      <c r="J27" s="29">
        <v>0</v>
      </c>
      <c r="K27" s="29">
        <v>0</v>
      </c>
      <c r="L27" s="29">
        <v>0</v>
      </c>
      <c r="M27" s="29">
        <v>0</v>
      </c>
      <c r="N27" s="29">
        <v>0</v>
      </c>
      <c r="O27" s="29">
        <v>0</v>
      </c>
      <c r="P27" s="29">
        <v>0</v>
      </c>
      <c r="Q27" s="29">
        <v>0</v>
      </c>
      <c r="R27" s="29">
        <v>0</v>
      </c>
      <c r="S27" s="29">
        <v>0</v>
      </c>
      <c r="T27" s="29">
        <v>0</v>
      </c>
      <c r="U27" s="29">
        <f t="shared" si="3"/>
        <v>0</v>
      </c>
    </row>
    <row r="28" spans="1:21" ht="12.75" customHeight="1">
      <c r="A28" s="150" t="s">
        <v>102</v>
      </c>
      <c r="B28" s="13" t="s">
        <v>115</v>
      </c>
      <c r="C28" s="26" t="s">
        <v>26</v>
      </c>
      <c r="D28" s="13" t="s">
        <v>25</v>
      </c>
      <c r="E28" s="35"/>
      <c r="F28" s="36">
        <v>1</v>
      </c>
      <c r="G28" s="36">
        <v>1136.33</v>
      </c>
      <c r="H28" s="161">
        <f t="shared" si="2"/>
        <v>1.1363299999999998</v>
      </c>
      <c r="I28" s="29">
        <v>0</v>
      </c>
      <c r="J28" s="29">
        <v>0</v>
      </c>
      <c r="K28" s="29">
        <v>0</v>
      </c>
      <c r="L28" s="29">
        <v>0</v>
      </c>
      <c r="M28" s="29">
        <v>0</v>
      </c>
      <c r="N28" s="29">
        <v>0</v>
      </c>
      <c r="O28" s="29">
        <v>0</v>
      </c>
      <c r="P28" s="29">
        <v>0</v>
      </c>
      <c r="Q28" s="29">
        <v>0</v>
      </c>
      <c r="R28" s="29">
        <v>0</v>
      </c>
      <c r="S28" s="29">
        <v>0</v>
      </c>
      <c r="T28" s="29">
        <v>0</v>
      </c>
      <c r="U28" s="29">
        <f t="shared" si="3"/>
        <v>0</v>
      </c>
    </row>
    <row r="29" spans="1:21">
      <c r="A29" s="150"/>
      <c r="B29" s="40" t="s">
        <v>27</v>
      </c>
      <c r="C29" s="26" t="s">
        <v>28</v>
      </c>
      <c r="D29" s="40" t="s">
        <v>29</v>
      </c>
      <c r="E29" s="35">
        <v>3053.4</v>
      </c>
      <c r="F29" s="36">
        <f>SUM(E29*12)</f>
        <v>36640.800000000003</v>
      </c>
      <c r="G29" s="36">
        <v>4.55</v>
      </c>
      <c r="H29" s="161">
        <f t="shared" si="2"/>
        <v>166.71564000000001</v>
      </c>
      <c r="I29" s="29">
        <f>F29/12*G29</f>
        <v>13892.97</v>
      </c>
      <c r="J29" s="29">
        <f>F29/12*G29</f>
        <v>13892.97</v>
      </c>
      <c r="K29" s="29">
        <f>F29/12*G29</f>
        <v>13892.97</v>
      </c>
      <c r="L29" s="29">
        <f>F29/12*G29</f>
        <v>13892.97</v>
      </c>
      <c r="M29" s="29">
        <f>F29/12*G29</f>
        <v>13892.97</v>
      </c>
      <c r="N29" s="29">
        <f>F29/12*G29</f>
        <v>13892.97</v>
      </c>
      <c r="O29" s="29">
        <f>F29/12*G29</f>
        <v>13892.97</v>
      </c>
      <c r="P29" s="29">
        <f>F29/12*G29</f>
        <v>13892.97</v>
      </c>
      <c r="Q29" s="29">
        <f>F29/12*G29</f>
        <v>13892.97</v>
      </c>
      <c r="R29" s="29">
        <f>F29/12*G29</f>
        <v>13892.97</v>
      </c>
      <c r="S29" s="29">
        <f>F29/12*G29</f>
        <v>13892.97</v>
      </c>
      <c r="T29" s="29">
        <f>F29/12*G29</f>
        <v>13892.97</v>
      </c>
      <c r="U29" s="29">
        <f t="shared" si="3"/>
        <v>166715.63999999998</v>
      </c>
    </row>
    <row r="30" spans="1:21" s="9" customFormat="1">
      <c r="A30" s="151"/>
      <c r="B30" s="14" t="s">
        <v>12</v>
      </c>
      <c r="C30" s="41"/>
      <c r="D30" s="14"/>
      <c r="E30" s="42"/>
      <c r="F30" s="43"/>
      <c r="G30" s="43"/>
      <c r="H30" s="144">
        <f>SUM(H22:H29)</f>
        <v>186.92850740733334</v>
      </c>
      <c r="I30" s="111"/>
      <c r="J30" s="111"/>
      <c r="K30" s="111"/>
      <c r="L30" s="111"/>
      <c r="M30" s="120"/>
      <c r="N30" s="82"/>
      <c r="O30" s="82"/>
      <c r="P30" s="82"/>
      <c r="Q30" s="82"/>
      <c r="R30" s="82"/>
      <c r="S30" s="82"/>
      <c r="T30" s="82"/>
      <c r="U30" s="77">
        <f>SUM(U22:U29)</f>
        <v>185409.53740733332</v>
      </c>
    </row>
    <row r="31" spans="1:21">
      <c r="A31" s="150"/>
      <c r="B31" s="12" t="s">
        <v>30</v>
      </c>
      <c r="C31" s="26"/>
      <c r="D31" s="13"/>
      <c r="E31" s="35"/>
      <c r="F31" s="36"/>
      <c r="G31" s="36"/>
      <c r="H31" s="37" t="s">
        <v>29</v>
      </c>
      <c r="I31" s="33"/>
      <c r="J31" s="33"/>
      <c r="K31" s="33"/>
      <c r="L31" s="33"/>
      <c r="M31" s="121"/>
      <c r="N31" s="28"/>
      <c r="O31" s="28"/>
      <c r="P31" s="28"/>
      <c r="Q31" s="28"/>
      <c r="R31" s="28"/>
      <c r="S31" s="28"/>
      <c r="T31" s="28"/>
      <c r="U31" s="29"/>
    </row>
    <row r="32" spans="1:21" ht="12.75" customHeight="1">
      <c r="A32" s="150" t="s">
        <v>102</v>
      </c>
      <c r="B32" s="15" t="s">
        <v>31</v>
      </c>
      <c r="C32" s="26" t="s">
        <v>26</v>
      </c>
      <c r="D32" s="13"/>
      <c r="E32" s="35"/>
      <c r="F32" s="36">
        <v>3</v>
      </c>
      <c r="G32" s="36">
        <v>1527.22</v>
      </c>
      <c r="H32" s="161">
        <f t="shared" ref="H32:H34" si="4">SUM(F32*G32/1000)</f>
        <v>4.5816600000000003</v>
      </c>
      <c r="I32" s="29">
        <f t="shared" ref="I32:I37" si="5">F32/6*G32</f>
        <v>763.61</v>
      </c>
      <c r="J32" s="29">
        <f t="shared" ref="J32:J37" si="6">F32/6*G32</f>
        <v>763.61</v>
      </c>
      <c r="K32" s="29">
        <f>F32/6*G32</f>
        <v>763.61</v>
      </c>
      <c r="L32" s="29">
        <f>F32/6*G32</f>
        <v>763.61</v>
      </c>
      <c r="M32" s="29">
        <v>0</v>
      </c>
      <c r="N32" s="29">
        <v>0</v>
      </c>
      <c r="O32" s="29">
        <v>0</v>
      </c>
      <c r="P32" s="29">
        <v>0</v>
      </c>
      <c r="Q32" s="29">
        <v>0</v>
      </c>
      <c r="R32" s="29">
        <v>0</v>
      </c>
      <c r="S32" s="29">
        <f>F32/6*G32</f>
        <v>763.61</v>
      </c>
      <c r="T32" s="29">
        <f>F32/6*G32</f>
        <v>763.61</v>
      </c>
      <c r="U32" s="29">
        <f>SUM(I32:T32)</f>
        <v>4581.66</v>
      </c>
    </row>
    <row r="33" spans="1:21" s="1" customFormat="1">
      <c r="A33" s="152" t="s">
        <v>131</v>
      </c>
      <c r="B33" s="15" t="s">
        <v>32</v>
      </c>
      <c r="C33" s="45" t="s">
        <v>33</v>
      </c>
      <c r="D33" s="15" t="s">
        <v>211</v>
      </c>
      <c r="E33" s="46">
        <v>205.7</v>
      </c>
      <c r="F33" s="46">
        <f>SUM(E33*20/1000)</f>
        <v>4.1139999999999999</v>
      </c>
      <c r="G33" s="46">
        <v>2102.71</v>
      </c>
      <c r="H33" s="161">
        <f t="shared" si="4"/>
        <v>8.6505489400000002</v>
      </c>
      <c r="I33" s="47">
        <f t="shared" si="5"/>
        <v>1441.7581566666665</v>
      </c>
      <c r="J33" s="47">
        <f t="shared" si="6"/>
        <v>1441.7581566666665</v>
      </c>
      <c r="K33" s="47">
        <f t="shared" ref="K33:K37" si="7">F33/6*G33</f>
        <v>1441.7581566666665</v>
      </c>
      <c r="L33" s="29">
        <f t="shared" ref="L33:L37" si="8">F33/6*G33</f>
        <v>1441.7581566666665</v>
      </c>
      <c r="M33" s="29">
        <v>0</v>
      </c>
      <c r="N33" s="29">
        <v>0</v>
      </c>
      <c r="O33" s="29">
        <v>0</v>
      </c>
      <c r="P33" s="29">
        <v>0</v>
      </c>
      <c r="Q33" s="29">
        <v>0</v>
      </c>
      <c r="R33" s="29">
        <v>0</v>
      </c>
      <c r="S33" s="29">
        <f t="shared" ref="S33:S37" si="9">F33/6*G33</f>
        <v>1441.7581566666665</v>
      </c>
      <c r="T33" s="29">
        <f t="shared" ref="T33:T37" si="10">F33/6*G33</f>
        <v>1441.7581566666665</v>
      </c>
      <c r="U33" s="29">
        <f t="shared" ref="U33:U37" si="11">SUM(I33:T33)</f>
        <v>8650.5489399999988</v>
      </c>
    </row>
    <row r="34" spans="1:21" ht="25.5" customHeight="1">
      <c r="A34" s="150" t="s">
        <v>132</v>
      </c>
      <c r="B34" s="13" t="s">
        <v>116</v>
      </c>
      <c r="C34" s="26" t="s">
        <v>33</v>
      </c>
      <c r="D34" s="13" t="s">
        <v>212</v>
      </c>
      <c r="E34" s="35">
        <v>89.1</v>
      </c>
      <c r="F34" s="46">
        <f>SUM(E34*155/1000)</f>
        <v>13.810499999999999</v>
      </c>
      <c r="G34" s="36">
        <v>350.75</v>
      </c>
      <c r="H34" s="161">
        <f t="shared" si="4"/>
        <v>4.8440328749999999</v>
      </c>
      <c r="I34" s="29">
        <f t="shared" si="5"/>
        <v>807.3388124999999</v>
      </c>
      <c r="J34" s="29">
        <f t="shared" si="6"/>
        <v>807.3388124999999</v>
      </c>
      <c r="K34" s="29">
        <f t="shared" si="7"/>
        <v>807.3388124999999</v>
      </c>
      <c r="L34" s="29">
        <f t="shared" si="8"/>
        <v>807.3388124999999</v>
      </c>
      <c r="M34" s="29">
        <v>0</v>
      </c>
      <c r="N34" s="29">
        <v>0</v>
      </c>
      <c r="O34" s="29">
        <v>0</v>
      </c>
      <c r="P34" s="29">
        <v>0</v>
      </c>
      <c r="Q34" s="29">
        <v>0</v>
      </c>
      <c r="R34" s="29">
        <v>0</v>
      </c>
      <c r="S34" s="29">
        <f t="shared" si="9"/>
        <v>807.3388124999999</v>
      </c>
      <c r="T34" s="29">
        <f t="shared" si="10"/>
        <v>807.3388124999999</v>
      </c>
      <c r="U34" s="29">
        <f t="shared" si="11"/>
        <v>4844.0328749999999</v>
      </c>
    </row>
    <row r="35" spans="1:21" ht="51" customHeight="1">
      <c r="A35" s="150" t="s">
        <v>133</v>
      </c>
      <c r="B35" s="13" t="s">
        <v>117</v>
      </c>
      <c r="C35" s="26" t="s">
        <v>15</v>
      </c>
      <c r="D35" s="13" t="s">
        <v>213</v>
      </c>
      <c r="E35" s="36">
        <v>48</v>
      </c>
      <c r="F35" s="46">
        <f>SUM(E35*50/1000)</f>
        <v>2.4</v>
      </c>
      <c r="G35" s="36">
        <v>5803.28</v>
      </c>
      <c r="H35" s="161">
        <f>SUM(F35*G35/1000)</f>
        <v>13.927871999999999</v>
      </c>
      <c r="I35" s="29">
        <f t="shared" si="5"/>
        <v>2321.3119999999999</v>
      </c>
      <c r="J35" s="29">
        <f t="shared" si="6"/>
        <v>2321.3119999999999</v>
      </c>
      <c r="K35" s="29">
        <f t="shared" si="7"/>
        <v>2321.3119999999999</v>
      </c>
      <c r="L35" s="29">
        <f t="shared" si="8"/>
        <v>2321.3119999999999</v>
      </c>
      <c r="M35" s="29">
        <v>0</v>
      </c>
      <c r="N35" s="29">
        <v>0</v>
      </c>
      <c r="O35" s="29">
        <v>0</v>
      </c>
      <c r="P35" s="29">
        <v>0</v>
      </c>
      <c r="Q35" s="29">
        <v>0</v>
      </c>
      <c r="R35" s="29">
        <v>0</v>
      </c>
      <c r="S35" s="29">
        <f t="shared" si="9"/>
        <v>2321.3119999999999</v>
      </c>
      <c r="T35" s="29">
        <f t="shared" si="10"/>
        <v>2321.3119999999999</v>
      </c>
      <c r="U35" s="29">
        <f t="shared" si="11"/>
        <v>13927.871999999999</v>
      </c>
    </row>
    <row r="36" spans="1:21" ht="12.75" customHeight="1">
      <c r="A36" s="150" t="s">
        <v>134</v>
      </c>
      <c r="B36" s="13" t="s">
        <v>118</v>
      </c>
      <c r="C36" s="26" t="s">
        <v>15</v>
      </c>
      <c r="D36" s="13" t="s">
        <v>34</v>
      </c>
      <c r="E36" s="36">
        <v>89</v>
      </c>
      <c r="F36" s="46">
        <f>SUM(E36*45/1000)</f>
        <v>4.0049999999999999</v>
      </c>
      <c r="G36" s="36">
        <v>428.7</v>
      </c>
      <c r="H36" s="161">
        <f t="shared" ref="H36:H37" si="12">SUM(F36*G36/1000)</f>
        <v>1.7169435</v>
      </c>
      <c r="I36" s="29">
        <f t="shared" si="5"/>
        <v>286.15724999999998</v>
      </c>
      <c r="J36" s="29">
        <f t="shared" si="6"/>
        <v>286.15724999999998</v>
      </c>
      <c r="K36" s="29">
        <f t="shared" si="7"/>
        <v>286.15724999999998</v>
      </c>
      <c r="L36" s="29">
        <f t="shared" si="8"/>
        <v>286.15724999999998</v>
      </c>
      <c r="M36" s="29">
        <v>0</v>
      </c>
      <c r="N36" s="29">
        <v>0</v>
      </c>
      <c r="O36" s="29">
        <v>0</v>
      </c>
      <c r="P36" s="29">
        <v>0</v>
      </c>
      <c r="Q36" s="29">
        <v>0</v>
      </c>
      <c r="R36" s="29">
        <v>0</v>
      </c>
      <c r="S36" s="29">
        <f t="shared" si="9"/>
        <v>286.15724999999998</v>
      </c>
      <c r="T36" s="29">
        <f t="shared" si="10"/>
        <v>286.15724999999998</v>
      </c>
      <c r="U36" s="29">
        <f t="shared" si="11"/>
        <v>1716.9434999999999</v>
      </c>
    </row>
    <row r="37" spans="1:21" s="2" customFormat="1">
      <c r="A37" s="152"/>
      <c r="B37" s="15" t="s">
        <v>119</v>
      </c>
      <c r="C37" s="45" t="s">
        <v>23</v>
      </c>
      <c r="D37" s="15"/>
      <c r="E37" s="39"/>
      <c r="F37" s="46">
        <v>0.9</v>
      </c>
      <c r="G37" s="46">
        <v>798</v>
      </c>
      <c r="H37" s="161">
        <f t="shared" si="12"/>
        <v>0.71820000000000006</v>
      </c>
      <c r="I37" s="47">
        <f t="shared" si="5"/>
        <v>119.69999999999999</v>
      </c>
      <c r="J37" s="47">
        <f t="shared" si="6"/>
        <v>119.69999999999999</v>
      </c>
      <c r="K37" s="47">
        <f t="shared" si="7"/>
        <v>119.69999999999999</v>
      </c>
      <c r="L37" s="29">
        <f t="shared" si="8"/>
        <v>119.69999999999999</v>
      </c>
      <c r="M37" s="29">
        <v>0</v>
      </c>
      <c r="N37" s="29">
        <v>0</v>
      </c>
      <c r="O37" s="29">
        <v>0</v>
      </c>
      <c r="P37" s="29">
        <v>0</v>
      </c>
      <c r="Q37" s="29">
        <v>0</v>
      </c>
      <c r="R37" s="29">
        <v>0</v>
      </c>
      <c r="S37" s="29">
        <f t="shared" si="9"/>
        <v>119.69999999999999</v>
      </c>
      <c r="T37" s="29">
        <f t="shared" si="10"/>
        <v>119.69999999999999</v>
      </c>
      <c r="U37" s="29">
        <f t="shared" si="11"/>
        <v>718.2</v>
      </c>
    </row>
    <row r="38" spans="1:21" s="9" customFormat="1">
      <c r="A38" s="151"/>
      <c r="B38" s="14" t="s">
        <v>12</v>
      </c>
      <c r="C38" s="41"/>
      <c r="D38" s="14"/>
      <c r="E38" s="42"/>
      <c r="F38" s="43" t="s">
        <v>29</v>
      </c>
      <c r="G38" s="43"/>
      <c r="H38" s="144">
        <f>SUM(H32:H37)</f>
        <v>34.439257314999999</v>
      </c>
      <c r="I38" s="111"/>
      <c r="J38" s="111"/>
      <c r="K38" s="111"/>
      <c r="L38" s="111"/>
      <c r="M38" s="120"/>
      <c r="N38" s="82"/>
      <c r="O38" s="82"/>
      <c r="P38" s="82"/>
      <c r="Q38" s="82"/>
      <c r="R38" s="82"/>
      <c r="S38" s="82"/>
      <c r="T38" s="82"/>
      <c r="U38" s="77">
        <f>SUM(U32:U37)</f>
        <v>34439.257314999995</v>
      </c>
    </row>
    <row r="39" spans="1:21">
      <c r="A39" s="150"/>
      <c r="B39" s="16" t="s">
        <v>35</v>
      </c>
      <c r="C39" s="26"/>
      <c r="D39" s="13"/>
      <c r="E39" s="35"/>
      <c r="F39" s="36"/>
      <c r="G39" s="36"/>
      <c r="H39" s="37"/>
      <c r="I39" s="33"/>
      <c r="J39" s="33"/>
      <c r="K39" s="33"/>
      <c r="L39" s="33"/>
      <c r="M39" s="121"/>
      <c r="N39" s="28"/>
      <c r="O39" s="28"/>
      <c r="P39" s="28"/>
      <c r="Q39" s="28"/>
      <c r="R39" s="28"/>
      <c r="S39" s="28"/>
      <c r="T39" s="28"/>
      <c r="U39" s="29"/>
    </row>
    <row r="40" spans="1:21">
      <c r="A40" s="150" t="s">
        <v>135</v>
      </c>
      <c r="B40" s="13" t="s">
        <v>121</v>
      </c>
      <c r="C40" s="26" t="s">
        <v>15</v>
      </c>
      <c r="D40" s="13" t="s">
        <v>36</v>
      </c>
      <c r="E40" s="35">
        <v>1632.75</v>
      </c>
      <c r="F40" s="36">
        <f>SUM(E40*2/1000)</f>
        <v>3.2654999999999998</v>
      </c>
      <c r="G40" s="48">
        <v>809.74</v>
      </c>
      <c r="H40" s="161">
        <f t="shared" ref="H40:H49" si="13">SUM(F40*G40/1000)</f>
        <v>2.6442059699999998</v>
      </c>
      <c r="I40" s="29">
        <v>0</v>
      </c>
      <c r="J40" s="29">
        <v>0</v>
      </c>
      <c r="K40" s="29">
        <v>0</v>
      </c>
      <c r="L40" s="29">
        <v>0</v>
      </c>
      <c r="M40" s="29">
        <f>F40/2*G40</f>
        <v>1322.102985</v>
      </c>
      <c r="N40" s="29">
        <v>0</v>
      </c>
      <c r="O40" s="29">
        <v>0</v>
      </c>
      <c r="P40" s="29">
        <v>0</v>
      </c>
      <c r="Q40" s="29">
        <f t="shared" ref="Q40:Q42" si="14">F40/2*G40</f>
        <v>1322.102985</v>
      </c>
      <c r="R40" s="29">
        <v>0</v>
      </c>
      <c r="S40" s="29">
        <v>0</v>
      </c>
      <c r="T40" s="29">
        <v>0</v>
      </c>
      <c r="U40" s="29">
        <f>SUM(I40:T40)</f>
        <v>2644.20597</v>
      </c>
    </row>
    <row r="41" spans="1:21">
      <c r="A41" s="150" t="s">
        <v>136</v>
      </c>
      <c r="B41" s="13" t="s">
        <v>37</v>
      </c>
      <c r="C41" s="26" t="s">
        <v>15</v>
      </c>
      <c r="D41" s="13" t="s">
        <v>36</v>
      </c>
      <c r="E41" s="35">
        <v>53.75</v>
      </c>
      <c r="F41" s="36">
        <f>SUM(E41*2/1000)</f>
        <v>0.1075</v>
      </c>
      <c r="G41" s="48">
        <v>579.48</v>
      </c>
      <c r="H41" s="161">
        <f t="shared" si="13"/>
        <v>6.2294099999999998E-2</v>
      </c>
      <c r="I41" s="29">
        <v>0</v>
      </c>
      <c r="J41" s="29">
        <v>0</v>
      </c>
      <c r="K41" s="29">
        <v>0</v>
      </c>
      <c r="L41" s="29">
        <v>0</v>
      </c>
      <c r="M41" s="29">
        <f t="shared" ref="M41:M44" si="15">F41/2*G41</f>
        <v>31.14705</v>
      </c>
      <c r="N41" s="29">
        <v>0</v>
      </c>
      <c r="O41" s="29">
        <v>0</v>
      </c>
      <c r="P41" s="29">
        <v>0</v>
      </c>
      <c r="Q41" s="29">
        <f t="shared" si="14"/>
        <v>31.14705</v>
      </c>
      <c r="R41" s="29">
        <v>0</v>
      </c>
      <c r="S41" s="29">
        <v>0</v>
      </c>
      <c r="T41" s="29">
        <v>0</v>
      </c>
      <c r="U41" s="29">
        <f t="shared" ref="U41:U49" si="16">SUM(I41:T41)</f>
        <v>62.2941</v>
      </c>
    </row>
    <row r="42" spans="1:21" ht="12.75" customHeight="1">
      <c r="A42" s="150" t="s">
        <v>137</v>
      </c>
      <c r="B42" s="13" t="s">
        <v>38</v>
      </c>
      <c r="C42" s="26" t="s">
        <v>15</v>
      </c>
      <c r="D42" s="13" t="s">
        <v>36</v>
      </c>
      <c r="E42" s="35">
        <v>2285.6</v>
      </c>
      <c r="F42" s="36">
        <f>SUM(E42*2/1000)</f>
        <v>4.5712000000000002</v>
      </c>
      <c r="G42" s="48">
        <v>579.48</v>
      </c>
      <c r="H42" s="161">
        <f t="shared" si="13"/>
        <v>2.6489189760000005</v>
      </c>
      <c r="I42" s="29">
        <v>0</v>
      </c>
      <c r="J42" s="29">
        <v>0</v>
      </c>
      <c r="K42" s="29">
        <v>0</v>
      </c>
      <c r="L42" s="29">
        <v>0</v>
      </c>
      <c r="M42" s="29">
        <f t="shared" si="15"/>
        <v>1324.4594880000002</v>
      </c>
      <c r="N42" s="29">
        <v>0</v>
      </c>
      <c r="O42" s="29">
        <v>0</v>
      </c>
      <c r="P42" s="29">
        <v>0</v>
      </c>
      <c r="Q42" s="29">
        <f t="shared" si="14"/>
        <v>1324.4594880000002</v>
      </c>
      <c r="R42" s="29">
        <v>0</v>
      </c>
      <c r="S42" s="29">
        <v>0</v>
      </c>
      <c r="T42" s="29">
        <v>0</v>
      </c>
      <c r="U42" s="29">
        <f t="shared" si="16"/>
        <v>2648.9189760000004</v>
      </c>
    </row>
    <row r="43" spans="1:21">
      <c r="A43" s="26" t="s">
        <v>214</v>
      </c>
      <c r="B43" s="13" t="s">
        <v>215</v>
      </c>
      <c r="C43" s="26" t="s">
        <v>15</v>
      </c>
      <c r="D43" s="13" t="s">
        <v>36</v>
      </c>
      <c r="E43" s="35">
        <v>1860</v>
      </c>
      <c r="F43" s="36">
        <f>SUM(E43*2/1000)</f>
        <v>3.72</v>
      </c>
      <c r="G43" s="48">
        <v>606.77</v>
      </c>
      <c r="H43" s="161">
        <f t="shared" si="13"/>
        <v>2.2571844000000003</v>
      </c>
      <c r="I43" s="29">
        <v>0</v>
      </c>
      <c r="J43" s="29">
        <v>0</v>
      </c>
      <c r="K43" s="29">
        <v>0</v>
      </c>
      <c r="L43" s="29">
        <v>0</v>
      </c>
      <c r="M43" s="29">
        <f>F43/2*G43</f>
        <v>1128.5922</v>
      </c>
      <c r="N43" s="29">
        <v>0</v>
      </c>
      <c r="O43" s="29">
        <v>0</v>
      </c>
      <c r="P43" s="29">
        <v>0</v>
      </c>
      <c r="Q43" s="29">
        <f>F43/2*G43</f>
        <v>1128.5922</v>
      </c>
      <c r="R43" s="29">
        <v>0</v>
      </c>
      <c r="S43" s="29">
        <v>0</v>
      </c>
      <c r="T43" s="29">
        <v>0</v>
      </c>
      <c r="U43" s="29">
        <f t="shared" si="16"/>
        <v>2257.1844000000001</v>
      </c>
    </row>
    <row r="44" spans="1:21">
      <c r="A44" s="150" t="s">
        <v>138</v>
      </c>
      <c r="B44" s="13" t="s">
        <v>39</v>
      </c>
      <c r="C44" s="26" t="s">
        <v>40</v>
      </c>
      <c r="D44" s="13" t="s">
        <v>36</v>
      </c>
      <c r="E44" s="35">
        <v>120.49</v>
      </c>
      <c r="F44" s="36">
        <f>SUM(E44*2/100)</f>
        <v>2.4097999999999997</v>
      </c>
      <c r="G44" s="48">
        <v>72.81</v>
      </c>
      <c r="H44" s="161">
        <f t="shared" si="13"/>
        <v>0.17545753799999997</v>
      </c>
      <c r="I44" s="29">
        <v>0</v>
      </c>
      <c r="J44" s="29">
        <v>0</v>
      </c>
      <c r="K44" s="29">
        <v>0</v>
      </c>
      <c r="L44" s="29">
        <v>0</v>
      </c>
      <c r="M44" s="29">
        <f t="shared" si="15"/>
        <v>87.728768999999986</v>
      </c>
      <c r="N44" s="29">
        <v>0</v>
      </c>
      <c r="O44" s="29">
        <v>0</v>
      </c>
      <c r="P44" s="29">
        <v>0</v>
      </c>
      <c r="Q44" s="29">
        <f>F44/2*G44</f>
        <v>87.728768999999986</v>
      </c>
      <c r="R44" s="29">
        <v>0</v>
      </c>
      <c r="S44" s="29">
        <v>0</v>
      </c>
      <c r="T44" s="29">
        <v>0</v>
      </c>
      <c r="U44" s="29">
        <f t="shared" si="16"/>
        <v>175.45753799999997</v>
      </c>
    </row>
    <row r="45" spans="1:21" ht="25.5" customHeight="1">
      <c r="A45" s="150" t="s">
        <v>139</v>
      </c>
      <c r="B45" s="13" t="s">
        <v>41</v>
      </c>
      <c r="C45" s="26" t="s">
        <v>15</v>
      </c>
      <c r="D45" s="13" t="s">
        <v>42</v>
      </c>
      <c r="E45" s="35">
        <v>1728</v>
      </c>
      <c r="F45" s="36">
        <f>SUM(E45*5/1000)</f>
        <v>8.64</v>
      </c>
      <c r="G45" s="48">
        <v>1213.55</v>
      </c>
      <c r="H45" s="161">
        <f t="shared" si="13"/>
        <v>10.485072000000001</v>
      </c>
      <c r="I45" s="29">
        <f>F45/5*G45</f>
        <v>2097.0144</v>
      </c>
      <c r="J45" s="29">
        <f>F45/5*G45</f>
        <v>2097.0144</v>
      </c>
      <c r="K45" s="29">
        <v>0</v>
      </c>
      <c r="L45" s="29">
        <v>0</v>
      </c>
      <c r="M45" s="29">
        <f>F45/5*G45</f>
        <v>2097.0144</v>
      </c>
      <c r="N45" s="29">
        <v>0</v>
      </c>
      <c r="O45" s="29">
        <v>0</v>
      </c>
      <c r="P45" s="29">
        <v>0</v>
      </c>
      <c r="Q45" s="29">
        <f>F45/5*G45</f>
        <v>2097.0144</v>
      </c>
      <c r="R45" s="29">
        <v>0</v>
      </c>
      <c r="S45" s="29">
        <v>0</v>
      </c>
      <c r="T45" s="29">
        <f>F45/5*G45</f>
        <v>2097.0144</v>
      </c>
      <c r="U45" s="29">
        <f t="shared" si="16"/>
        <v>10485.072</v>
      </c>
    </row>
    <row r="46" spans="1:21" ht="38.25" customHeight="1">
      <c r="A46" s="150" t="s">
        <v>140</v>
      </c>
      <c r="B46" s="13" t="s">
        <v>43</v>
      </c>
      <c r="C46" s="26" t="s">
        <v>15</v>
      </c>
      <c r="D46" s="13" t="s">
        <v>36</v>
      </c>
      <c r="E46" s="35">
        <v>1728</v>
      </c>
      <c r="F46" s="36">
        <f>SUM(E46*2/1000)</f>
        <v>3.456</v>
      </c>
      <c r="G46" s="48">
        <v>1213.55</v>
      </c>
      <c r="H46" s="161">
        <f t="shared" si="13"/>
        <v>4.1940287999999999</v>
      </c>
      <c r="I46" s="29">
        <v>0</v>
      </c>
      <c r="J46" s="29">
        <v>0</v>
      </c>
      <c r="K46" s="29">
        <v>0</v>
      </c>
      <c r="L46" s="29">
        <v>0</v>
      </c>
      <c r="M46" s="29">
        <f>F46/2*G46</f>
        <v>2097.0144</v>
      </c>
      <c r="N46" s="29">
        <v>0</v>
      </c>
      <c r="O46" s="29">
        <v>0</v>
      </c>
      <c r="P46" s="29">
        <v>0</v>
      </c>
      <c r="Q46" s="29">
        <v>0</v>
      </c>
      <c r="R46" s="29">
        <v>0</v>
      </c>
      <c r="S46" s="29">
        <v>0</v>
      </c>
      <c r="T46" s="29">
        <f>F46/5*G46</f>
        <v>838.80575999999996</v>
      </c>
      <c r="U46" s="29">
        <f>SUM(I46:T46)</f>
        <v>2935.8201600000002</v>
      </c>
    </row>
    <row r="47" spans="1:21" ht="25.5" customHeight="1">
      <c r="A47" s="150" t="s">
        <v>141</v>
      </c>
      <c r="B47" s="13" t="s">
        <v>120</v>
      </c>
      <c r="C47" s="26" t="s">
        <v>44</v>
      </c>
      <c r="D47" s="13" t="s">
        <v>36</v>
      </c>
      <c r="E47" s="35">
        <v>20</v>
      </c>
      <c r="F47" s="36">
        <f>SUM(E47*2/100)</f>
        <v>0.4</v>
      </c>
      <c r="G47" s="48">
        <v>2730.49</v>
      </c>
      <c r="H47" s="161">
        <f t="shared" si="13"/>
        <v>1.0921959999999999</v>
      </c>
      <c r="I47" s="29">
        <v>0</v>
      </c>
      <c r="J47" s="29">
        <v>0</v>
      </c>
      <c r="K47" s="29">
        <v>0</v>
      </c>
      <c r="L47" s="29">
        <v>0</v>
      </c>
      <c r="M47" s="29">
        <f>F47/2*G47</f>
        <v>546.09799999999996</v>
      </c>
      <c r="N47" s="29">
        <v>0</v>
      </c>
      <c r="O47" s="29">
        <v>0</v>
      </c>
      <c r="P47" s="29">
        <v>0</v>
      </c>
      <c r="Q47" s="29">
        <v>0</v>
      </c>
      <c r="R47" s="29">
        <v>0</v>
      </c>
      <c r="S47" s="29">
        <v>0</v>
      </c>
      <c r="T47" s="29">
        <f>F47/5*G47</f>
        <v>218.4392</v>
      </c>
      <c r="U47" s="29">
        <f>SUM(I47:T47)</f>
        <v>764.53719999999998</v>
      </c>
    </row>
    <row r="48" spans="1:21">
      <c r="A48" s="150" t="s">
        <v>142</v>
      </c>
      <c r="B48" s="13" t="s">
        <v>45</v>
      </c>
      <c r="C48" s="26" t="s">
        <v>46</v>
      </c>
      <c r="D48" s="13" t="s">
        <v>36</v>
      </c>
      <c r="E48" s="35">
        <v>1</v>
      </c>
      <c r="F48" s="36">
        <v>0.02</v>
      </c>
      <c r="G48" s="48">
        <v>5652.13</v>
      </c>
      <c r="H48" s="161">
        <f t="shared" si="13"/>
        <v>0.11304260000000001</v>
      </c>
      <c r="I48" s="29">
        <v>0</v>
      </c>
      <c r="J48" s="29">
        <v>0</v>
      </c>
      <c r="K48" s="29">
        <v>0</v>
      </c>
      <c r="L48" s="29">
        <v>0</v>
      </c>
      <c r="M48" s="29">
        <f>F48/2*G48</f>
        <v>56.521300000000004</v>
      </c>
      <c r="N48" s="29">
        <v>0</v>
      </c>
      <c r="O48" s="29">
        <v>0</v>
      </c>
      <c r="P48" s="29">
        <v>0</v>
      </c>
      <c r="Q48" s="29">
        <v>0</v>
      </c>
      <c r="R48" s="29">
        <v>0</v>
      </c>
      <c r="S48" s="29">
        <v>0</v>
      </c>
      <c r="T48" s="29">
        <f>F48/5*G48</f>
        <v>22.608520000000002</v>
      </c>
      <c r="U48" s="29">
        <f>SUM(I48:T48)</f>
        <v>79.129820000000009</v>
      </c>
    </row>
    <row r="49" spans="1:21" ht="13.5" customHeight="1">
      <c r="A49" s="150" t="s">
        <v>48</v>
      </c>
      <c r="B49" s="13" t="s">
        <v>49</v>
      </c>
      <c r="C49" s="26" t="s">
        <v>47</v>
      </c>
      <c r="D49" s="13" t="s">
        <v>97</v>
      </c>
      <c r="E49" s="35">
        <v>128</v>
      </c>
      <c r="F49" s="36">
        <f>SUM(E49)*3</f>
        <v>384</v>
      </c>
      <c r="G49" s="49">
        <v>65.67</v>
      </c>
      <c r="H49" s="161">
        <f t="shared" si="13"/>
        <v>25.217279999999999</v>
      </c>
      <c r="I49" s="29">
        <f>E49*G49</f>
        <v>8405.76</v>
      </c>
      <c r="J49" s="29">
        <v>0</v>
      </c>
      <c r="K49" s="29">
        <v>0</v>
      </c>
      <c r="L49" s="29">
        <f>E49*G49</f>
        <v>8405.76</v>
      </c>
      <c r="M49" s="29">
        <v>0</v>
      </c>
      <c r="N49" s="29">
        <v>0</v>
      </c>
      <c r="O49" s="29">
        <v>0</v>
      </c>
      <c r="P49" s="29">
        <f>E49*G49</f>
        <v>8405.76</v>
      </c>
      <c r="Q49" s="29">
        <v>0</v>
      </c>
      <c r="R49" s="29">
        <v>0</v>
      </c>
      <c r="S49" s="29">
        <v>0</v>
      </c>
      <c r="T49" s="29">
        <v>0</v>
      </c>
      <c r="U49" s="29">
        <f t="shared" si="16"/>
        <v>25217.279999999999</v>
      </c>
    </row>
    <row r="50" spans="1:21" s="10" customFormat="1">
      <c r="A50" s="153"/>
      <c r="B50" s="14" t="s">
        <v>12</v>
      </c>
      <c r="C50" s="50"/>
      <c r="D50" s="14"/>
      <c r="E50" s="51"/>
      <c r="F50" s="52"/>
      <c r="G50" s="52"/>
      <c r="H50" s="144">
        <f>SUM(H40:H49)</f>
        <v>48.889680384000002</v>
      </c>
      <c r="I50" s="112"/>
      <c r="J50" s="112"/>
      <c r="K50" s="112"/>
      <c r="L50" s="112"/>
      <c r="M50" s="122"/>
      <c r="N50" s="113"/>
      <c r="O50" s="113"/>
      <c r="P50" s="113"/>
      <c r="Q50" s="113"/>
      <c r="R50" s="113"/>
      <c r="S50" s="113"/>
      <c r="T50" s="113"/>
      <c r="U50" s="67">
        <f>SUM(U40:U49)</f>
        <v>47269.900163999991</v>
      </c>
    </row>
    <row r="51" spans="1:21">
      <c r="A51" s="150"/>
      <c r="B51" s="12" t="s">
        <v>50</v>
      </c>
      <c r="C51" s="26"/>
      <c r="D51" s="13"/>
      <c r="E51" s="35"/>
      <c r="F51" s="36"/>
      <c r="G51" s="36"/>
      <c r="H51" s="37"/>
      <c r="I51" s="33"/>
      <c r="J51" s="33"/>
      <c r="K51" s="33"/>
      <c r="L51" s="33"/>
      <c r="M51" s="121"/>
      <c r="N51" s="28"/>
      <c r="O51" s="28"/>
      <c r="P51" s="28"/>
      <c r="Q51" s="28"/>
      <c r="R51" s="28"/>
      <c r="S51" s="28"/>
      <c r="T51" s="28"/>
      <c r="U51" s="29"/>
    </row>
    <row r="52" spans="1:21" ht="38.25" customHeight="1">
      <c r="A52" s="154" t="s">
        <v>143</v>
      </c>
      <c r="B52" s="13" t="s">
        <v>122</v>
      </c>
      <c r="C52" s="26" t="s">
        <v>11</v>
      </c>
      <c r="D52" s="13" t="s">
        <v>216</v>
      </c>
      <c r="E52" s="35">
        <v>163.30000000000001</v>
      </c>
      <c r="F52" s="36">
        <f>SUM(E52*6/100)</f>
        <v>9.798</v>
      </c>
      <c r="G52" s="48">
        <v>1547.28</v>
      </c>
      <c r="H52" s="161">
        <f>SUM(F52*G52/1000)</f>
        <v>15.160249439999999</v>
      </c>
      <c r="I52" s="29">
        <f>F52/6*G52</f>
        <v>2526.7082399999999</v>
      </c>
      <c r="J52" s="29">
        <f>F52/6*G52</f>
        <v>2526.7082399999999</v>
      </c>
      <c r="K52" s="29">
        <f>F52/6*G52</f>
        <v>2526.7082399999999</v>
      </c>
      <c r="L52" s="29">
        <f>F52/6*G52</f>
        <v>2526.7082399999999</v>
      </c>
      <c r="M52" s="29">
        <v>0</v>
      </c>
      <c r="N52" s="29">
        <v>0</v>
      </c>
      <c r="O52" s="29">
        <v>0</v>
      </c>
      <c r="P52" s="29">
        <v>0</v>
      </c>
      <c r="Q52" s="29">
        <v>0</v>
      </c>
      <c r="R52" s="29">
        <v>0</v>
      </c>
      <c r="S52" s="29">
        <f>F52/6*G52</f>
        <v>2526.7082399999999</v>
      </c>
      <c r="T52" s="29">
        <f>F52/6*G52</f>
        <v>2526.7082399999999</v>
      </c>
      <c r="U52" s="29">
        <f>SUM(I52:T52)</f>
        <v>15160.24944</v>
      </c>
    </row>
    <row r="53" spans="1:21">
      <c r="A53" s="150"/>
      <c r="B53" s="17" t="s">
        <v>51</v>
      </c>
      <c r="C53" s="26"/>
      <c r="D53" s="13"/>
      <c r="E53" s="35"/>
      <c r="F53" s="36"/>
      <c r="G53" s="36"/>
      <c r="H53" s="161" t="s">
        <v>29</v>
      </c>
      <c r="I53" s="33"/>
      <c r="J53" s="33"/>
      <c r="K53" s="33"/>
      <c r="L53" s="33"/>
      <c r="M53" s="121"/>
      <c r="N53" s="28"/>
      <c r="O53" s="28"/>
      <c r="P53" s="28"/>
      <c r="Q53" s="28"/>
      <c r="R53" s="28"/>
      <c r="S53" s="28"/>
      <c r="T53" s="28"/>
      <c r="U53" s="29"/>
    </row>
    <row r="54" spans="1:21">
      <c r="A54" s="150" t="s">
        <v>144</v>
      </c>
      <c r="B54" s="13" t="s">
        <v>82</v>
      </c>
      <c r="C54" s="26" t="s">
        <v>11</v>
      </c>
      <c r="D54" s="13" t="s">
        <v>18</v>
      </c>
      <c r="E54" s="56">
        <v>1155.2</v>
      </c>
      <c r="F54" s="145">
        <v>11.6</v>
      </c>
      <c r="G54" s="48">
        <v>793.61</v>
      </c>
      <c r="H54" s="176">
        <v>9.1679999999999993</v>
      </c>
      <c r="I54" s="29">
        <v>0</v>
      </c>
      <c r="J54" s="29">
        <v>0</v>
      </c>
      <c r="K54" s="29">
        <v>0</v>
      </c>
      <c r="L54" s="29">
        <v>0</v>
      </c>
      <c r="M54" s="29">
        <v>0</v>
      </c>
      <c r="N54" s="29">
        <v>0</v>
      </c>
      <c r="O54" s="29">
        <v>0</v>
      </c>
      <c r="P54" s="29">
        <v>0</v>
      </c>
      <c r="Q54" s="29">
        <v>0</v>
      </c>
      <c r="R54" s="29">
        <v>0</v>
      </c>
      <c r="S54" s="29">
        <v>0</v>
      </c>
      <c r="T54" s="29">
        <v>0</v>
      </c>
      <c r="U54" s="29">
        <f t="shared" ref="U54:U69" si="17">SUM(I54:T54)</f>
        <v>0</v>
      </c>
    </row>
    <row r="55" spans="1:21" ht="12.75" customHeight="1">
      <c r="A55" s="54"/>
      <c r="B55" s="55" t="s">
        <v>182</v>
      </c>
      <c r="C55" s="54" t="s">
        <v>183</v>
      </c>
      <c r="D55" s="55" t="s">
        <v>167</v>
      </c>
      <c r="E55" s="56">
        <v>255.2</v>
      </c>
      <c r="F55" s="57">
        <v>3062.4</v>
      </c>
      <c r="G55" s="53">
        <v>2.6</v>
      </c>
      <c r="H55" s="165">
        <f>G55*F55/1000</f>
        <v>7.9622400000000004</v>
      </c>
      <c r="I55" s="29">
        <f>F55/12*G55</f>
        <v>663.5200000000001</v>
      </c>
      <c r="J55" s="29">
        <f>F55/12*G55</f>
        <v>663.5200000000001</v>
      </c>
      <c r="K55" s="29">
        <f>F55/12*G55</f>
        <v>663.5200000000001</v>
      </c>
      <c r="L55" s="29">
        <f>F55/12*G55</f>
        <v>663.5200000000001</v>
      </c>
      <c r="M55" s="29">
        <f>F55/12*G55</f>
        <v>663.5200000000001</v>
      </c>
      <c r="N55" s="29">
        <f>F55/12*G55</f>
        <v>663.5200000000001</v>
      </c>
      <c r="O55" s="29">
        <f>F55/12*G55</f>
        <v>663.5200000000001</v>
      </c>
      <c r="P55" s="29">
        <f>F55/12*G55</f>
        <v>663.5200000000001</v>
      </c>
      <c r="Q55" s="29">
        <f>F55/12*G55</f>
        <v>663.5200000000001</v>
      </c>
      <c r="R55" s="29">
        <f>F55/12*G55</f>
        <v>663.5200000000001</v>
      </c>
      <c r="S55" s="29">
        <f>F55/12*G55</f>
        <v>663.5200000000001</v>
      </c>
      <c r="T55" s="29">
        <f>F55/12*G55</f>
        <v>663.5200000000001</v>
      </c>
      <c r="U55" s="29">
        <f t="shared" si="17"/>
        <v>7962.2400000000025</v>
      </c>
    </row>
    <row r="56" spans="1:21">
      <c r="A56" s="155"/>
      <c r="B56" s="18" t="s">
        <v>52</v>
      </c>
      <c r="C56" s="54"/>
      <c r="D56" s="55"/>
      <c r="E56" s="56"/>
      <c r="F56" s="57"/>
      <c r="G56" s="57"/>
      <c r="H56" s="165" t="s">
        <v>29</v>
      </c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29"/>
    </row>
    <row r="57" spans="1:21" ht="12.75" customHeight="1">
      <c r="A57" s="58" t="s">
        <v>145</v>
      </c>
      <c r="B57" s="19" t="s">
        <v>53</v>
      </c>
      <c r="C57" s="58" t="s">
        <v>47</v>
      </c>
      <c r="D57" s="21" t="s">
        <v>25</v>
      </c>
      <c r="E57" s="59">
        <v>5</v>
      </c>
      <c r="F57" s="36">
        <v>5</v>
      </c>
      <c r="G57" s="48">
        <v>222.4</v>
      </c>
      <c r="H57" s="171">
        <f t="shared" ref="H57:H64" si="18">SUM(F57*G57/1000)</f>
        <v>1.1120000000000001</v>
      </c>
      <c r="I57" s="29">
        <v>0</v>
      </c>
      <c r="J57" s="29">
        <v>0</v>
      </c>
      <c r="K57" s="29">
        <v>0</v>
      </c>
      <c r="L57" s="29">
        <f>G57*2</f>
        <v>444.8</v>
      </c>
      <c r="M57" s="29">
        <f>G57*2</f>
        <v>444.8</v>
      </c>
      <c r="N57" s="29">
        <f>G57*4</f>
        <v>889.6</v>
      </c>
      <c r="O57" s="29">
        <f>G57*9</f>
        <v>2001.6000000000001</v>
      </c>
      <c r="P57" s="29">
        <v>0</v>
      </c>
      <c r="Q57" s="29">
        <f>G57*8</f>
        <v>1779.2</v>
      </c>
      <c r="R57" s="29">
        <f>G57*5</f>
        <v>1112</v>
      </c>
      <c r="S57" s="29">
        <f>G57</f>
        <v>222.4</v>
      </c>
      <c r="T57" s="29">
        <v>0</v>
      </c>
      <c r="U57" s="29">
        <f t="shared" si="17"/>
        <v>6894.4</v>
      </c>
    </row>
    <row r="58" spans="1:21" ht="12.75" customHeight="1">
      <c r="A58" s="58" t="s">
        <v>146</v>
      </c>
      <c r="B58" s="19" t="s">
        <v>54</v>
      </c>
      <c r="C58" s="58" t="s">
        <v>47</v>
      </c>
      <c r="D58" s="21" t="s">
        <v>25</v>
      </c>
      <c r="E58" s="59">
        <v>4</v>
      </c>
      <c r="F58" s="36">
        <v>4</v>
      </c>
      <c r="G58" s="48">
        <v>76.25</v>
      </c>
      <c r="H58" s="171">
        <f t="shared" si="18"/>
        <v>0.30499999999999999</v>
      </c>
      <c r="I58" s="29">
        <v>0</v>
      </c>
      <c r="J58" s="29">
        <v>0</v>
      </c>
      <c r="K58" s="29">
        <v>0</v>
      </c>
      <c r="L58" s="29">
        <v>0</v>
      </c>
      <c r="M58" s="29">
        <v>0</v>
      </c>
      <c r="N58" s="29">
        <v>0</v>
      </c>
      <c r="O58" s="29">
        <v>0</v>
      </c>
      <c r="P58" s="29">
        <v>0</v>
      </c>
      <c r="Q58" s="29">
        <v>0</v>
      </c>
      <c r="R58" s="29">
        <v>0</v>
      </c>
      <c r="S58" s="29">
        <v>0</v>
      </c>
      <c r="T58" s="29">
        <v>0</v>
      </c>
      <c r="U58" s="29">
        <f t="shared" si="17"/>
        <v>0</v>
      </c>
    </row>
    <row r="59" spans="1:21" s="2" customFormat="1">
      <c r="A59" s="60" t="s">
        <v>147</v>
      </c>
      <c r="B59" s="19" t="s">
        <v>55</v>
      </c>
      <c r="C59" s="60" t="s">
        <v>56</v>
      </c>
      <c r="D59" s="21" t="s">
        <v>18</v>
      </c>
      <c r="E59" s="35">
        <v>15552</v>
      </c>
      <c r="F59" s="49">
        <f>SUM(E59/100)</f>
        <v>155.52000000000001</v>
      </c>
      <c r="G59" s="48">
        <v>212.15</v>
      </c>
      <c r="H59" s="171">
        <f t="shared" si="18"/>
        <v>32.993568000000003</v>
      </c>
      <c r="I59" s="47">
        <v>0</v>
      </c>
      <c r="J59" s="47">
        <v>0</v>
      </c>
      <c r="K59" s="47">
        <v>0</v>
      </c>
      <c r="L59" s="47">
        <v>0</v>
      </c>
      <c r="M59" s="29">
        <f>F59*G59</f>
        <v>32993.568000000007</v>
      </c>
      <c r="N59" s="47">
        <v>0</v>
      </c>
      <c r="O59" s="47">
        <v>0</v>
      </c>
      <c r="P59" s="47">
        <v>0</v>
      </c>
      <c r="Q59" s="47">
        <v>0</v>
      </c>
      <c r="R59" s="47">
        <v>0</v>
      </c>
      <c r="S59" s="47">
        <v>0</v>
      </c>
      <c r="T59" s="47">
        <v>0</v>
      </c>
      <c r="U59" s="29">
        <f t="shared" si="17"/>
        <v>32993.568000000007</v>
      </c>
    </row>
    <row r="60" spans="1:21" ht="12.75" customHeight="1">
      <c r="A60" s="58" t="s">
        <v>148</v>
      </c>
      <c r="B60" s="19" t="s">
        <v>57</v>
      </c>
      <c r="C60" s="58" t="s">
        <v>58</v>
      </c>
      <c r="D60" s="21"/>
      <c r="E60" s="35">
        <v>15552</v>
      </c>
      <c r="F60" s="48">
        <f>SUM(E60/1000)</f>
        <v>15.552</v>
      </c>
      <c r="G60" s="48">
        <v>165.21</v>
      </c>
      <c r="H60" s="171">
        <f t="shared" si="18"/>
        <v>2.5693459200000004</v>
      </c>
      <c r="I60" s="29">
        <v>0</v>
      </c>
      <c r="J60" s="29">
        <v>0</v>
      </c>
      <c r="K60" s="29">
        <v>0</v>
      </c>
      <c r="L60" s="29">
        <v>0</v>
      </c>
      <c r="M60" s="29">
        <f t="shared" ref="M60:M63" si="19">F60*G60</f>
        <v>2569.3459200000002</v>
      </c>
      <c r="N60" s="29">
        <v>0</v>
      </c>
      <c r="O60" s="29">
        <v>0</v>
      </c>
      <c r="P60" s="29">
        <v>0</v>
      </c>
      <c r="Q60" s="29">
        <v>0</v>
      </c>
      <c r="R60" s="29">
        <v>0</v>
      </c>
      <c r="S60" s="29">
        <v>0</v>
      </c>
      <c r="T60" s="29">
        <v>0</v>
      </c>
      <c r="U60" s="29">
        <f t="shared" si="17"/>
        <v>2569.3459200000002</v>
      </c>
    </row>
    <row r="61" spans="1:21">
      <c r="A61" s="58" t="s">
        <v>149</v>
      </c>
      <c r="B61" s="19" t="s">
        <v>59</v>
      </c>
      <c r="C61" s="58" t="s">
        <v>60</v>
      </c>
      <c r="D61" s="21" t="s">
        <v>18</v>
      </c>
      <c r="E61" s="35">
        <v>2432</v>
      </c>
      <c r="F61" s="48">
        <f>SUM(E61/100)</f>
        <v>24.32</v>
      </c>
      <c r="G61" s="48">
        <v>2074.63</v>
      </c>
      <c r="H61" s="171">
        <f t="shared" si="18"/>
        <v>50.455001600000003</v>
      </c>
      <c r="I61" s="29">
        <v>0</v>
      </c>
      <c r="J61" s="29">
        <v>0</v>
      </c>
      <c r="K61" s="29">
        <v>0</v>
      </c>
      <c r="L61" s="29">
        <v>0</v>
      </c>
      <c r="M61" s="29">
        <f t="shared" si="19"/>
        <v>50455.001600000003</v>
      </c>
      <c r="N61" s="29">
        <v>0</v>
      </c>
      <c r="O61" s="29">
        <v>0</v>
      </c>
      <c r="P61" s="29">
        <v>0</v>
      </c>
      <c r="Q61" s="29">
        <v>0</v>
      </c>
      <c r="R61" s="29">
        <v>0</v>
      </c>
      <c r="S61" s="29">
        <v>0</v>
      </c>
      <c r="T61" s="29">
        <v>0</v>
      </c>
      <c r="U61" s="29">
        <f t="shared" si="17"/>
        <v>50455.001600000003</v>
      </c>
    </row>
    <row r="62" spans="1:21">
      <c r="A62" s="58"/>
      <c r="B62" s="20" t="s">
        <v>83</v>
      </c>
      <c r="C62" s="58" t="s">
        <v>23</v>
      </c>
      <c r="D62" s="21"/>
      <c r="E62" s="35">
        <v>34.5</v>
      </c>
      <c r="F62" s="48">
        <f>SUM(E62)</f>
        <v>34.5</v>
      </c>
      <c r="G62" s="48">
        <v>45.32</v>
      </c>
      <c r="H62" s="171">
        <f t="shared" si="18"/>
        <v>1.5635399999999999</v>
      </c>
      <c r="I62" s="29">
        <v>0</v>
      </c>
      <c r="J62" s="29">
        <v>0</v>
      </c>
      <c r="K62" s="29">
        <v>0</v>
      </c>
      <c r="L62" s="29">
        <v>0</v>
      </c>
      <c r="M62" s="29">
        <f t="shared" si="19"/>
        <v>1563.54</v>
      </c>
      <c r="N62" s="29">
        <v>0</v>
      </c>
      <c r="O62" s="29">
        <v>0</v>
      </c>
      <c r="P62" s="29">
        <v>0</v>
      </c>
      <c r="Q62" s="29">
        <v>0</v>
      </c>
      <c r="R62" s="29">
        <v>0</v>
      </c>
      <c r="S62" s="29">
        <v>0</v>
      </c>
      <c r="T62" s="29">
        <v>0</v>
      </c>
      <c r="U62" s="29">
        <f t="shared" si="17"/>
        <v>1563.54</v>
      </c>
    </row>
    <row r="63" spans="1:21" ht="25.5">
      <c r="A63" s="58"/>
      <c r="B63" s="20" t="s">
        <v>84</v>
      </c>
      <c r="C63" s="58" t="s">
        <v>23</v>
      </c>
      <c r="D63" s="21"/>
      <c r="E63" s="35">
        <f>E62</f>
        <v>34.5</v>
      </c>
      <c r="F63" s="48">
        <f>SUM(E63)</f>
        <v>34.5</v>
      </c>
      <c r="G63" s="48">
        <v>42.28</v>
      </c>
      <c r="H63" s="171">
        <f t="shared" si="18"/>
        <v>1.4586600000000001</v>
      </c>
      <c r="I63" s="29">
        <v>0</v>
      </c>
      <c r="J63" s="29">
        <v>0</v>
      </c>
      <c r="K63" s="29">
        <v>0</v>
      </c>
      <c r="L63" s="29">
        <v>0</v>
      </c>
      <c r="M63" s="29">
        <f t="shared" si="19"/>
        <v>1458.66</v>
      </c>
      <c r="N63" s="29">
        <v>0</v>
      </c>
      <c r="O63" s="29">
        <v>0</v>
      </c>
      <c r="P63" s="29">
        <v>0</v>
      </c>
      <c r="Q63" s="29">
        <v>0</v>
      </c>
      <c r="R63" s="29">
        <v>0</v>
      </c>
      <c r="S63" s="29">
        <v>0</v>
      </c>
      <c r="T63" s="29">
        <v>0</v>
      </c>
      <c r="U63" s="29">
        <f t="shared" si="17"/>
        <v>1458.66</v>
      </c>
    </row>
    <row r="64" spans="1:21" ht="12.75" customHeight="1">
      <c r="A64" s="58" t="s">
        <v>150</v>
      </c>
      <c r="B64" s="21" t="s">
        <v>61</v>
      </c>
      <c r="C64" s="58" t="s">
        <v>62</v>
      </c>
      <c r="D64" s="21" t="s">
        <v>18</v>
      </c>
      <c r="E64" s="59">
        <v>4</v>
      </c>
      <c r="F64" s="36">
        <f>SUM(E64)</f>
        <v>4</v>
      </c>
      <c r="G64" s="48">
        <v>49.88</v>
      </c>
      <c r="H64" s="171">
        <f t="shared" si="18"/>
        <v>0.19952</v>
      </c>
      <c r="I64" s="29">
        <v>0</v>
      </c>
      <c r="J64" s="29">
        <v>0</v>
      </c>
      <c r="K64" s="29">
        <v>0</v>
      </c>
      <c r="L64" s="29">
        <v>0</v>
      </c>
      <c r="M64" s="29">
        <v>0</v>
      </c>
      <c r="N64" s="29">
        <v>0</v>
      </c>
      <c r="O64" s="29">
        <v>0</v>
      </c>
      <c r="P64" s="29">
        <v>0</v>
      </c>
      <c r="Q64" s="29">
        <f>G64*4</f>
        <v>199.52</v>
      </c>
      <c r="R64" s="29">
        <v>0</v>
      </c>
      <c r="S64" s="29">
        <v>0</v>
      </c>
      <c r="T64" s="29">
        <v>0</v>
      </c>
      <c r="U64" s="29">
        <f t="shared" si="17"/>
        <v>199.52</v>
      </c>
    </row>
    <row r="65" spans="1:21">
      <c r="A65" s="58"/>
      <c r="B65" s="22" t="s">
        <v>63</v>
      </c>
      <c r="C65" s="58"/>
      <c r="D65" s="21"/>
      <c r="E65" s="59"/>
      <c r="F65" s="48"/>
      <c r="G65" s="48"/>
      <c r="H65" s="171" t="s">
        <v>29</v>
      </c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29"/>
    </row>
    <row r="66" spans="1:21">
      <c r="A66" s="58" t="s">
        <v>151</v>
      </c>
      <c r="B66" s="21" t="s">
        <v>64</v>
      </c>
      <c r="C66" s="58" t="s">
        <v>65</v>
      </c>
      <c r="D66" s="21"/>
      <c r="E66" s="59">
        <v>4</v>
      </c>
      <c r="F66" s="48">
        <v>0.4</v>
      </c>
      <c r="G66" s="48">
        <v>501.62</v>
      </c>
      <c r="H66" s="171">
        <f>SUM(F66*G66/1000)</f>
        <v>0.20064800000000002</v>
      </c>
      <c r="I66" s="29">
        <f>G66*0.2</f>
        <v>100.32400000000001</v>
      </c>
      <c r="J66" s="29">
        <v>0</v>
      </c>
      <c r="K66" s="29">
        <v>0</v>
      </c>
      <c r="L66" s="29">
        <v>0</v>
      </c>
      <c r="M66" s="29">
        <v>0</v>
      </c>
      <c r="N66" s="29">
        <v>0</v>
      </c>
      <c r="O66" s="29">
        <v>0</v>
      </c>
      <c r="P66" s="29">
        <v>0</v>
      </c>
      <c r="Q66" s="29">
        <v>0</v>
      </c>
      <c r="R66" s="29">
        <f>G66*1.1</f>
        <v>551.78200000000004</v>
      </c>
      <c r="S66" s="29">
        <f>G66*0.2</f>
        <v>100.32400000000001</v>
      </c>
      <c r="T66" s="29">
        <v>0</v>
      </c>
      <c r="U66" s="29">
        <f t="shared" si="17"/>
        <v>752.43000000000006</v>
      </c>
    </row>
    <row r="67" spans="1:21">
      <c r="A67" s="58" t="s">
        <v>225</v>
      </c>
      <c r="B67" s="21" t="s">
        <v>226</v>
      </c>
      <c r="C67" s="58" t="s">
        <v>47</v>
      </c>
      <c r="D67" s="21"/>
      <c r="E67" s="59">
        <v>1</v>
      </c>
      <c r="F67" s="48">
        <f>E67</f>
        <v>1</v>
      </c>
      <c r="G67" s="48">
        <v>852.99</v>
      </c>
      <c r="H67" s="171">
        <f>SUM(F67*G67/1000)</f>
        <v>0.85299000000000003</v>
      </c>
      <c r="I67" s="29">
        <v>0</v>
      </c>
      <c r="J67" s="29">
        <v>0</v>
      </c>
      <c r="K67" s="29">
        <v>0</v>
      </c>
      <c r="L67" s="29">
        <v>0</v>
      </c>
      <c r="M67" s="29">
        <v>0</v>
      </c>
      <c r="N67" s="29">
        <v>0</v>
      </c>
      <c r="O67" s="29">
        <v>0</v>
      </c>
      <c r="P67" s="29">
        <v>0</v>
      </c>
      <c r="Q67" s="29">
        <v>0</v>
      </c>
      <c r="R67" s="29">
        <v>0</v>
      </c>
      <c r="S67" s="29">
        <v>0</v>
      </c>
      <c r="T67" s="29">
        <v>0</v>
      </c>
      <c r="U67" s="29">
        <f t="shared" si="17"/>
        <v>0</v>
      </c>
    </row>
    <row r="68" spans="1:21">
      <c r="A68" s="58"/>
      <c r="B68" s="61" t="s">
        <v>67</v>
      </c>
      <c r="C68" s="58"/>
      <c r="D68" s="21"/>
      <c r="E68" s="63"/>
      <c r="F68" s="63"/>
      <c r="G68" s="63"/>
      <c r="H68" s="63"/>
      <c r="I68" s="33"/>
      <c r="J68" s="29"/>
      <c r="K68" s="29"/>
      <c r="L68" s="29"/>
      <c r="M68" s="29"/>
      <c r="N68" s="29"/>
      <c r="O68" s="29"/>
      <c r="P68" s="29"/>
      <c r="Q68" s="29"/>
      <c r="R68" s="29"/>
      <c r="S68" s="29"/>
      <c r="T68" s="29"/>
      <c r="U68" s="29"/>
    </row>
    <row r="69" spans="1:21" s="2" customFormat="1">
      <c r="A69" s="60" t="s">
        <v>68</v>
      </c>
      <c r="B69" s="62" t="s">
        <v>69</v>
      </c>
      <c r="C69" s="60" t="s">
        <v>60</v>
      </c>
      <c r="D69" s="19"/>
      <c r="E69" s="63"/>
      <c r="F69" s="49">
        <v>0.1</v>
      </c>
      <c r="G69" s="49">
        <v>2759.44</v>
      </c>
      <c r="H69" s="117">
        <f t="shared" ref="H69" si="20">SUM(F69*G69/1000)</f>
        <v>0.27594400000000002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v>0</v>
      </c>
      <c r="O69" s="47">
        <v>0</v>
      </c>
      <c r="P69" s="47">
        <v>0</v>
      </c>
      <c r="Q69" s="47">
        <v>0</v>
      </c>
      <c r="R69" s="47">
        <v>0</v>
      </c>
      <c r="S69" s="47">
        <v>0</v>
      </c>
      <c r="T69" s="47">
        <v>0</v>
      </c>
      <c r="U69" s="29">
        <f t="shared" si="17"/>
        <v>0</v>
      </c>
    </row>
    <row r="70" spans="1:21" s="10" customFormat="1">
      <c r="A70" s="113"/>
      <c r="B70" s="14" t="s">
        <v>12</v>
      </c>
      <c r="C70" s="64"/>
      <c r="D70" s="65"/>
      <c r="E70" s="66"/>
      <c r="F70" s="67"/>
      <c r="G70" s="67"/>
      <c r="H70" s="142">
        <f>SUM(H52:H69)</f>
        <v>124.27670696000001</v>
      </c>
      <c r="I70" s="112"/>
      <c r="J70" s="112"/>
      <c r="K70" s="112"/>
      <c r="L70" s="112"/>
      <c r="M70" s="122"/>
      <c r="N70" s="113"/>
      <c r="O70" s="113"/>
      <c r="P70" s="113"/>
      <c r="Q70" s="113"/>
      <c r="R70" s="113"/>
      <c r="S70" s="113"/>
      <c r="T70" s="113"/>
      <c r="U70" s="67">
        <f>SUM(U52:U69)</f>
        <v>120008.95496</v>
      </c>
    </row>
    <row r="71" spans="1:21">
      <c r="A71" s="156" t="s">
        <v>99</v>
      </c>
      <c r="B71" s="13" t="s">
        <v>100</v>
      </c>
      <c r="C71" s="68"/>
      <c r="D71" s="69"/>
      <c r="E71" s="123"/>
      <c r="F71" s="70">
        <f>232/10</f>
        <v>23.2</v>
      </c>
      <c r="G71" s="71">
        <v>11370.2</v>
      </c>
      <c r="H71" s="117">
        <f>G71*F71/1000</f>
        <v>263.78863999999999</v>
      </c>
      <c r="I71" s="29">
        <v>0</v>
      </c>
      <c r="J71" s="29">
        <v>0</v>
      </c>
      <c r="K71" s="29">
        <v>11370.2</v>
      </c>
      <c r="L71" s="29">
        <v>0</v>
      </c>
      <c r="M71" s="124">
        <v>0</v>
      </c>
      <c r="N71" s="124">
        <v>0</v>
      </c>
      <c r="O71" s="29">
        <v>0</v>
      </c>
      <c r="P71" s="146">
        <v>0</v>
      </c>
      <c r="Q71" s="146">
        <v>0</v>
      </c>
      <c r="R71" s="146">
        <v>0</v>
      </c>
      <c r="S71" s="146">
        <v>0</v>
      </c>
      <c r="T71" s="146">
        <v>0</v>
      </c>
      <c r="U71" s="29">
        <f>SUM(I71:T71)</f>
        <v>11370.2</v>
      </c>
    </row>
    <row r="72" spans="1:21" ht="12.75" customHeight="1">
      <c r="A72" s="157"/>
      <c r="B72" s="17" t="s">
        <v>70</v>
      </c>
      <c r="C72" s="58" t="s">
        <v>71</v>
      </c>
      <c r="D72" s="72"/>
      <c r="E72" s="48">
        <v>3053.4</v>
      </c>
      <c r="F72" s="48">
        <f>SUM(E72*12)</f>
        <v>36640.800000000003</v>
      </c>
      <c r="G72" s="73">
        <v>2.1</v>
      </c>
      <c r="H72" s="171">
        <f>SUM(F72*G72/1000)</f>
        <v>76.94568000000001</v>
      </c>
      <c r="I72" s="29">
        <f>F72/12*G72</f>
        <v>6412.14</v>
      </c>
      <c r="J72" s="29">
        <f>F72/12*G72</f>
        <v>6412.14</v>
      </c>
      <c r="K72" s="29">
        <f>F72/12*G72</f>
        <v>6412.14</v>
      </c>
      <c r="L72" s="29">
        <f>F72/12*G72</f>
        <v>6412.14</v>
      </c>
      <c r="M72" s="124">
        <f>F72/12*G72</f>
        <v>6412.14</v>
      </c>
      <c r="N72" s="124">
        <f>F72/12*G72</f>
        <v>6412.14</v>
      </c>
      <c r="O72" s="29">
        <f>F72/12*G72</f>
        <v>6412.14</v>
      </c>
      <c r="P72" s="146">
        <f>F72/12*G72</f>
        <v>6412.14</v>
      </c>
      <c r="Q72" s="146">
        <f>F72/12*G72</f>
        <v>6412.14</v>
      </c>
      <c r="R72" s="146">
        <f>F72/12*G72</f>
        <v>6412.14</v>
      </c>
      <c r="S72" s="146">
        <f>F72/12*G72</f>
        <v>6412.14</v>
      </c>
      <c r="T72" s="146">
        <f>F72/12*G72</f>
        <v>6412.14</v>
      </c>
      <c r="U72" s="29">
        <f>SUM(I72:T72)</f>
        <v>76945.680000000008</v>
      </c>
    </row>
    <row r="73" spans="1:21" s="9" customFormat="1">
      <c r="A73" s="133"/>
      <c r="B73" s="14" t="s">
        <v>12</v>
      </c>
      <c r="C73" s="74"/>
      <c r="D73" s="75"/>
      <c r="E73" s="76"/>
      <c r="F73" s="77"/>
      <c r="G73" s="78"/>
      <c r="H73" s="116">
        <f>SUM(H71:H72)</f>
        <v>340.73432000000003</v>
      </c>
      <c r="I73" s="111"/>
      <c r="J73" s="111"/>
      <c r="K73" s="111"/>
      <c r="L73" s="111"/>
      <c r="M73" s="120"/>
      <c r="N73" s="84"/>
      <c r="O73" s="84"/>
      <c r="P73" s="84"/>
      <c r="Q73" s="84"/>
      <c r="R73" s="84"/>
      <c r="S73" s="84"/>
      <c r="T73" s="84"/>
      <c r="U73" s="77">
        <f>SUM(U71:U72)</f>
        <v>88315.88</v>
      </c>
    </row>
    <row r="74" spans="1:21" ht="27" customHeight="1">
      <c r="A74" s="134"/>
      <c r="B74" s="21" t="s">
        <v>72</v>
      </c>
      <c r="C74" s="58"/>
      <c r="D74" s="79"/>
      <c r="E74" s="35">
        <f>E72</f>
        <v>3053.4</v>
      </c>
      <c r="F74" s="48">
        <f>E74*12</f>
        <v>36640.800000000003</v>
      </c>
      <c r="G74" s="48">
        <v>1.63</v>
      </c>
      <c r="H74" s="117">
        <f>F74*G74/1000</f>
        <v>59.724504000000003</v>
      </c>
      <c r="I74" s="29">
        <f>F74/12*G74</f>
        <v>4977.0419999999995</v>
      </c>
      <c r="J74" s="29">
        <f>F74/12*G74</f>
        <v>4977.0419999999995</v>
      </c>
      <c r="K74" s="29">
        <f>F74/12*G74</f>
        <v>4977.0419999999995</v>
      </c>
      <c r="L74" s="29">
        <f>F74/12*G74</f>
        <v>4977.0419999999995</v>
      </c>
      <c r="M74" s="29">
        <f>F74/12*G74</f>
        <v>4977.0419999999995</v>
      </c>
      <c r="N74" s="29">
        <f>F74/12*G74</f>
        <v>4977.0419999999995</v>
      </c>
      <c r="O74" s="29">
        <f>F74/12*G74</f>
        <v>4977.0419999999995</v>
      </c>
      <c r="P74" s="29">
        <f>F74/12*G74</f>
        <v>4977.0419999999995</v>
      </c>
      <c r="Q74" s="29">
        <f>F74/12*G74</f>
        <v>4977.0419999999995</v>
      </c>
      <c r="R74" s="29">
        <f>F74/12*G74</f>
        <v>4977.0419999999995</v>
      </c>
      <c r="S74" s="29">
        <f>F74/12*G74</f>
        <v>4977.0419999999995</v>
      </c>
      <c r="T74" s="146">
        <f t="shared" ref="T74" si="21">F74/12*G74</f>
        <v>4977.0419999999995</v>
      </c>
      <c r="U74" s="29">
        <f>SUM(I74:T74)</f>
        <v>59724.504000000008</v>
      </c>
    </row>
    <row r="75" spans="1:21" s="9" customFormat="1">
      <c r="A75" s="133"/>
      <c r="B75" s="80" t="s">
        <v>73</v>
      </c>
      <c r="C75" s="81"/>
      <c r="D75" s="80"/>
      <c r="E75" s="77"/>
      <c r="F75" s="77"/>
      <c r="G75" s="77"/>
      <c r="H75" s="142">
        <f>SUM(H74)</f>
        <v>59.724504000000003</v>
      </c>
      <c r="I75" s="111"/>
      <c r="J75" s="111"/>
      <c r="K75" s="111"/>
      <c r="L75" s="111"/>
      <c r="M75" s="120"/>
      <c r="N75" s="82"/>
      <c r="O75" s="82"/>
      <c r="P75" s="82"/>
      <c r="Q75" s="82"/>
      <c r="R75" s="82"/>
      <c r="S75" s="82"/>
      <c r="T75" s="82"/>
      <c r="U75" s="114">
        <f>SUM(U74)</f>
        <v>59724.504000000008</v>
      </c>
    </row>
    <row r="76" spans="1:21" s="9" customFormat="1">
      <c r="A76" s="133"/>
      <c r="B76" s="80" t="s">
        <v>74</v>
      </c>
      <c r="C76" s="82"/>
      <c r="D76" s="83"/>
      <c r="E76" s="84"/>
      <c r="F76" s="84"/>
      <c r="G76" s="84"/>
      <c r="H76" s="142">
        <f>SUM(H75+H73+H70+H50+H38+H30)</f>
        <v>794.99297606633331</v>
      </c>
      <c r="I76" s="90"/>
      <c r="J76" s="90"/>
      <c r="K76" s="90"/>
      <c r="L76" s="90"/>
      <c r="M76" s="120"/>
      <c r="N76" s="82"/>
      <c r="O76" s="82"/>
      <c r="P76" s="82"/>
      <c r="Q76" s="82"/>
      <c r="R76" s="82"/>
      <c r="S76" s="82"/>
      <c r="T76" s="82"/>
      <c r="U76" s="114">
        <f>SUM(U75+U73+U70+U50+U38+U30+U20)*1.094</f>
        <v>698563.21354869672</v>
      </c>
    </row>
    <row r="77" spans="1:21" s="170" customFormat="1" ht="52.5" customHeight="1">
      <c r="A77" s="134"/>
      <c r="B77" s="61"/>
      <c r="C77" s="58"/>
      <c r="D77" s="79"/>
      <c r="E77" s="48"/>
      <c r="F77" s="48"/>
      <c r="G77" s="48"/>
      <c r="H77" s="166"/>
      <c r="I77" s="93"/>
      <c r="J77" s="93"/>
      <c r="K77" s="93"/>
      <c r="L77" s="93"/>
      <c r="M77" s="167"/>
      <c r="N77" s="167"/>
      <c r="O77" s="167"/>
      <c r="P77" s="167"/>
      <c r="Q77" s="167"/>
      <c r="R77" s="168"/>
      <c r="S77" s="168"/>
      <c r="T77" s="168"/>
      <c r="U77" s="169" t="s">
        <v>184</v>
      </c>
    </row>
    <row r="78" spans="1:21">
      <c r="A78" s="134"/>
      <c r="B78" s="79" t="s">
        <v>75</v>
      </c>
      <c r="C78" s="58"/>
      <c r="D78" s="79"/>
      <c r="E78" s="48"/>
      <c r="F78" s="48"/>
      <c r="G78" s="48" t="s">
        <v>76</v>
      </c>
      <c r="H78" s="138">
        <f>E74</f>
        <v>3053.4</v>
      </c>
      <c r="I78" s="33"/>
      <c r="J78" s="33"/>
      <c r="K78" s="33"/>
      <c r="L78" s="33"/>
      <c r="M78" s="121"/>
      <c r="N78" s="28"/>
      <c r="O78" s="28"/>
      <c r="P78" s="28"/>
      <c r="Q78" s="28"/>
      <c r="R78" s="28"/>
      <c r="S78" s="28"/>
      <c r="T78" s="28"/>
      <c r="U78" s="29"/>
    </row>
    <row r="79" spans="1:21">
      <c r="A79" s="133"/>
      <c r="B79" s="83" t="s">
        <v>77</v>
      </c>
      <c r="C79" s="82"/>
      <c r="D79" s="83"/>
      <c r="E79" s="84"/>
      <c r="F79" s="84"/>
      <c r="G79" s="84"/>
      <c r="H79" s="143">
        <f>SUM(H76/H78/12*1000)</f>
        <v>21.696932819871108</v>
      </c>
      <c r="I79" s="90"/>
      <c r="J79" s="90"/>
      <c r="K79" s="90"/>
      <c r="L79" s="90"/>
      <c r="M79" s="120"/>
      <c r="N79" s="137"/>
      <c r="O79" s="82"/>
      <c r="P79" s="82"/>
      <c r="Q79" s="82"/>
      <c r="R79" s="82"/>
      <c r="S79" s="82"/>
      <c r="T79" s="82"/>
      <c r="U79" s="137"/>
    </row>
    <row r="80" spans="1:21">
      <c r="A80" s="134"/>
      <c r="B80" s="79"/>
      <c r="C80" s="58"/>
      <c r="D80" s="79"/>
      <c r="E80" s="48"/>
      <c r="F80" s="48"/>
      <c r="G80" s="48"/>
      <c r="H80" s="86"/>
      <c r="I80" s="33"/>
      <c r="J80" s="33"/>
      <c r="K80" s="33"/>
      <c r="L80" s="33"/>
      <c r="M80" s="121"/>
      <c r="N80" s="28"/>
      <c r="O80" s="28"/>
      <c r="P80" s="28"/>
      <c r="Q80" s="28"/>
      <c r="R80" s="28"/>
      <c r="S80" s="28"/>
      <c r="T80" s="28"/>
      <c r="U80" s="85"/>
    </row>
    <row r="81" spans="1:21">
      <c r="A81" s="134"/>
      <c r="B81" s="61" t="s">
        <v>78</v>
      </c>
      <c r="C81" s="58"/>
      <c r="D81" s="79"/>
      <c r="E81" s="48"/>
      <c r="F81" s="48"/>
      <c r="G81" s="48"/>
      <c r="H81" s="87"/>
      <c r="I81" s="33"/>
      <c r="J81" s="33"/>
      <c r="K81" s="33"/>
      <c r="L81" s="33"/>
      <c r="M81" s="121"/>
      <c r="N81" s="28"/>
      <c r="O81" s="28"/>
      <c r="P81" s="28"/>
      <c r="Q81" s="28"/>
      <c r="R81" s="28"/>
      <c r="S81" s="28"/>
      <c r="T81" s="28"/>
      <c r="U81" s="29"/>
    </row>
    <row r="82" spans="1:21" ht="25.5">
      <c r="A82" s="126" t="s">
        <v>185</v>
      </c>
      <c r="B82" s="136" t="s">
        <v>186</v>
      </c>
      <c r="C82" s="126" t="s">
        <v>47</v>
      </c>
      <c r="D82" s="130"/>
      <c r="E82" s="48"/>
      <c r="F82" s="48">
        <v>780</v>
      </c>
      <c r="G82" s="48">
        <v>50.68</v>
      </c>
      <c r="H82" s="117">
        <f>G82*F82/1000</f>
        <v>39.5304</v>
      </c>
      <c r="I82" s="29">
        <f>G82*65</f>
        <v>3294.2</v>
      </c>
      <c r="J82" s="29">
        <f>G82*65</f>
        <v>3294.2</v>
      </c>
      <c r="K82" s="29">
        <f>G82*65</f>
        <v>3294.2</v>
      </c>
      <c r="L82" s="29">
        <f>G82*65</f>
        <v>3294.2</v>
      </c>
      <c r="M82" s="29">
        <f>G82*65</f>
        <v>3294.2</v>
      </c>
      <c r="N82" s="29">
        <f>G82*65</f>
        <v>3294.2</v>
      </c>
      <c r="O82" s="29">
        <f>G82*65</f>
        <v>3294.2</v>
      </c>
      <c r="P82" s="29">
        <f>G82*65</f>
        <v>3294.2</v>
      </c>
      <c r="Q82" s="29">
        <f>G82*65</f>
        <v>3294.2</v>
      </c>
      <c r="R82" s="29">
        <f>G82*65</f>
        <v>3294.2</v>
      </c>
      <c r="S82" s="29">
        <f>G82*65</f>
        <v>3294.2</v>
      </c>
      <c r="T82" s="29">
        <f>G82*65</f>
        <v>3294.2</v>
      </c>
      <c r="U82" s="29">
        <f>SUM(I82:T82)</f>
        <v>39530.399999999994</v>
      </c>
    </row>
    <row r="83" spans="1:21" ht="25.5">
      <c r="A83" s="172" t="s">
        <v>188</v>
      </c>
      <c r="B83" s="136" t="s">
        <v>187</v>
      </c>
      <c r="C83" s="126" t="s">
        <v>47</v>
      </c>
      <c r="D83" s="130"/>
      <c r="E83" s="48"/>
      <c r="F83" s="48">
        <v>1</v>
      </c>
      <c r="G83" s="48">
        <v>2179.33</v>
      </c>
      <c r="H83" s="117">
        <f>G83*F83/1000</f>
        <v>2.1793299999999998</v>
      </c>
      <c r="I83" s="29">
        <v>0</v>
      </c>
      <c r="J83" s="29">
        <f>G83</f>
        <v>2179.33</v>
      </c>
      <c r="K83" s="29">
        <v>0</v>
      </c>
      <c r="L83" s="29">
        <v>0</v>
      </c>
      <c r="M83" s="29">
        <v>0</v>
      </c>
      <c r="N83" s="29">
        <v>0</v>
      </c>
      <c r="O83" s="29">
        <v>0</v>
      </c>
      <c r="P83" s="29">
        <v>0</v>
      </c>
      <c r="Q83" s="29">
        <v>0</v>
      </c>
      <c r="R83" s="29">
        <v>0</v>
      </c>
      <c r="S83" s="29">
        <v>0</v>
      </c>
      <c r="T83" s="29">
        <v>0</v>
      </c>
      <c r="U83" s="29">
        <f t="shared" ref="U83:U102" si="22">SUM(I83:T83)</f>
        <v>2179.33</v>
      </c>
    </row>
    <row r="84" spans="1:21" ht="25.5" customHeight="1">
      <c r="A84" s="129" t="s">
        <v>141</v>
      </c>
      <c r="B84" s="128" t="s">
        <v>104</v>
      </c>
      <c r="C84" s="126" t="s">
        <v>44</v>
      </c>
      <c r="D84" s="79"/>
      <c r="E84" s="48"/>
      <c r="F84" s="48">
        <f>3/100</f>
        <v>0.03</v>
      </c>
      <c r="G84" s="48">
        <v>3397.65</v>
      </c>
      <c r="H84" s="117">
        <f t="shared" ref="H84:H93" si="23">F84*G84/1000</f>
        <v>0.10192950000000001</v>
      </c>
      <c r="I84" s="29">
        <v>0</v>
      </c>
      <c r="J84" s="29">
        <f>G84*0.01</f>
        <v>33.976500000000001</v>
      </c>
      <c r="K84" s="29">
        <f>G84*0.01</f>
        <v>33.976500000000001</v>
      </c>
      <c r="L84" s="29">
        <v>0</v>
      </c>
      <c r="M84" s="29">
        <v>0</v>
      </c>
      <c r="N84" s="29">
        <v>0</v>
      </c>
      <c r="O84" s="29">
        <v>0</v>
      </c>
      <c r="P84" s="29">
        <v>0</v>
      </c>
      <c r="Q84" s="29">
        <v>0</v>
      </c>
      <c r="R84" s="29">
        <v>0</v>
      </c>
      <c r="S84" s="29">
        <f>G84*0.01</f>
        <v>33.976500000000001</v>
      </c>
      <c r="T84" s="29">
        <v>0</v>
      </c>
      <c r="U84" s="29">
        <f t="shared" si="22"/>
        <v>101.9295</v>
      </c>
    </row>
    <row r="85" spans="1:21" ht="12.75" customHeight="1">
      <c r="A85" s="129" t="s">
        <v>190</v>
      </c>
      <c r="B85" s="128" t="s">
        <v>66</v>
      </c>
      <c r="C85" s="127" t="s">
        <v>189</v>
      </c>
      <c r="D85" s="79"/>
      <c r="E85" s="48"/>
      <c r="F85" s="48">
        <v>2</v>
      </c>
      <c r="G85" s="48">
        <v>18</v>
      </c>
      <c r="H85" s="117">
        <f t="shared" si="23"/>
        <v>3.5999999999999997E-2</v>
      </c>
      <c r="I85" s="29">
        <v>0</v>
      </c>
      <c r="J85" s="29">
        <f>G85</f>
        <v>18</v>
      </c>
      <c r="K85" s="29">
        <v>0</v>
      </c>
      <c r="L85" s="29">
        <v>0</v>
      </c>
      <c r="M85" s="29">
        <v>0</v>
      </c>
      <c r="N85" s="29">
        <v>0</v>
      </c>
      <c r="O85" s="29">
        <v>0</v>
      </c>
      <c r="P85" s="29">
        <v>0</v>
      </c>
      <c r="Q85" s="29">
        <v>0</v>
      </c>
      <c r="R85" s="29">
        <v>0</v>
      </c>
      <c r="S85" s="29">
        <f>G85</f>
        <v>18</v>
      </c>
      <c r="T85" s="29">
        <v>0</v>
      </c>
      <c r="U85" s="29">
        <f t="shared" si="22"/>
        <v>36</v>
      </c>
    </row>
    <row r="86" spans="1:21" ht="12.75" customHeight="1">
      <c r="A86" s="129" t="s">
        <v>102</v>
      </c>
      <c r="B86" s="128" t="s">
        <v>191</v>
      </c>
      <c r="C86" s="125" t="s">
        <v>103</v>
      </c>
      <c r="D86" s="79"/>
      <c r="E86" s="48"/>
      <c r="F86" s="48">
        <v>1</v>
      </c>
      <c r="G86" s="48">
        <v>1501</v>
      </c>
      <c r="H86" s="117">
        <f t="shared" si="23"/>
        <v>1.5009999999999999</v>
      </c>
      <c r="I86" s="29">
        <v>0</v>
      </c>
      <c r="J86" s="29">
        <f>G86</f>
        <v>1501</v>
      </c>
      <c r="K86" s="29">
        <v>0</v>
      </c>
      <c r="L86" s="29">
        <v>0</v>
      </c>
      <c r="M86" s="29">
        <v>0</v>
      </c>
      <c r="N86" s="29">
        <v>0</v>
      </c>
      <c r="O86" s="29">
        <v>0</v>
      </c>
      <c r="P86" s="29">
        <v>0</v>
      </c>
      <c r="Q86" s="29">
        <v>0</v>
      </c>
      <c r="R86" s="29">
        <v>0</v>
      </c>
      <c r="S86" s="29">
        <v>0</v>
      </c>
      <c r="T86" s="29">
        <v>0</v>
      </c>
      <c r="U86" s="29">
        <f t="shared" si="22"/>
        <v>1501</v>
      </c>
    </row>
    <row r="87" spans="1:21" ht="25.5" customHeight="1">
      <c r="A87" s="127" t="s">
        <v>194</v>
      </c>
      <c r="B87" s="128" t="s">
        <v>192</v>
      </c>
      <c r="C87" s="129" t="s">
        <v>193</v>
      </c>
      <c r="D87" s="79"/>
      <c r="E87" s="48"/>
      <c r="F87" s="48">
        <v>1</v>
      </c>
      <c r="G87" s="48">
        <v>762.37</v>
      </c>
      <c r="H87" s="117">
        <f t="shared" si="23"/>
        <v>0.76236999999999999</v>
      </c>
      <c r="I87" s="29">
        <v>0</v>
      </c>
      <c r="J87" s="29">
        <v>0</v>
      </c>
      <c r="K87" s="29">
        <v>0</v>
      </c>
      <c r="L87" s="29">
        <v>0</v>
      </c>
      <c r="M87" s="29">
        <f>G87</f>
        <v>762.37</v>
      </c>
      <c r="N87" s="29">
        <v>0</v>
      </c>
      <c r="O87" s="29">
        <v>0</v>
      </c>
      <c r="P87" s="29">
        <v>0</v>
      </c>
      <c r="Q87" s="29">
        <v>0</v>
      </c>
      <c r="R87" s="29">
        <v>0</v>
      </c>
      <c r="S87" s="29">
        <v>0</v>
      </c>
      <c r="T87" s="29">
        <v>0</v>
      </c>
      <c r="U87" s="29">
        <f t="shared" si="22"/>
        <v>762.37</v>
      </c>
    </row>
    <row r="88" spans="1:21" ht="25.5">
      <c r="A88" s="173" t="s">
        <v>123</v>
      </c>
      <c r="B88" s="128" t="s">
        <v>195</v>
      </c>
      <c r="C88" s="58" t="s">
        <v>196</v>
      </c>
      <c r="D88" s="79"/>
      <c r="E88" s="48"/>
      <c r="F88" s="131">
        <v>20</v>
      </c>
      <c r="G88" s="48">
        <v>1187</v>
      </c>
      <c r="H88" s="117">
        <f t="shared" si="23"/>
        <v>23.74</v>
      </c>
      <c r="I88" s="29">
        <v>0</v>
      </c>
      <c r="J88" s="29">
        <v>0</v>
      </c>
      <c r="K88" s="29">
        <v>0</v>
      </c>
      <c r="L88" s="29">
        <v>0</v>
      </c>
      <c r="M88" s="29">
        <f>G88*20</f>
        <v>23740</v>
      </c>
      <c r="N88" s="29">
        <v>0</v>
      </c>
      <c r="O88" s="29">
        <v>0</v>
      </c>
      <c r="P88" s="29">
        <v>0</v>
      </c>
      <c r="Q88" s="29">
        <v>0</v>
      </c>
      <c r="R88" s="29">
        <v>0</v>
      </c>
      <c r="S88" s="29">
        <v>0</v>
      </c>
      <c r="T88" s="29">
        <v>0</v>
      </c>
      <c r="U88" s="29">
        <f t="shared" si="22"/>
        <v>23740</v>
      </c>
    </row>
    <row r="89" spans="1:21" ht="25.5" customHeight="1">
      <c r="A89" s="129" t="s">
        <v>203</v>
      </c>
      <c r="B89" s="128" t="s">
        <v>202</v>
      </c>
      <c r="C89" s="129" t="s">
        <v>47</v>
      </c>
      <c r="D89" s="79"/>
      <c r="E89" s="48"/>
      <c r="F89" s="48">
        <v>5</v>
      </c>
      <c r="G89" s="48">
        <v>180.15</v>
      </c>
      <c r="H89" s="117">
        <f t="shared" si="23"/>
        <v>0.90075000000000005</v>
      </c>
      <c r="I89" s="29">
        <v>0</v>
      </c>
      <c r="J89" s="29">
        <v>0</v>
      </c>
      <c r="K89" s="29">
        <v>0</v>
      </c>
      <c r="L89" s="29">
        <v>0</v>
      </c>
      <c r="M89" s="29">
        <f>G89</f>
        <v>180.15</v>
      </c>
      <c r="N89" s="29">
        <f>G89*2</f>
        <v>360.3</v>
      </c>
      <c r="O89" s="29">
        <f>G89</f>
        <v>180.15</v>
      </c>
      <c r="P89" s="29">
        <v>0</v>
      </c>
      <c r="Q89" s="29">
        <v>0</v>
      </c>
      <c r="R89" s="29">
        <f>G89</f>
        <v>180.15</v>
      </c>
      <c r="S89" s="29">
        <v>0</v>
      </c>
      <c r="T89" s="29">
        <v>0</v>
      </c>
      <c r="U89" s="29">
        <f t="shared" si="22"/>
        <v>900.75</v>
      </c>
    </row>
    <row r="90" spans="1:21" ht="12.75" customHeight="1">
      <c r="A90" s="129" t="s">
        <v>153</v>
      </c>
      <c r="B90" s="128" t="s">
        <v>111</v>
      </c>
      <c r="C90" s="126" t="s">
        <v>110</v>
      </c>
      <c r="D90" s="79"/>
      <c r="E90" s="48"/>
      <c r="F90" s="48">
        <v>2</v>
      </c>
      <c r="G90" s="48">
        <v>185.81</v>
      </c>
      <c r="H90" s="117">
        <f t="shared" si="23"/>
        <v>0.37162000000000001</v>
      </c>
      <c r="I90" s="29">
        <v>0</v>
      </c>
      <c r="J90" s="29">
        <v>0</v>
      </c>
      <c r="K90" s="29">
        <v>0</v>
      </c>
      <c r="L90" s="29">
        <v>0</v>
      </c>
      <c r="M90" s="29">
        <v>0</v>
      </c>
      <c r="N90" s="29">
        <f>G90</f>
        <v>185.81</v>
      </c>
      <c r="O90" s="29">
        <f>G90</f>
        <v>185.81</v>
      </c>
      <c r="P90" s="29">
        <v>0</v>
      </c>
      <c r="Q90" s="29">
        <v>0</v>
      </c>
      <c r="R90" s="29">
        <v>0</v>
      </c>
      <c r="S90" s="29">
        <v>0</v>
      </c>
      <c r="T90" s="29">
        <v>0</v>
      </c>
      <c r="U90" s="29">
        <f t="shared" si="22"/>
        <v>371.62</v>
      </c>
    </row>
    <row r="91" spans="1:21" ht="12.75" customHeight="1">
      <c r="A91" s="172" t="s">
        <v>199</v>
      </c>
      <c r="B91" s="136" t="s">
        <v>197</v>
      </c>
      <c r="C91" s="126" t="s">
        <v>193</v>
      </c>
      <c r="D91" s="79"/>
      <c r="E91" s="48"/>
      <c r="F91" s="48">
        <v>1</v>
      </c>
      <c r="G91" s="48">
        <v>3498.23</v>
      </c>
      <c r="H91" s="117">
        <f t="shared" si="23"/>
        <v>3.49823</v>
      </c>
      <c r="I91" s="29">
        <v>0</v>
      </c>
      <c r="J91" s="29">
        <v>0</v>
      </c>
      <c r="K91" s="29">
        <v>0</v>
      </c>
      <c r="L91" s="29">
        <v>0</v>
      </c>
      <c r="M91" s="29">
        <v>0</v>
      </c>
      <c r="N91" s="29">
        <f>G91</f>
        <v>3498.23</v>
      </c>
      <c r="O91" s="29">
        <v>0</v>
      </c>
      <c r="P91" s="29">
        <v>0</v>
      </c>
      <c r="Q91" s="29">
        <v>0</v>
      </c>
      <c r="R91" s="29">
        <v>0</v>
      </c>
      <c r="S91" s="29">
        <v>0</v>
      </c>
      <c r="T91" s="29">
        <v>0</v>
      </c>
      <c r="U91" s="29">
        <f t="shared" si="22"/>
        <v>3498.23</v>
      </c>
    </row>
    <row r="92" spans="1:21" ht="12.75" customHeight="1">
      <c r="A92" s="172" t="s">
        <v>200</v>
      </c>
      <c r="B92" s="136" t="s">
        <v>201</v>
      </c>
      <c r="C92" s="126" t="s">
        <v>193</v>
      </c>
      <c r="D92" s="79"/>
      <c r="E92" s="48"/>
      <c r="F92" s="48">
        <v>1</v>
      </c>
      <c r="G92" s="48">
        <v>5860.39</v>
      </c>
      <c r="H92" s="117">
        <f t="shared" si="23"/>
        <v>5.8603900000000007</v>
      </c>
      <c r="I92" s="29">
        <v>0</v>
      </c>
      <c r="J92" s="29">
        <v>0</v>
      </c>
      <c r="K92" s="29">
        <v>0</v>
      </c>
      <c r="L92" s="29">
        <v>0</v>
      </c>
      <c r="M92" s="29">
        <v>0</v>
      </c>
      <c r="N92" s="29">
        <f>G92</f>
        <v>5860.39</v>
      </c>
      <c r="O92" s="29">
        <v>0</v>
      </c>
      <c r="P92" s="29">
        <v>0</v>
      </c>
      <c r="Q92" s="29">
        <v>0</v>
      </c>
      <c r="R92" s="29">
        <v>0</v>
      </c>
      <c r="S92" s="29">
        <v>0</v>
      </c>
      <c r="T92" s="29">
        <v>0</v>
      </c>
      <c r="U92" s="29">
        <f t="shared" si="22"/>
        <v>5860.39</v>
      </c>
    </row>
    <row r="93" spans="1:21" ht="12.75" customHeight="1">
      <c r="A93" s="172" t="s">
        <v>200</v>
      </c>
      <c r="B93" s="136" t="s">
        <v>198</v>
      </c>
      <c r="C93" s="126" t="s">
        <v>193</v>
      </c>
      <c r="D93" s="79"/>
      <c r="E93" s="48"/>
      <c r="F93" s="48">
        <v>2</v>
      </c>
      <c r="G93" s="48">
        <v>7226.23</v>
      </c>
      <c r="H93" s="117">
        <f t="shared" si="23"/>
        <v>14.452459999999999</v>
      </c>
      <c r="I93" s="29">
        <v>0</v>
      </c>
      <c r="J93" s="29">
        <v>0</v>
      </c>
      <c r="K93" s="29">
        <v>0</v>
      </c>
      <c r="L93" s="29">
        <v>0</v>
      </c>
      <c r="M93" s="29">
        <v>0</v>
      </c>
      <c r="N93" s="29">
        <f>G93*2</f>
        <v>14452.46</v>
      </c>
      <c r="O93" s="29">
        <v>0</v>
      </c>
      <c r="P93" s="29">
        <v>0</v>
      </c>
      <c r="Q93" s="29">
        <v>0</v>
      </c>
      <c r="R93" s="29">
        <v>0</v>
      </c>
      <c r="S93" s="29">
        <v>0</v>
      </c>
      <c r="T93" s="29">
        <v>0</v>
      </c>
      <c r="U93" s="29">
        <f t="shared" si="22"/>
        <v>14452.46</v>
      </c>
    </row>
    <row r="94" spans="1:21" ht="25.5" customHeight="1">
      <c r="A94" s="129" t="s">
        <v>140</v>
      </c>
      <c r="B94" s="128" t="s">
        <v>221</v>
      </c>
      <c r="C94" s="129" t="s">
        <v>33</v>
      </c>
      <c r="D94" s="79"/>
      <c r="E94" s="48"/>
      <c r="F94" s="87">
        <f>1/1000</f>
        <v>1E-3</v>
      </c>
      <c r="G94" s="48">
        <v>1510.06</v>
      </c>
      <c r="H94" s="117">
        <f t="shared" ref="H94:H97" si="24">F94*G94/1000</f>
        <v>1.5100599999999999E-3</v>
      </c>
      <c r="I94" s="29">
        <v>0</v>
      </c>
      <c r="J94" s="29">
        <v>0</v>
      </c>
      <c r="K94" s="29">
        <v>0</v>
      </c>
      <c r="L94" s="29">
        <v>0</v>
      </c>
      <c r="M94" s="29">
        <v>0</v>
      </c>
      <c r="N94" s="29">
        <f>G94*0.001</f>
        <v>1.51006</v>
      </c>
      <c r="O94" s="29">
        <v>0</v>
      </c>
      <c r="P94" s="29">
        <v>0</v>
      </c>
      <c r="Q94" s="29">
        <v>0</v>
      </c>
      <c r="R94" s="29">
        <v>0</v>
      </c>
      <c r="S94" s="29">
        <v>0</v>
      </c>
      <c r="T94" s="29">
        <v>0</v>
      </c>
      <c r="U94" s="29">
        <f t="shared" si="22"/>
        <v>1.51006</v>
      </c>
    </row>
    <row r="95" spans="1:21" ht="25.5" customHeight="1">
      <c r="A95" s="129" t="s">
        <v>142</v>
      </c>
      <c r="B95" s="128" t="s">
        <v>222</v>
      </c>
      <c r="C95" s="129" t="s">
        <v>204</v>
      </c>
      <c r="D95" s="79"/>
      <c r="E95" s="48"/>
      <c r="F95" s="48">
        <f>1/100</f>
        <v>0.01</v>
      </c>
      <c r="G95" s="48">
        <v>7033.13</v>
      </c>
      <c r="H95" s="117">
        <f t="shared" si="24"/>
        <v>7.0331299999999999E-2</v>
      </c>
      <c r="I95" s="29">
        <v>0</v>
      </c>
      <c r="J95" s="29">
        <v>0</v>
      </c>
      <c r="K95" s="29">
        <v>0</v>
      </c>
      <c r="L95" s="29">
        <v>0</v>
      </c>
      <c r="M95" s="29">
        <v>0</v>
      </c>
      <c r="N95" s="29">
        <f>G95*0.01</f>
        <v>70.331299999999999</v>
      </c>
      <c r="O95" s="29">
        <v>0</v>
      </c>
      <c r="P95" s="29">
        <v>0</v>
      </c>
      <c r="Q95" s="29">
        <v>0</v>
      </c>
      <c r="R95" s="29">
        <v>0</v>
      </c>
      <c r="S95" s="29">
        <v>0</v>
      </c>
      <c r="T95" s="29">
        <v>0</v>
      </c>
      <c r="U95" s="29">
        <f t="shared" si="22"/>
        <v>70.331299999999999</v>
      </c>
    </row>
    <row r="96" spans="1:21" ht="25.5" customHeight="1">
      <c r="A96" s="127" t="s">
        <v>206</v>
      </c>
      <c r="B96" s="128" t="s">
        <v>205</v>
      </c>
      <c r="C96" s="129" t="s">
        <v>193</v>
      </c>
      <c r="D96" s="79"/>
      <c r="E96" s="48"/>
      <c r="F96" s="48">
        <v>6</v>
      </c>
      <c r="G96" s="48">
        <v>559.62</v>
      </c>
      <c r="H96" s="117">
        <f t="shared" si="24"/>
        <v>3.35772</v>
      </c>
      <c r="I96" s="29">
        <v>0</v>
      </c>
      <c r="J96" s="29">
        <v>0</v>
      </c>
      <c r="K96" s="29">
        <v>0</v>
      </c>
      <c r="L96" s="29">
        <v>0</v>
      </c>
      <c r="M96" s="29">
        <v>0</v>
      </c>
      <c r="N96" s="29">
        <v>0</v>
      </c>
      <c r="O96" s="29">
        <f>G96*2</f>
        <v>1119.24</v>
      </c>
      <c r="P96" s="29">
        <v>0</v>
      </c>
      <c r="Q96" s="29">
        <f>G96*4</f>
        <v>2238.48</v>
      </c>
      <c r="R96" s="29">
        <v>0</v>
      </c>
      <c r="S96" s="29">
        <v>0</v>
      </c>
      <c r="T96" s="29">
        <v>0</v>
      </c>
      <c r="U96" s="29">
        <f t="shared" si="22"/>
        <v>3357.7200000000003</v>
      </c>
    </row>
    <row r="97" spans="1:21" ht="12.75" customHeight="1">
      <c r="A97" s="174" t="s">
        <v>209</v>
      </c>
      <c r="B97" s="175" t="s">
        <v>207</v>
      </c>
      <c r="C97" s="174" t="s">
        <v>208</v>
      </c>
      <c r="D97" s="79"/>
      <c r="E97" s="48"/>
      <c r="F97" s="48">
        <f>15/3</f>
        <v>5</v>
      </c>
      <c r="G97" s="48">
        <v>1063.47</v>
      </c>
      <c r="H97" s="117">
        <f t="shared" si="24"/>
        <v>5.3173500000000002</v>
      </c>
      <c r="I97" s="29">
        <v>0</v>
      </c>
      <c r="J97" s="29">
        <v>0</v>
      </c>
      <c r="K97" s="29">
        <v>0</v>
      </c>
      <c r="L97" s="29">
        <v>0</v>
      </c>
      <c r="M97" s="29">
        <v>0</v>
      </c>
      <c r="N97" s="29">
        <v>0</v>
      </c>
      <c r="O97" s="29">
        <f>G97</f>
        <v>1063.47</v>
      </c>
      <c r="P97" s="29">
        <f>G97</f>
        <v>1063.47</v>
      </c>
      <c r="Q97" s="29">
        <v>0</v>
      </c>
      <c r="R97" s="29">
        <f>G97*2</f>
        <v>2126.94</v>
      </c>
      <c r="S97" s="29">
        <f>G97</f>
        <v>1063.47</v>
      </c>
      <c r="T97" s="29">
        <v>0</v>
      </c>
      <c r="U97" s="29">
        <f t="shared" si="22"/>
        <v>5317.35</v>
      </c>
    </row>
    <row r="98" spans="1:21" s="132" customFormat="1" ht="25.5">
      <c r="A98" s="127" t="s">
        <v>152</v>
      </c>
      <c r="B98" s="128" t="s">
        <v>101</v>
      </c>
      <c r="C98" s="129" t="s">
        <v>47</v>
      </c>
      <c r="D98" s="130"/>
      <c r="E98" s="131"/>
      <c r="F98" s="131">
        <v>3</v>
      </c>
      <c r="G98" s="131">
        <v>79.09</v>
      </c>
      <c r="H98" s="141">
        <f t="shared" ref="H98:H102" si="25">F98*G98/1000</f>
        <v>0.23727000000000001</v>
      </c>
      <c r="I98" s="29">
        <v>0</v>
      </c>
      <c r="J98" s="29">
        <v>0</v>
      </c>
      <c r="K98" s="29">
        <v>0</v>
      </c>
      <c r="L98" s="29">
        <v>0</v>
      </c>
      <c r="M98" s="29">
        <v>0</v>
      </c>
      <c r="N98" s="29">
        <v>0</v>
      </c>
      <c r="O98" s="29">
        <f>G98</f>
        <v>79.09</v>
      </c>
      <c r="P98" s="29">
        <v>0</v>
      </c>
      <c r="Q98" s="29">
        <f>G98</f>
        <v>79.09</v>
      </c>
      <c r="R98" s="29">
        <v>0</v>
      </c>
      <c r="S98" s="29">
        <f>G98</f>
        <v>79.09</v>
      </c>
      <c r="T98" s="29">
        <v>0</v>
      </c>
      <c r="U98" s="29">
        <f t="shared" si="22"/>
        <v>237.27</v>
      </c>
    </row>
    <row r="99" spans="1:21" s="132" customFormat="1">
      <c r="A99" s="127" t="s">
        <v>123</v>
      </c>
      <c r="B99" s="128" t="s">
        <v>210</v>
      </c>
      <c r="C99" s="126" t="s">
        <v>124</v>
      </c>
      <c r="D99" s="130"/>
      <c r="E99" s="131"/>
      <c r="F99" s="131">
        <v>1</v>
      </c>
      <c r="G99" s="131">
        <v>24407.200000000001</v>
      </c>
      <c r="H99" s="141">
        <f t="shared" si="25"/>
        <v>24.4072</v>
      </c>
      <c r="I99" s="29">
        <v>0</v>
      </c>
      <c r="J99" s="29">
        <v>0</v>
      </c>
      <c r="K99" s="29">
        <v>0</v>
      </c>
      <c r="L99" s="29">
        <v>0</v>
      </c>
      <c r="M99" s="29">
        <v>0</v>
      </c>
      <c r="N99" s="29">
        <v>0</v>
      </c>
      <c r="O99" s="29">
        <v>0</v>
      </c>
      <c r="P99" s="29">
        <f>G99</f>
        <v>24407.200000000001</v>
      </c>
      <c r="Q99" s="29">
        <v>0</v>
      </c>
      <c r="R99" s="29">
        <v>0</v>
      </c>
      <c r="S99" s="29">
        <v>0</v>
      </c>
      <c r="T99" s="29">
        <v>0</v>
      </c>
      <c r="U99" s="29">
        <f t="shared" si="22"/>
        <v>24407.200000000001</v>
      </c>
    </row>
    <row r="100" spans="1:21" s="132" customFormat="1" ht="38.25">
      <c r="A100" s="127" t="s">
        <v>219</v>
      </c>
      <c r="B100" s="128" t="s">
        <v>217</v>
      </c>
      <c r="C100" s="129" t="s">
        <v>193</v>
      </c>
      <c r="D100" s="130"/>
      <c r="E100" s="131"/>
      <c r="F100" s="131">
        <v>1</v>
      </c>
      <c r="G100" s="131">
        <v>476.76</v>
      </c>
      <c r="H100" s="141">
        <f t="shared" si="25"/>
        <v>0.47676000000000002</v>
      </c>
      <c r="I100" s="29">
        <v>0</v>
      </c>
      <c r="J100" s="29">
        <v>0</v>
      </c>
      <c r="K100" s="29">
        <v>0</v>
      </c>
      <c r="L100" s="29">
        <v>0</v>
      </c>
      <c r="M100" s="29">
        <v>0</v>
      </c>
      <c r="N100" s="29">
        <v>0</v>
      </c>
      <c r="O100" s="29">
        <v>0</v>
      </c>
      <c r="P100" s="29">
        <v>0</v>
      </c>
      <c r="Q100" s="29">
        <f>G100</f>
        <v>476.76</v>
      </c>
      <c r="R100" s="29">
        <v>0</v>
      </c>
      <c r="S100" s="29">
        <v>0</v>
      </c>
      <c r="T100" s="29">
        <v>0</v>
      </c>
      <c r="U100" s="29">
        <f t="shared" si="22"/>
        <v>476.76</v>
      </c>
    </row>
    <row r="101" spans="1:21" s="132" customFormat="1">
      <c r="A101" s="177" t="s">
        <v>228</v>
      </c>
      <c r="B101" s="178" t="s">
        <v>227</v>
      </c>
      <c r="C101" s="129" t="s">
        <v>47</v>
      </c>
      <c r="D101" s="130"/>
      <c r="E101" s="131"/>
      <c r="F101" s="131">
        <v>1</v>
      </c>
      <c r="G101" s="131">
        <v>179.96</v>
      </c>
      <c r="H101" s="141">
        <f>F101*G101/1000</f>
        <v>0.17996000000000001</v>
      </c>
      <c r="I101" s="29">
        <v>0</v>
      </c>
      <c r="J101" s="29">
        <v>0</v>
      </c>
      <c r="K101" s="29">
        <v>0</v>
      </c>
      <c r="L101" s="29">
        <v>0</v>
      </c>
      <c r="M101" s="29">
        <v>0</v>
      </c>
      <c r="N101" s="29">
        <v>0</v>
      </c>
      <c r="O101" s="29">
        <v>0</v>
      </c>
      <c r="P101" s="29">
        <v>0</v>
      </c>
      <c r="Q101" s="29">
        <v>0</v>
      </c>
      <c r="R101" s="29">
        <f>G101</f>
        <v>179.96</v>
      </c>
      <c r="S101" s="29">
        <v>0</v>
      </c>
      <c r="T101" s="29">
        <v>0</v>
      </c>
      <c r="U101" s="29">
        <f>SUM(I101:T101)</f>
        <v>179.96</v>
      </c>
    </row>
    <row r="102" spans="1:21" s="132" customFormat="1" ht="25.5">
      <c r="A102" s="127" t="s">
        <v>220</v>
      </c>
      <c r="B102" s="128" t="s">
        <v>218</v>
      </c>
      <c r="C102" s="129" t="s">
        <v>193</v>
      </c>
      <c r="D102" s="130"/>
      <c r="E102" s="131"/>
      <c r="F102" s="131">
        <v>2</v>
      </c>
      <c r="G102" s="131">
        <v>625.07000000000005</v>
      </c>
      <c r="H102" s="141">
        <f t="shared" si="25"/>
        <v>1.25014</v>
      </c>
      <c r="I102" s="29">
        <v>0</v>
      </c>
      <c r="J102" s="29">
        <v>0</v>
      </c>
      <c r="K102" s="29">
        <v>0</v>
      </c>
      <c r="L102" s="29">
        <v>0</v>
      </c>
      <c r="M102" s="29">
        <v>0</v>
      </c>
      <c r="N102" s="29">
        <v>0</v>
      </c>
      <c r="O102" s="29">
        <v>0</v>
      </c>
      <c r="P102" s="29">
        <v>0</v>
      </c>
      <c r="Q102" s="29">
        <v>0</v>
      </c>
      <c r="R102" s="29">
        <v>0</v>
      </c>
      <c r="S102" s="29">
        <f>G102</f>
        <v>625.07000000000005</v>
      </c>
      <c r="T102" s="29">
        <f>G102</f>
        <v>625.07000000000005</v>
      </c>
      <c r="U102" s="29">
        <f t="shared" si="22"/>
        <v>1250.1400000000001</v>
      </c>
    </row>
    <row r="103" spans="1:21" s="9" customFormat="1">
      <c r="A103" s="89"/>
      <c r="B103" s="88" t="s">
        <v>79</v>
      </c>
      <c r="C103" s="89"/>
      <c r="D103" s="89"/>
      <c r="E103" s="90"/>
      <c r="F103" s="90"/>
      <c r="G103" s="90"/>
      <c r="H103" s="116">
        <f>SUM(H82:H102)</f>
        <v>128.23272086</v>
      </c>
      <c r="I103" s="90"/>
      <c r="J103" s="90"/>
      <c r="K103" s="90"/>
      <c r="L103" s="90"/>
      <c r="M103" s="120"/>
      <c r="N103" s="82"/>
      <c r="O103" s="82"/>
      <c r="P103" s="82"/>
      <c r="Q103" s="82"/>
      <c r="R103" s="82"/>
      <c r="S103" s="82"/>
      <c r="T103" s="82"/>
      <c r="U103" s="77">
        <f>SUM(U82:U102)</f>
        <v>128232.72086</v>
      </c>
    </row>
    <row r="104" spans="1:21">
      <c r="A104" s="158"/>
      <c r="B104" s="91"/>
      <c r="C104" s="92"/>
      <c r="D104" s="92"/>
      <c r="E104" s="93"/>
      <c r="F104" s="93"/>
      <c r="G104" s="93"/>
      <c r="H104" s="94"/>
      <c r="I104" s="33"/>
      <c r="J104" s="33"/>
      <c r="K104" s="33"/>
      <c r="L104" s="33"/>
      <c r="M104" s="121"/>
      <c r="N104" s="28"/>
      <c r="O104" s="28"/>
      <c r="P104" s="28"/>
      <c r="Q104" s="28"/>
      <c r="R104" s="28"/>
      <c r="S104" s="28"/>
      <c r="T104" s="28"/>
      <c r="U104" s="44"/>
    </row>
    <row r="105" spans="1:21" ht="12" customHeight="1">
      <c r="A105" s="92"/>
      <c r="B105" s="22" t="s">
        <v>80</v>
      </c>
      <c r="C105" s="58"/>
      <c r="D105" s="79"/>
      <c r="E105" s="48"/>
      <c r="F105" s="48"/>
      <c r="G105" s="48"/>
      <c r="H105" s="139">
        <f>H103/E106/12*1000</f>
        <v>21.18568610560402</v>
      </c>
      <c r="I105" s="32"/>
      <c r="J105" s="33"/>
      <c r="K105" s="33"/>
      <c r="L105" s="33"/>
      <c r="M105" s="121"/>
      <c r="N105" s="85"/>
      <c r="O105" s="28"/>
      <c r="P105" s="28"/>
      <c r="Q105" s="28"/>
      <c r="R105" s="28"/>
      <c r="S105" s="28"/>
      <c r="T105" s="28"/>
      <c r="U105" s="44"/>
    </row>
    <row r="106" spans="1:21" s="9" customFormat="1">
      <c r="A106" s="135"/>
      <c r="B106" s="95" t="s">
        <v>81</v>
      </c>
      <c r="C106" s="96"/>
      <c r="D106" s="95"/>
      <c r="E106" s="159">
        <v>504.4</v>
      </c>
      <c r="F106" s="97">
        <f>SUM(E106*12)</f>
        <v>6052.7999999999993</v>
      </c>
      <c r="G106" s="98">
        <f>H79+H105</f>
        <v>42.882618925475128</v>
      </c>
      <c r="H106" s="140">
        <f>SUM(F106*G106/1000)</f>
        <v>259.55991583211585</v>
      </c>
      <c r="I106" s="84">
        <f t="shared" ref="I106:S106" si="26">SUM(I11:I105)</f>
        <v>57136.067525166662</v>
      </c>
      <c r="J106" s="84">
        <f t="shared" si="26"/>
        <v>52362.290025166658</v>
      </c>
      <c r="K106" s="84">
        <f t="shared" si="26"/>
        <v>57937.14562516666</v>
      </c>
      <c r="L106" s="84">
        <f t="shared" si="26"/>
        <v>55383.529125166664</v>
      </c>
      <c r="M106" s="84">
        <f t="shared" si="26"/>
        <v>165180.05402588888</v>
      </c>
      <c r="N106" s="84">
        <f t="shared" si="26"/>
        <v>65523.530205888885</v>
      </c>
      <c r="O106" s="84">
        <f t="shared" si="26"/>
        <v>44834.258845888879</v>
      </c>
      <c r="P106" s="84">
        <f t="shared" si="26"/>
        <v>74081.328845888886</v>
      </c>
      <c r="Q106" s="84">
        <f t="shared" si="26"/>
        <v>50968.993737888886</v>
      </c>
      <c r="R106" s="84">
        <f t="shared" si="26"/>
        <v>44355.730845888887</v>
      </c>
      <c r="S106" s="84">
        <f t="shared" si="26"/>
        <v>48675.299625166663</v>
      </c>
      <c r="T106" s="84">
        <f>SUM(T11:T105)</f>
        <v>50334.907005166664</v>
      </c>
      <c r="U106" s="77">
        <f>U76+U103</f>
        <v>826795.93440869672</v>
      </c>
    </row>
    <row r="107" spans="1:21">
      <c r="B107" s="101"/>
      <c r="C107" s="102"/>
      <c r="D107" s="103"/>
      <c r="E107" s="104"/>
      <c r="F107" s="105"/>
      <c r="G107" s="106"/>
      <c r="H107" s="107"/>
      <c r="I107" s="99"/>
      <c r="J107" s="99"/>
      <c r="K107" s="99"/>
      <c r="L107" s="99"/>
      <c r="M107" s="99"/>
      <c r="N107" s="30"/>
      <c r="O107" s="30"/>
      <c r="P107" s="30"/>
      <c r="Q107" s="30"/>
      <c r="R107" s="30"/>
      <c r="S107" s="30"/>
      <c r="T107" s="30"/>
      <c r="U107" s="30"/>
    </row>
    <row r="108" spans="1:21">
      <c r="A108" s="100"/>
      <c r="B108" s="101"/>
      <c r="C108" s="102"/>
      <c r="D108" s="103"/>
      <c r="E108" s="104"/>
      <c r="F108" s="105"/>
      <c r="G108" s="106"/>
      <c r="H108" s="107"/>
      <c r="I108" s="99"/>
      <c r="J108" s="99"/>
      <c r="K108" s="99"/>
      <c r="L108" s="99"/>
      <c r="M108" s="99"/>
      <c r="N108" s="30"/>
      <c r="O108" s="30"/>
      <c r="P108" s="30"/>
      <c r="Q108" s="30"/>
      <c r="R108" s="30"/>
      <c r="S108" s="30"/>
      <c r="T108" s="30"/>
      <c r="U108" s="30"/>
    </row>
    <row r="109" spans="1:21" ht="51.75" customHeight="1">
      <c r="A109" s="100"/>
      <c r="B109" s="23" t="s">
        <v>105</v>
      </c>
      <c r="C109" s="183">
        <v>123393.94</v>
      </c>
      <c r="D109" s="184"/>
      <c r="E109" s="184"/>
      <c r="F109" s="185"/>
      <c r="G109" s="99"/>
      <c r="H109" s="99"/>
      <c r="I109" s="115"/>
      <c r="J109" s="99"/>
      <c r="K109" s="99"/>
      <c r="L109" s="99"/>
      <c r="M109" s="30"/>
      <c r="N109" s="99"/>
      <c r="O109" s="30"/>
      <c r="P109" s="30"/>
      <c r="Q109" s="30"/>
      <c r="R109" s="30"/>
      <c r="S109" s="30"/>
      <c r="T109" s="30"/>
      <c r="U109" s="30"/>
    </row>
    <row r="110" spans="1:21" ht="33.75" customHeight="1">
      <c r="B110" s="23" t="s">
        <v>106</v>
      </c>
      <c r="C110" s="183">
        <f>58318.03*12</f>
        <v>699816.36</v>
      </c>
      <c r="D110" s="184"/>
      <c r="E110" s="184"/>
      <c r="F110" s="185"/>
      <c r="G110" s="99"/>
      <c r="H110" s="99"/>
      <c r="I110" s="99"/>
      <c r="J110" s="108"/>
      <c r="K110" s="109"/>
      <c r="L110" s="108"/>
      <c r="M110" s="99"/>
      <c r="N110" s="30"/>
      <c r="O110" s="30"/>
      <c r="P110" s="30"/>
      <c r="Q110" s="30"/>
      <c r="R110" s="30"/>
      <c r="S110" s="30"/>
      <c r="T110" s="30"/>
      <c r="U110" s="30"/>
    </row>
    <row r="111" spans="1:21" ht="33.75" customHeight="1">
      <c r="B111" s="23" t="s">
        <v>107</v>
      </c>
      <c r="C111" s="183">
        <f>SUM(U106-U103)</f>
        <v>698563.21354869672</v>
      </c>
      <c r="D111" s="184"/>
      <c r="E111" s="184"/>
      <c r="F111" s="185"/>
      <c r="G111" s="99"/>
      <c r="H111" s="99"/>
      <c r="I111" s="99"/>
      <c r="J111" s="108"/>
      <c r="K111" s="109"/>
      <c r="L111" s="108"/>
      <c r="M111" s="99"/>
      <c r="N111" s="30"/>
      <c r="O111" s="30"/>
      <c r="P111" s="30"/>
      <c r="Q111" s="30"/>
      <c r="R111" s="30"/>
      <c r="S111" s="30"/>
      <c r="T111" s="30"/>
      <c r="U111" s="30"/>
    </row>
    <row r="112" spans="1:21" ht="33.75" customHeight="1">
      <c r="B112" s="23" t="s">
        <v>108</v>
      </c>
      <c r="C112" s="183">
        <f>SUM(U103)</f>
        <v>128232.72086</v>
      </c>
      <c r="D112" s="184"/>
      <c r="E112" s="184"/>
      <c r="F112" s="185"/>
      <c r="G112" s="99"/>
      <c r="H112" s="99"/>
      <c r="I112" s="99"/>
      <c r="J112" s="108"/>
      <c r="K112" s="109"/>
      <c r="L112" s="108"/>
      <c r="M112" s="99"/>
      <c r="N112" s="30"/>
      <c r="O112" s="30"/>
      <c r="P112" s="30"/>
      <c r="Q112" s="30"/>
      <c r="R112" s="30"/>
      <c r="S112" s="30"/>
      <c r="T112" s="30"/>
      <c r="U112" s="30"/>
    </row>
    <row r="113" spans="2:21" ht="23.25" customHeight="1">
      <c r="B113" s="118" t="s">
        <v>109</v>
      </c>
      <c r="C113" s="183">
        <f>48841.94+50767.66+45261.15+54566.35+49382.89+46917.59+53905.81+53649.3+55282.52+38905.89+47512.48+58978.79</f>
        <v>603972.37</v>
      </c>
      <c r="D113" s="184"/>
      <c r="E113" s="184"/>
      <c r="F113" s="185"/>
      <c r="G113" s="30"/>
      <c r="I113" s="110" t="s">
        <v>85</v>
      </c>
      <c r="J113" s="99"/>
      <c r="K113" s="108"/>
      <c r="L113" s="109"/>
      <c r="M113" s="110"/>
      <c r="N113" s="110"/>
      <c r="O113" s="30"/>
      <c r="P113" s="30"/>
      <c r="Q113" s="30"/>
      <c r="R113" s="30"/>
      <c r="S113" s="30"/>
      <c r="T113" s="30"/>
      <c r="U113" s="30"/>
    </row>
    <row r="114" spans="2:21" ht="78.75" customHeight="1">
      <c r="B114" s="24" t="s">
        <v>223</v>
      </c>
      <c r="C114" s="189">
        <v>298496.94</v>
      </c>
      <c r="D114" s="190"/>
      <c r="E114" s="190"/>
      <c r="F114" s="191"/>
      <c r="G114" s="99"/>
      <c r="H114" s="99"/>
      <c r="I114" s="99"/>
      <c r="J114" s="108"/>
      <c r="K114" s="109"/>
      <c r="L114" s="108"/>
      <c r="M114" s="99"/>
      <c r="N114" s="30"/>
      <c r="O114" s="30"/>
      <c r="P114" s="30"/>
      <c r="Q114" s="30"/>
      <c r="R114" s="30"/>
      <c r="S114" s="30"/>
      <c r="T114" s="30"/>
      <c r="U114" s="30"/>
    </row>
    <row r="115" spans="2:21" ht="51.75" customHeight="1">
      <c r="B115" s="23" t="s">
        <v>224</v>
      </c>
      <c r="C115" s="186">
        <f>SUM(U106-C110)+C109</f>
        <v>250373.51440869673</v>
      </c>
      <c r="D115" s="187"/>
      <c r="E115" s="187"/>
      <c r="F115" s="188"/>
      <c r="G115" s="99"/>
      <c r="H115" s="99"/>
      <c r="I115" s="99"/>
      <c r="J115" s="108"/>
      <c r="K115" s="109"/>
      <c r="L115" s="108"/>
      <c r="M115" s="99"/>
      <c r="N115" s="30"/>
      <c r="O115" s="30"/>
      <c r="P115" s="30"/>
      <c r="Q115" s="30"/>
      <c r="R115" s="30"/>
      <c r="S115" s="30"/>
      <c r="T115" s="30"/>
      <c r="U115" s="30"/>
    </row>
    <row r="119" spans="2:21">
      <c r="J119" s="4"/>
      <c r="K119" s="5"/>
      <c r="L119" s="5"/>
      <c r="M119" s="3"/>
    </row>
    <row r="120" spans="2:21">
      <c r="G120" s="6"/>
      <c r="H120" s="6"/>
    </row>
    <row r="121" spans="2:21">
      <c r="G121" s="7"/>
    </row>
  </sheetData>
  <mergeCells count="11">
    <mergeCell ref="C115:F115"/>
    <mergeCell ref="C111:F111"/>
    <mergeCell ref="C112:F112"/>
    <mergeCell ref="C113:F113"/>
    <mergeCell ref="C114:F114"/>
    <mergeCell ref="B3:L3"/>
    <mergeCell ref="B4:L4"/>
    <mergeCell ref="B5:L5"/>
    <mergeCell ref="B6:L6"/>
    <mergeCell ref="C110:F110"/>
    <mergeCell ref="C109:F109"/>
  </mergeCells>
  <pageMargins left="0.19685039370078741" right="0.19685039370078741" top="0.15748031496062992" bottom="0.19685039370078741" header="0" footer="0"/>
  <pageSetup paperSize="9" scale="56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Лерм.,17</vt:lpstr>
      <vt:lpstr>'Лерм.,17'!Область_печати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Партнёр</dc:creator>
  <cp:lastModifiedBy>user</cp:lastModifiedBy>
  <cp:lastPrinted>2014-04-28T13:48:43Z</cp:lastPrinted>
  <dcterms:created xsi:type="dcterms:W3CDTF">2014-02-05T12:20:20Z</dcterms:created>
  <dcterms:modified xsi:type="dcterms:W3CDTF">2017-04-13T12:55:27Z</dcterms:modified>
</cp:coreProperties>
</file>