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8" r:id="rId1"/>
    <sheet name="02.17" sheetId="9" r:id="rId2"/>
    <sheet name="03.17" sheetId="10" r:id="rId3"/>
    <sheet name="04.17" sheetId="11" r:id="rId4"/>
    <sheet name="05.17" sheetId="12" r:id="rId5"/>
    <sheet name="06.17" sheetId="13" r:id="rId6"/>
    <sheet name="07.17" sheetId="14" r:id="rId7"/>
    <sheet name="08.17" sheetId="15" r:id="rId8"/>
    <sheet name="09.17" sheetId="16" r:id="rId9"/>
    <sheet name="10.17" sheetId="17" r:id="rId10"/>
    <sheet name="11.17" sheetId="18" r:id="rId11"/>
    <sheet name="12.17" sheetId="19" r:id="rId12"/>
  </sheets>
  <definedNames>
    <definedName name="_xlnm._FilterDatabase" localSheetId="0" hidden="1">'01.17'!$I$12:$I$66</definedName>
    <definedName name="_xlnm._FilterDatabase" localSheetId="1" hidden="1">'02.17'!$I$12:$I$66</definedName>
    <definedName name="_xlnm._FilterDatabase" localSheetId="2" hidden="1">'03.17'!$I$12:$I$66</definedName>
    <definedName name="_xlnm._FilterDatabase" localSheetId="3" hidden="1">'04.17'!$I$12:$I$66</definedName>
    <definedName name="_xlnm._FilterDatabase" localSheetId="4" hidden="1">'05.17'!$I$12:$I$66</definedName>
    <definedName name="_xlnm._FilterDatabase" localSheetId="5" hidden="1">'06.17'!$I$12:$I$66</definedName>
    <definedName name="_xlnm._FilterDatabase" localSheetId="6" hidden="1">'07.17'!$I$12:$I$66</definedName>
    <definedName name="_xlnm._FilterDatabase" localSheetId="7" hidden="1">'08.17'!$I$12:$I$66</definedName>
    <definedName name="_xlnm._FilterDatabase" localSheetId="8" hidden="1">'09.17'!$I$12:$I$66</definedName>
    <definedName name="_xlnm._FilterDatabase" localSheetId="9" hidden="1">'10.17'!$I$12:$I$66</definedName>
    <definedName name="_xlnm._FilterDatabase" localSheetId="10" hidden="1">'11.17'!$I$12:$I$66</definedName>
    <definedName name="_xlnm._FilterDatabase" localSheetId="11" hidden="1">'12.17'!$I$12:$I$66</definedName>
    <definedName name="_xlnm.Print_Area" localSheetId="0">'01.17'!$A$1:$I$114</definedName>
    <definedName name="_xlnm.Print_Area" localSheetId="1">'02.17'!$A$1:$I$117</definedName>
    <definedName name="_xlnm.Print_Area" localSheetId="2">'03.17'!$A$1:$I$114</definedName>
    <definedName name="_xlnm.Print_Area" localSheetId="3">'04.17'!$A$1:$I$121</definedName>
    <definedName name="_xlnm.Print_Area" localSheetId="4">'05.17'!$A$1:$I$112</definedName>
    <definedName name="_xlnm.Print_Area" localSheetId="5">'06.17'!$A$1:$I$116</definedName>
    <definedName name="_xlnm.Print_Area" localSheetId="6">'07.17'!$A$1:$I$125</definedName>
    <definedName name="_xlnm.Print_Area" localSheetId="7">'08.17'!$A$1:$I$133</definedName>
    <definedName name="_xlnm.Print_Area" localSheetId="8">'09.17'!$A$1:$I$122</definedName>
    <definedName name="_xlnm.Print_Area" localSheetId="9">'10.17'!$A$1:$I$115</definedName>
    <definedName name="_xlnm.Print_Area" localSheetId="10">'11.17'!$A$1:$I$122</definedName>
    <definedName name="_xlnm.Print_Area" localSheetId="11">'12.17'!$A$1:$I$125</definedName>
  </definedNames>
  <calcPr calcId="124519"/>
</workbook>
</file>

<file path=xl/calcChain.xml><?xml version="1.0" encoding="utf-8"?>
<calcChain xmlns="http://schemas.openxmlformats.org/spreadsheetml/2006/main">
  <c r="I86" i="19"/>
  <c r="I86" i="18"/>
  <c r="I96" i="14"/>
  <c r="I97"/>
  <c r="I102"/>
  <c r="I94"/>
  <c r="I101"/>
  <c r="H101"/>
  <c r="I86"/>
  <c r="I89" i="13"/>
  <c r="H89"/>
  <c r="I86"/>
  <c r="F44" i="11"/>
  <c r="H44" s="1"/>
  <c r="I44" i="10"/>
  <c r="H44"/>
  <c r="F44"/>
  <c r="I86" i="9"/>
  <c r="I86" i="8"/>
  <c r="I44" i="11" l="1"/>
  <c r="I89" i="19" l="1"/>
  <c r="I102" s="1"/>
  <c r="I101"/>
  <c r="I100"/>
  <c r="I99"/>
  <c r="H101"/>
  <c r="H100"/>
  <c r="H99"/>
  <c r="I97"/>
  <c r="H97"/>
  <c r="I96"/>
  <c r="H96"/>
  <c r="I95"/>
  <c r="H95"/>
  <c r="I94"/>
  <c r="H94"/>
  <c r="I93"/>
  <c r="H93"/>
  <c r="I92"/>
  <c r="H92"/>
  <c r="I98"/>
  <c r="I91"/>
  <c r="I88"/>
  <c r="I65"/>
  <c r="H98"/>
  <c r="F91"/>
  <c r="H91" s="1"/>
  <c r="I90"/>
  <c r="H90"/>
  <c r="H89"/>
  <c r="H88"/>
  <c r="H85"/>
  <c r="F85"/>
  <c r="I85" s="1"/>
  <c r="F84"/>
  <c r="I84" s="1"/>
  <c r="H82"/>
  <c r="I80"/>
  <c r="F80"/>
  <c r="H80" s="1"/>
  <c r="I79"/>
  <c r="H79"/>
  <c r="H78"/>
  <c r="H77"/>
  <c r="I76"/>
  <c r="H76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H24"/>
  <c r="F24"/>
  <c r="I24" s="1"/>
  <c r="F23"/>
  <c r="I23" s="1"/>
  <c r="H22"/>
  <c r="F22"/>
  <c r="I22" s="1"/>
  <c r="F21"/>
  <c r="I21" s="1"/>
  <c r="H20"/>
  <c r="F20"/>
  <c r="I20" s="1"/>
  <c r="F19"/>
  <c r="I19" s="1"/>
  <c r="E18"/>
  <c r="F18" s="1"/>
  <c r="H17"/>
  <c r="F17"/>
  <c r="I17" s="1"/>
  <c r="F16"/>
  <c r="I16" s="1"/>
  <c r="I98" i="18"/>
  <c r="I97"/>
  <c r="H98"/>
  <c r="H97"/>
  <c r="I96"/>
  <c r="I95"/>
  <c r="H96"/>
  <c r="H95"/>
  <c r="I94"/>
  <c r="H94"/>
  <c r="I93"/>
  <c r="I92"/>
  <c r="H93"/>
  <c r="H92"/>
  <c r="I91"/>
  <c r="H91"/>
  <c r="F91"/>
  <c r="I90"/>
  <c r="I89"/>
  <c r="H90"/>
  <c r="H89"/>
  <c r="I88"/>
  <c r="H88"/>
  <c r="I65"/>
  <c r="I99"/>
  <c r="H85"/>
  <c r="F85"/>
  <c r="I85" s="1"/>
  <c r="F84"/>
  <c r="I84" s="1"/>
  <c r="H82"/>
  <c r="I80"/>
  <c r="F80"/>
  <c r="H80" s="1"/>
  <c r="I79"/>
  <c r="H79"/>
  <c r="H78"/>
  <c r="H77"/>
  <c r="I76"/>
  <c r="H76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1" i="17"/>
  <c r="I90"/>
  <c r="H90"/>
  <c r="H18" i="19" l="1"/>
  <c r="I18"/>
  <c r="H16"/>
  <c r="H19"/>
  <c r="H21"/>
  <c r="H23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H84"/>
  <c r="H18" i="18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H84"/>
  <c r="I104" i="19" l="1"/>
  <c r="I101" i="18"/>
  <c r="I89" i="17" l="1"/>
  <c r="F89"/>
  <c r="H89" s="1"/>
  <c r="I88"/>
  <c r="H88"/>
  <c r="I65"/>
  <c r="I91" l="1"/>
  <c r="I92"/>
  <c r="F85"/>
  <c r="H85" s="1"/>
  <c r="F84"/>
  <c r="I84" s="1"/>
  <c r="H82"/>
  <c r="I80"/>
  <c r="F80"/>
  <c r="H80" s="1"/>
  <c r="I79"/>
  <c r="H79"/>
  <c r="H78"/>
  <c r="H77"/>
  <c r="I76"/>
  <c r="H76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8" i="16"/>
  <c r="I97"/>
  <c r="I96"/>
  <c r="I95"/>
  <c r="F98"/>
  <c r="H98" s="1"/>
  <c r="F97"/>
  <c r="H97" s="1"/>
  <c r="H96"/>
  <c r="F96"/>
  <c r="H95"/>
  <c r="I94"/>
  <c r="I93"/>
  <c r="I92"/>
  <c r="I91"/>
  <c r="H91"/>
  <c r="I90"/>
  <c r="I89"/>
  <c r="H89"/>
  <c r="I88"/>
  <c r="I72"/>
  <c r="I65"/>
  <c r="H94"/>
  <c r="H93"/>
  <c r="H92"/>
  <c r="H90"/>
  <c r="I99"/>
  <c r="H88"/>
  <c r="H85"/>
  <c r="F85"/>
  <c r="I85" s="1"/>
  <c r="F84"/>
  <c r="I84" s="1"/>
  <c r="H82"/>
  <c r="I80"/>
  <c r="F80"/>
  <c r="H80" s="1"/>
  <c r="I79"/>
  <c r="H79"/>
  <c r="H78"/>
  <c r="H77"/>
  <c r="I76"/>
  <c r="H76"/>
  <c r="I74"/>
  <c r="H74"/>
  <c r="H72"/>
  <c r="F71"/>
  <c r="I71" s="1"/>
  <c r="F70"/>
  <c r="H70" s="1"/>
  <c r="F69"/>
  <c r="I69" s="1"/>
  <c r="F68"/>
  <c r="H68" s="1"/>
  <c r="F67"/>
  <c r="I67" s="1"/>
  <c r="H66"/>
  <c r="H65"/>
  <c r="F63"/>
  <c r="I63" s="1"/>
  <c r="H62"/>
  <c r="H60"/>
  <c r="I59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63" i="17" l="1"/>
  <c r="H18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7"/>
  <c r="H68"/>
  <c r="I69"/>
  <c r="H70"/>
  <c r="I71"/>
  <c r="H84"/>
  <c r="I85"/>
  <c r="H63" i="16"/>
  <c r="I18"/>
  <c r="H18"/>
  <c r="I16"/>
  <c r="H17"/>
  <c r="I19"/>
  <c r="H20"/>
  <c r="I21"/>
  <c r="H22"/>
  <c r="I23"/>
  <c r="H24"/>
  <c r="I26"/>
  <c r="H27"/>
  <c r="I28"/>
  <c r="H31"/>
  <c r="I32"/>
  <c r="H33"/>
  <c r="I34"/>
  <c r="H39"/>
  <c r="H42"/>
  <c r="I43"/>
  <c r="H44"/>
  <c r="I47"/>
  <c r="H48"/>
  <c r="I49"/>
  <c r="H50"/>
  <c r="I51"/>
  <c r="H52"/>
  <c r="I53"/>
  <c r="I58"/>
  <c r="H67"/>
  <c r="I68"/>
  <c r="H69"/>
  <c r="I70"/>
  <c r="H71"/>
  <c r="H84"/>
  <c r="I86" i="17" l="1"/>
  <c r="I94" s="1"/>
  <c r="I86" i="16"/>
  <c r="I101" s="1"/>
  <c r="I109" i="15" l="1"/>
  <c r="I108"/>
  <c r="I107"/>
  <c r="I106"/>
  <c r="I105"/>
  <c r="I104"/>
  <c r="I103"/>
  <c r="I102"/>
  <c r="I101"/>
  <c r="I100"/>
  <c r="F109"/>
  <c r="H109" s="1"/>
  <c r="F108"/>
  <c r="H108" s="1"/>
  <c r="H107"/>
  <c r="H106"/>
  <c r="H105"/>
  <c r="H104"/>
  <c r="H103"/>
  <c r="H102"/>
  <c r="H101"/>
  <c r="H100"/>
  <c r="H99"/>
  <c r="I98"/>
  <c r="H98"/>
  <c r="I97"/>
  <c r="I110" s="1"/>
  <c r="I96"/>
  <c r="I95"/>
  <c r="H97"/>
  <c r="H96"/>
  <c r="H95"/>
  <c r="I94"/>
  <c r="H94"/>
  <c r="I93"/>
  <c r="H93"/>
  <c r="I92"/>
  <c r="H92"/>
  <c r="I91"/>
  <c r="H91"/>
  <c r="F91"/>
  <c r="I90"/>
  <c r="H90"/>
  <c r="I89"/>
  <c r="H89"/>
  <c r="I80"/>
  <c r="I86"/>
  <c r="I99"/>
  <c r="I88"/>
  <c r="H88"/>
  <c r="F85"/>
  <c r="H85" s="1"/>
  <c r="F84"/>
  <c r="I84" s="1"/>
  <c r="H82"/>
  <c r="F80"/>
  <c r="H80" s="1"/>
  <c r="I79"/>
  <c r="H79"/>
  <c r="H78"/>
  <c r="H77"/>
  <c r="I76"/>
  <c r="H76"/>
  <c r="I74"/>
  <c r="H74"/>
  <c r="H72"/>
  <c r="F71"/>
  <c r="H71" s="1"/>
  <c r="F70"/>
  <c r="I70" s="1"/>
  <c r="F69"/>
  <c r="H69" s="1"/>
  <c r="F68"/>
  <c r="I68" s="1"/>
  <c r="F67"/>
  <c r="H67" s="1"/>
  <c r="H66"/>
  <c r="I65"/>
  <c r="H65"/>
  <c r="F63"/>
  <c r="H63" s="1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8" i="14"/>
  <c r="I99"/>
  <c r="I100"/>
  <c r="I95"/>
  <c r="H18" i="15" l="1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H84"/>
  <c r="I85"/>
  <c r="I112" l="1"/>
  <c r="I93" i="14" l="1"/>
  <c r="I92"/>
  <c r="H100"/>
  <c r="H99"/>
  <c r="H98"/>
  <c r="H97"/>
  <c r="H96"/>
  <c r="H95"/>
  <c r="H94"/>
  <c r="H93"/>
  <c r="H92"/>
  <c r="I91"/>
  <c r="H91"/>
  <c r="I90"/>
  <c r="F90"/>
  <c r="H90" s="1"/>
  <c r="I89"/>
  <c r="H89"/>
  <c r="I74"/>
  <c r="I65"/>
  <c r="I88"/>
  <c r="H88"/>
  <c r="F85"/>
  <c r="I85" s="1"/>
  <c r="F84"/>
  <c r="H84" s="1"/>
  <c r="H82"/>
  <c r="F80"/>
  <c r="H80" s="1"/>
  <c r="I79"/>
  <c r="H79"/>
  <c r="H78"/>
  <c r="H77"/>
  <c r="I76"/>
  <c r="H76"/>
  <c r="H74"/>
  <c r="H72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2" i="13"/>
  <c r="I91"/>
  <c r="H92"/>
  <c r="H91"/>
  <c r="I90"/>
  <c r="H90"/>
  <c r="I88"/>
  <c r="I93" s="1"/>
  <c r="H88"/>
  <c r="I65"/>
  <c r="F85"/>
  <c r="H85" s="1"/>
  <c r="F84"/>
  <c r="I84" s="1"/>
  <c r="H82"/>
  <c r="F80"/>
  <c r="H80" s="1"/>
  <c r="I79"/>
  <c r="H79"/>
  <c r="H78"/>
  <c r="H77"/>
  <c r="I76"/>
  <c r="H76"/>
  <c r="H74"/>
  <c r="H72"/>
  <c r="F71"/>
  <c r="I71" s="1"/>
  <c r="F70"/>
  <c r="H70" s="1"/>
  <c r="F69"/>
  <c r="I69" s="1"/>
  <c r="F68"/>
  <c r="H68" s="1"/>
  <c r="F67"/>
  <c r="I67" s="1"/>
  <c r="H66"/>
  <c r="H65"/>
  <c r="F63"/>
  <c r="I63" s="1"/>
  <c r="H62"/>
  <c r="H60"/>
  <c r="I59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8" i="12"/>
  <c r="H88"/>
  <c r="F88"/>
  <c r="I65"/>
  <c r="I25"/>
  <c r="I89"/>
  <c r="F85"/>
  <c r="I85" s="1"/>
  <c r="F84"/>
  <c r="H84" s="1"/>
  <c r="H82"/>
  <c r="F80"/>
  <c r="H80" s="1"/>
  <c r="I79"/>
  <c r="H79"/>
  <c r="H78"/>
  <c r="H77"/>
  <c r="I76"/>
  <c r="H76"/>
  <c r="H74"/>
  <c r="H72"/>
  <c r="F71"/>
  <c r="H71" s="1"/>
  <c r="F70"/>
  <c r="H70" s="1"/>
  <c r="F69"/>
  <c r="H69" s="1"/>
  <c r="F68"/>
  <c r="H68" s="1"/>
  <c r="F67"/>
  <c r="H67" s="1"/>
  <c r="H66"/>
  <c r="H65"/>
  <c r="F63"/>
  <c r="I63" s="1"/>
  <c r="H62"/>
  <c r="H60"/>
  <c r="I59"/>
  <c r="H59"/>
  <c r="F58"/>
  <c r="H58" s="1"/>
  <c r="I55"/>
  <c r="H55"/>
  <c r="F55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11"/>
  <c r="H89"/>
  <c r="I97"/>
  <c r="I96"/>
  <c r="I94"/>
  <c r="I93"/>
  <c r="I95"/>
  <c r="I92"/>
  <c r="I98" s="1"/>
  <c r="F97"/>
  <c r="H97" s="1"/>
  <c r="H96"/>
  <c r="H95"/>
  <c r="H94"/>
  <c r="H93"/>
  <c r="H92"/>
  <c r="I90"/>
  <c r="I91"/>
  <c r="F91"/>
  <c r="H91" s="1"/>
  <c r="H90"/>
  <c r="I88"/>
  <c r="H88"/>
  <c r="I86"/>
  <c r="I65"/>
  <c r="I53"/>
  <c r="I54"/>
  <c r="I52"/>
  <c r="H85"/>
  <c r="F85"/>
  <c r="I85" s="1"/>
  <c r="F84"/>
  <c r="I84" s="1"/>
  <c r="H82"/>
  <c r="F80"/>
  <c r="H80" s="1"/>
  <c r="I79"/>
  <c r="H79"/>
  <c r="H78"/>
  <c r="H77"/>
  <c r="I76"/>
  <c r="H76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H62"/>
  <c r="H60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0" i="10"/>
  <c r="I89"/>
  <c r="I88"/>
  <c r="H90"/>
  <c r="H89"/>
  <c r="H88"/>
  <c r="F88"/>
  <c r="I91"/>
  <c r="F85"/>
  <c r="I85" s="1"/>
  <c r="F84"/>
  <c r="H84" s="1"/>
  <c r="H82"/>
  <c r="F80"/>
  <c r="H80" s="1"/>
  <c r="I79"/>
  <c r="H79"/>
  <c r="H78"/>
  <c r="H77"/>
  <c r="I76"/>
  <c r="H76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H62"/>
  <c r="H60"/>
  <c r="I59"/>
  <c r="H59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93" i="9"/>
  <c r="I92"/>
  <c r="I91"/>
  <c r="I90"/>
  <c r="I89"/>
  <c r="I88"/>
  <c r="H93"/>
  <c r="H92"/>
  <c r="H91"/>
  <c r="H90"/>
  <c r="H89"/>
  <c r="H88"/>
  <c r="I79"/>
  <c r="I76"/>
  <c r="I65"/>
  <c r="F85"/>
  <c r="I85" s="1"/>
  <c r="F84"/>
  <c r="H84" s="1"/>
  <c r="H82"/>
  <c r="F80"/>
  <c r="H80" s="1"/>
  <c r="H79"/>
  <c r="H78"/>
  <c r="H77"/>
  <c r="H76"/>
  <c r="H74"/>
  <c r="H72"/>
  <c r="F71"/>
  <c r="H71" s="1"/>
  <c r="F70"/>
  <c r="H70" s="1"/>
  <c r="F69"/>
  <c r="H69" s="1"/>
  <c r="F68"/>
  <c r="H68" s="1"/>
  <c r="F67"/>
  <c r="H67" s="1"/>
  <c r="H66"/>
  <c r="H65"/>
  <c r="F63"/>
  <c r="I63" s="1"/>
  <c r="H62"/>
  <c r="H60"/>
  <c r="I59"/>
  <c r="H59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90" i="8"/>
  <c r="H90"/>
  <c r="I89"/>
  <c r="H89"/>
  <c r="I88"/>
  <c r="H88"/>
  <c r="F85"/>
  <c r="H85" s="1"/>
  <c r="F84"/>
  <c r="H84" s="1"/>
  <c r="H82"/>
  <c r="F80"/>
  <c r="H80" s="1"/>
  <c r="H79"/>
  <c r="H78"/>
  <c r="H77"/>
  <c r="H76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H62"/>
  <c r="H18" i="14" l="1"/>
  <c r="I18"/>
  <c r="H16"/>
  <c r="I17"/>
  <c r="I104" s="1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I84"/>
  <c r="H85"/>
  <c r="I18" i="13"/>
  <c r="H18"/>
  <c r="I16"/>
  <c r="H17"/>
  <c r="I19"/>
  <c r="H20"/>
  <c r="I21"/>
  <c r="H22"/>
  <c r="I23"/>
  <c r="H24"/>
  <c r="I26"/>
  <c r="H27"/>
  <c r="I28"/>
  <c r="H31"/>
  <c r="I32"/>
  <c r="H33"/>
  <c r="I34"/>
  <c r="H39"/>
  <c r="H42"/>
  <c r="I43"/>
  <c r="H44"/>
  <c r="I47"/>
  <c r="H48"/>
  <c r="I49"/>
  <c r="H50"/>
  <c r="I51"/>
  <c r="H52"/>
  <c r="I53"/>
  <c r="I58"/>
  <c r="H63"/>
  <c r="H67"/>
  <c r="I68"/>
  <c r="H69"/>
  <c r="I70"/>
  <c r="H71"/>
  <c r="H84"/>
  <c r="I85"/>
  <c r="H85" i="12"/>
  <c r="I19"/>
  <c r="I26"/>
  <c r="I24"/>
  <c r="I22"/>
  <c r="I50"/>
  <c r="I48"/>
  <c r="I71"/>
  <c r="I69"/>
  <c r="I20"/>
  <c r="I23"/>
  <c r="I21"/>
  <c r="I49"/>
  <c r="I47"/>
  <c r="I67"/>
  <c r="I70"/>
  <c r="I68"/>
  <c r="I18"/>
  <c r="H18"/>
  <c r="I16"/>
  <c r="H17"/>
  <c r="H27"/>
  <c r="I28"/>
  <c r="H31"/>
  <c r="I32"/>
  <c r="H33"/>
  <c r="I34"/>
  <c r="H39"/>
  <c r="H42"/>
  <c r="I43"/>
  <c r="H44"/>
  <c r="I51"/>
  <c r="H52"/>
  <c r="I53"/>
  <c r="I58"/>
  <c r="H63"/>
  <c r="I84"/>
  <c r="I18" i="11"/>
  <c r="H18"/>
  <c r="I16"/>
  <c r="H17"/>
  <c r="H27"/>
  <c r="I28"/>
  <c r="H31"/>
  <c r="I32"/>
  <c r="H33"/>
  <c r="I34"/>
  <c r="H39"/>
  <c r="H42"/>
  <c r="I43"/>
  <c r="I51"/>
  <c r="H58"/>
  <c r="I63"/>
  <c r="H84"/>
  <c r="H85" i="10"/>
  <c r="H18"/>
  <c r="I18"/>
  <c r="H16"/>
  <c r="I17"/>
  <c r="I27"/>
  <c r="H28"/>
  <c r="I31"/>
  <c r="H32"/>
  <c r="I33"/>
  <c r="H34"/>
  <c r="I39"/>
  <c r="I42"/>
  <c r="H43"/>
  <c r="I86"/>
  <c r="H51"/>
  <c r="I58"/>
  <c r="H63"/>
  <c r="I84"/>
  <c r="I94" i="9"/>
  <c r="H18"/>
  <c r="I18"/>
  <c r="H16"/>
  <c r="I17"/>
  <c r="I27"/>
  <c r="H28"/>
  <c r="I31"/>
  <c r="H32"/>
  <c r="I33"/>
  <c r="H34"/>
  <c r="I39"/>
  <c r="I42"/>
  <c r="H43"/>
  <c r="I44"/>
  <c r="H51"/>
  <c r="I58"/>
  <c r="H63"/>
  <c r="I84"/>
  <c r="H85"/>
  <c r="I85" i="8"/>
  <c r="I84"/>
  <c r="I63"/>
  <c r="I95" i="13" l="1"/>
  <c r="I96" i="9"/>
  <c r="I86" i="12"/>
  <c r="I91"/>
  <c r="I100" i="11"/>
  <c r="I93" i="10"/>
  <c r="H60" i="8" l="1"/>
  <c r="I59"/>
  <c r="H59"/>
  <c r="H58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H34" s="1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l="1"/>
  <c r="I34"/>
  <c r="I51"/>
  <c r="I39"/>
  <c r="I42"/>
  <c r="H43"/>
  <c r="I44"/>
  <c r="I33"/>
  <c r="I31"/>
  <c r="I32"/>
  <c r="I28"/>
  <c r="I27"/>
  <c r="I18"/>
  <c r="H18"/>
  <c r="I16"/>
  <c r="I91" l="1"/>
  <c r="I93" l="1"/>
</calcChain>
</file>

<file path=xl/sharedStrings.xml><?xml version="1.0" encoding="utf-8"?>
<sst xmlns="http://schemas.openxmlformats.org/spreadsheetml/2006/main" count="2740" uniqueCount="260">
  <si>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</si>
  <si>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</si>
  <si>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</si>
  <si>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</si>
  <si>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</si>
  <si>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</si>
  <si>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</si>
  <si>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</si>
  <si>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</si>
  <si>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</si>
  <si>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</si>
  <si>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</si>
  <si>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</si>
  <si>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</si>
  <si>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</si>
  <si>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</si>
  <si>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</si>
  <si>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</si>
  <si>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</si>
  <si>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</si>
  <si>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</si>
  <si>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</si>
  <si>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</si>
  <si>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</si>
  <si>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</si>
  <si>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</si>
  <si>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</si>
  <si>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</si>
  <si>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</si>
  <si>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</si>
  <si>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</si>
  <si>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</si>
  <si>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</si>
  <si>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</si>
  <si>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</si>
  <si>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</si>
  <si>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</si>
  <si>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</si>
  <si>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</si>
  <si>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</si>
  <si>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</si>
  <si>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</si>
  <si>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</si>
  <si>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</si>
  <si>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</si>
  <si>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</si>
  <si>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</si>
  <si>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</si>
  <si>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</si>
  <si>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</si>
  <si>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</si>
  <si>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</si>
  <si>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</si>
  <si>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</si>
  <si>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</si>
  <si>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</si>
  <si>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</si>
  <si>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</si>
  <si>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</si>
  <si>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</si>
  <si>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</si>
  <si>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</si>
  <si>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</si>
  <si>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</si>
  <si>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</si>
  <si>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</si>
  <si>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</si>
  <si>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</si>
  <si>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</si>
  <si>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</si>
  <si>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</si>
  <si>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</si>
  <si>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</si>
  <si>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</si>
  <si>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</si>
  <si>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</si>
  <si>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</si>
  <si>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</si>
  <si>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</si>
  <si>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</si>
  <si>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</si>
  <si>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</si>
  <si>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</si>
  <si>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</si>
  <si>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</si>
  <si>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Замена ламп ДРЛ</t>
  </si>
  <si>
    <t>генеральный директор Куканов Ю.Л.</t>
  </si>
  <si>
    <t>3м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</si>
  <si>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</si>
  <si>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</si>
  <si>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</si>
  <si>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</si>
  <si>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</si>
  <si>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</si>
  <si>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</si>
  <si>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</si>
  <si>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</si>
  <si>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</si>
  <si>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</si>
  <si>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</si>
  <si>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</si>
  <si>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</si>
  <si>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</si>
  <si>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</si>
  <si>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</si>
  <si>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</si>
  <si>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Влажная протирка шкафов для щитов и слаботочн. 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</si>
  <si>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</si>
  <si>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</si>
  <si>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</si>
  <si>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</si>
  <si>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</si>
  <si>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</si>
  <si>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</si>
  <si>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</si>
  <si>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</si>
  <si>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</si>
  <si>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</si>
  <si>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</si>
  <si>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</si>
  <si>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</si>
  <si>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</si>
  <si>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</si>
  <si>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</si>
  <si>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</si>
  <si>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</si>
  <si>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</si>
  <si>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</si>
  <si>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 по ул.Нефтяников пгт.Ярега
</t>
  </si>
  <si>
    <t>Сдвигание снега в дни снегопада (проезды)</t>
  </si>
  <si>
    <t>12 раз за сезон</t>
  </si>
  <si>
    <t>Сдвигание снега в дни снегопада (крыльца, тротуары)</t>
  </si>
  <si>
    <t>1м3</t>
  </si>
  <si>
    <t>24 раза за сезон</t>
  </si>
  <si>
    <t>Осмотр рулонной кровли</t>
  </si>
  <si>
    <t xml:space="preserve">Очистка водостоков от наледи </t>
  </si>
  <si>
    <t>Очистка внутреннего водостока</t>
  </si>
  <si>
    <t>водосток</t>
  </si>
  <si>
    <t>Смена выключателей</t>
  </si>
  <si>
    <t>Смена патронов</t>
  </si>
  <si>
    <t>Внеплановый осмотр электросетей, армазуры и электрооборудования на лестничных клетках</t>
  </si>
  <si>
    <t>Ремонт и регулировка доводчика (со стоимостью доводчика)</t>
  </si>
  <si>
    <t>1шт.</t>
  </si>
  <si>
    <t>АКТ №1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</si>
  <si>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</si>
  <si>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</si>
  <si>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д.2</t>
    </r>
  </si>
  <si>
    <t>III. Проведение технических осмотров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</si>
  <si>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</si>
  <si>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</si>
  <si>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</si>
  <si>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</si>
  <si>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Очистка чердака, подвала от мусора</t>
  </si>
  <si>
    <t>ежемесячно</t>
  </si>
  <si>
    <t>Установка хомута диаметром до 50 мм</t>
  </si>
  <si>
    <t>Ремонт и регулировка доводчика (без стоимости доводчика)</t>
  </si>
  <si>
    <t>Пристрожка полотна по кромкам</t>
  </si>
  <si>
    <t>1 полотно</t>
  </si>
  <si>
    <t>Итого затраты за месяц</t>
  </si>
  <si>
    <t>АКТ №2</t>
  </si>
  <si>
    <t>за период с 01.02.2017 г. по 28.02.2017 г.</t>
  </si>
  <si>
    <t>Прочистка засоров фановых труб</t>
  </si>
  <si>
    <t>Смена трубопроводов на полипропиленовые трубы PN25 диаметром 20 мм</t>
  </si>
  <si>
    <t>1 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</si>
  <si>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</si>
  <si>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</si>
  <si>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 xml:space="preserve">Смена светодиодных светильников </t>
  </si>
  <si>
    <t>Работа автовышки</t>
  </si>
  <si>
    <t>маш/час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</si>
  <si>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</si>
  <si>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</si>
  <si>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</si>
  <si>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</si>
  <si>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>Прочистка засоров канализации</t>
  </si>
  <si>
    <t>Ремонт дверных полотен со сменой брусков обвязки горизонтальных на 2 сопряжения верхних</t>
  </si>
  <si>
    <t>брусок</t>
  </si>
  <si>
    <t>Дезинфекция подвала</t>
  </si>
  <si>
    <t>2. Всего за период с 01.03.2017 по 31.03.2017 выполнено работ (оказано услуг) на общую сумму: 91493,36 руб.</t>
  </si>
  <si>
    <t>(девяносто одна тысяча четыреста девяносто три рубля 36 копеек)</t>
  </si>
  <si>
    <t>АКТ №4</t>
  </si>
  <si>
    <t>за период с 01.04.2017 г. по 30.04.2017 г.</t>
  </si>
  <si>
    <t>Смена арматуры - вентилей и клапанов обратных муфтовых диаметром до 20 мм</t>
  </si>
  <si>
    <t>1 шт</t>
  </si>
  <si>
    <t>Установка хомута диаметром 50-75 мм</t>
  </si>
  <si>
    <t>Устройство герметизации горизонтальных и вертикальных стыков стеновых панелей</t>
  </si>
  <si>
    <t>100 м шва</t>
  </si>
  <si>
    <t>2. Всего за период с 01.04.2017 по 30.04.2017 выполнено работ (оказано услуг) на общую сумму: 96311,35 руб.</t>
  </si>
  <si>
    <t>(девяносто шесть тысяч триста одиннадцать рублей 35 копеек)</t>
  </si>
  <si>
    <t>АКТ №5</t>
  </si>
  <si>
    <t>за период с 01.05.2017 г. по 31.05.2017 г.</t>
  </si>
  <si>
    <t>2. Всего за период с 01.05.2017 по 31.05.2017 выполнено работ (оказано услуг) на общую сумму: 185868,20 руб.</t>
  </si>
  <si>
    <t>(сто восемьдесят пять тысяч восемьсот шестьдесят восемь рублей 20 копеек)</t>
  </si>
  <si>
    <t>АКТ №6</t>
  </si>
  <si>
    <t>за период с 01.06.2017 г. по 30.06.2017 г.</t>
  </si>
  <si>
    <t>Смена плавкой вставки</t>
  </si>
  <si>
    <t>Смена дверных приборов (замки навесные)</t>
  </si>
  <si>
    <t>АКТ №7</t>
  </si>
  <si>
    <t>за период с 01.07.2017 г. по 31.07.2017 г.</t>
  </si>
  <si>
    <t>Смена трубопроводов на полипропиленовые трубы PN25 диаметром 25 мм</t>
  </si>
  <si>
    <t>Смена трубопроводов на полипропиленовые трубы PN20 диаметром 20 мм</t>
  </si>
  <si>
    <t>Смена полиэтиленовых канализационных труб 110×2000 мм</t>
  </si>
  <si>
    <t>Отвод 110*90°</t>
  </si>
  <si>
    <t>Переход чугун-пластик Ду 110 с манжетой</t>
  </si>
  <si>
    <t>Манжета 100</t>
  </si>
  <si>
    <t>Смена пакетных выключателей</t>
  </si>
  <si>
    <t>Герметизация мест примыкания мягкой кровли к фановой трубе</t>
  </si>
  <si>
    <t>Патрубок компенсационный ПП Ду 100</t>
  </si>
  <si>
    <t>АКТ №8</t>
  </si>
  <si>
    <t>за период с 01.08.2017 г. по 31.08.2017 г.</t>
  </si>
  <si>
    <t>Смена вентилей диаметром до 20 мм (без стоимсти материалов)</t>
  </si>
  <si>
    <t>Смена арматуры - вентилей и клапанов обратных муфтовых диаметром до 32 мм</t>
  </si>
  <si>
    <t>Отвод 110*45°</t>
  </si>
  <si>
    <t>Ревизия 110 мм</t>
  </si>
  <si>
    <t>Муфта ремонтная 110</t>
  </si>
  <si>
    <t xml:space="preserve">Герметизация стыков трубопроводов    </t>
  </si>
  <si>
    <t>1 место</t>
  </si>
  <si>
    <t>Подключение и отключение сварочного аппарата</t>
  </si>
  <si>
    <t>Внеплановый осмотр вводных электрических щитков</t>
  </si>
  <si>
    <t>100шт</t>
  </si>
  <si>
    <t>Простая масляная окраска ранее окрашенных входных металлических дверей (I-VIII под. и 2 двери в подвал)</t>
  </si>
  <si>
    <t>10 м2</t>
  </si>
  <si>
    <t>Тройник 110×110/90°</t>
  </si>
  <si>
    <t>2. Всего за период с 01.08.2017 по 31.08.2017 выполнено работ (оказано услуг) на общую сумму: 98771,40 руб.</t>
  </si>
  <si>
    <t>(девяносто восемь тысяч семьсот семьдесят один рубль 40 копеек)</t>
  </si>
  <si>
    <t>за период с 01.09.2017 г. по 30.09.2017 г.</t>
  </si>
  <si>
    <t>Смена пробко-спускных кранов</t>
  </si>
  <si>
    <t>Ремонт штукатурки внутренних стен по камню известковым раствором площадью до 10 м2 толщиной слоя до 20 мм</t>
  </si>
  <si>
    <t>Окрашивание ранее окрашенных водоэмульсионной краской стен с расчисткой старой краски до 10 %, помещений площадью менее 5 м2</t>
  </si>
  <si>
    <t>Окрашивание ранее окрашенных водоэмульсионной краской потолков с расчисткой старой краски до 10 %, помещений площадью менее 5 м2</t>
  </si>
  <si>
    <t>2. Всего за период с 01.09.2017 по 30.09.2017 выполнено работ (оказано услуг) на общую сумму: 103778,46 руб.</t>
  </si>
  <si>
    <t>(сто три тысячи семьсот семьдесят восемь рублей 46 копеек)</t>
  </si>
  <si>
    <t>АКТ №9</t>
  </si>
  <si>
    <t>АКТ №10</t>
  </si>
  <si>
    <t>за период с 01.10.2017 г. по 31.10.2017 г.</t>
  </si>
  <si>
    <t>Смена пробко-спускных кранов (без учёта материалов)</t>
  </si>
  <si>
    <t>2. Всего за период с 01.10.2017 по 31.10.2017 выполнено работ (оказано услуг) на общую сумму: 91711,88 руб.</t>
  </si>
  <si>
    <t>(девяносто одна тысяча семьсот одиннадцать рублей 88 копеек)</t>
  </si>
  <si>
    <t>АКТ №11</t>
  </si>
  <si>
    <t>за период с 01.11.2017 г. по 30.11.2017 г.</t>
  </si>
  <si>
    <t>Переход 110×50</t>
  </si>
  <si>
    <t>АКТ №12</t>
  </si>
  <si>
    <t>за период с 01.12.2017 г. по 31.12.2017 г.</t>
  </si>
  <si>
    <t>Смена трубопроводов на полипропиленовые трубы PN25 диаметром до 32 мм</t>
  </si>
  <si>
    <t>1м</t>
  </si>
  <si>
    <t>Ремонт входной площадки</t>
  </si>
  <si>
    <t>руб.</t>
  </si>
  <si>
    <t>Мелкий ремонт электропроводки</t>
  </si>
  <si>
    <t>2. Всего за период с 01.01.2017 по 31.01.2017 выполнено работ (оказано услуг) на общую сумму: 89659,88 руб.</t>
  </si>
  <si>
    <t>(восемьдесят девять тысяч шестьсот пятьдесят девять рублей 88 копеек)</t>
  </si>
  <si>
    <t>15 раз за сезон</t>
  </si>
  <si>
    <t>2. Всего за период с 01.06.2017 по 30.06.2017 выполнено работ (оказано услуг) на общую сумму: 83777,11 руб.</t>
  </si>
  <si>
    <t>(восемьдесят три тысячи семьсот семьдесят семь рублей 11 копеек)</t>
  </si>
  <si>
    <t>2. Всего за период с 01.07.2017 по 31.07.2017 выполнено работ (оказано услуг) на общую сумму: 99151,48 руб.</t>
  </si>
  <si>
    <t>(девяносто девять тысяч сто пятьдесят один рубль 48 копеек)</t>
  </si>
  <si>
    <t>2. Всего за период с 01.11.2017 по 30.11.2017 выполнено работ (оказано услуг) на общую сумму: 99158,02 руб.</t>
  </si>
  <si>
    <t>(девяносто девять тысяч сто пятьдесят восемь рублей 02 копейки)</t>
  </si>
  <si>
    <t>2. Всего за период с 01.12.2017 по 31.12.2017 выполнено работ (оказано услуг) на общую сумму: 129155,38 руб.</t>
  </si>
  <si>
    <t>(сто двадцать девять тысяч сто пятьдесят пять рублей 38 копеек)</t>
  </si>
  <si>
    <t>2. Всего за период с 01.02.2017 по 28.02.2017 выполнено работ (оказано услуг) на общую сумму: 92786,76 руб.</t>
  </si>
  <si>
    <t>(девяносто две тысячи семьсот восемьдесят шесть рублей 76 копеек)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</si>
</sst>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143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144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70"/>
      <c r="G6" s="57"/>
      <c r="H6" s="70"/>
      <c r="I6" s="30">
        <v>42766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3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customHeight="1">
      <c r="A45" s="33">
        <v>11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3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15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4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4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4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4"/>
        <v>3.0022979600000004</v>
      </c>
      <c r="I50" s="13">
        <v>0</v>
      </c>
      <c r="J50" s="23"/>
      <c r="L50" s="19"/>
      <c r="M50" s="20"/>
      <c r="N50" s="21"/>
    </row>
    <row r="51" spans="1:14" ht="15.75" customHeight="1">
      <c r="A51" s="40">
        <v>12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4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4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4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4"/>
        <v>0.11304260000000001</v>
      </c>
      <c r="I54" s="13">
        <v>0</v>
      </c>
      <c r="J54" s="23"/>
      <c r="L54" s="19"/>
      <c r="M54" s="20"/>
      <c r="N54" s="21"/>
    </row>
    <row r="55" spans="1:14" ht="15.75" customHeight="1">
      <c r="A55" s="40">
        <v>13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4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5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14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15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62" t="s">
        <v>43</v>
      </c>
      <c r="C61" s="62"/>
      <c r="D61" s="62"/>
      <c r="E61" s="62"/>
      <c r="F61" s="72"/>
      <c r="G61" s="62"/>
      <c r="H61" s="72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16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62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17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5">SUM(F65*G65/1000)</f>
        <v>8.8960000000000008</v>
      </c>
      <c r="I65" s="13">
        <f>G65</f>
        <v>222.4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5"/>
        <v>1.5249999999999999</v>
      </c>
      <c r="I66" s="13">
        <v>0</v>
      </c>
    </row>
    <row r="67" spans="1:22" ht="15.75" hidden="1" customHeight="1">
      <c r="A67" s="29">
        <v>8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5"/>
        <v>40.075135000000003</v>
      </c>
      <c r="I67" s="13">
        <v>0</v>
      </c>
    </row>
    <row r="68" spans="1:22" ht="15.75" hidden="1" customHeight="1">
      <c r="A68" s="29">
        <v>9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5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5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5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5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5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52"/>
      <c r="B73" s="62" t="s">
        <v>124</v>
      </c>
      <c r="C73" s="62"/>
      <c r="D73" s="62"/>
      <c r="E73" s="62"/>
      <c r="F73" s="72"/>
      <c r="G73" s="62"/>
      <c r="H73" s="72"/>
      <c r="I73" s="18"/>
    </row>
    <row r="74" spans="1:22" ht="15.75" hidden="1" customHeight="1">
      <c r="A74" s="29">
        <v>19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/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6">SUM(F76*G76/1000)</f>
        <v>0.50161999999999995</v>
      </c>
      <c r="I76" s="13">
        <v>0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/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v>0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6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7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18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19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52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SUM(I16+I17+I18+I27+I28+I38+I39+I40+I42+I43+I45+I51+I55+I58+I59+I63+I65+I84+I85)</f>
        <v>88557.870170599999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20</v>
      </c>
      <c r="B88" s="55" t="s">
        <v>154</v>
      </c>
      <c r="C88" s="65" t="s">
        <v>81</v>
      </c>
      <c r="D88" s="51"/>
      <c r="E88" s="13"/>
      <c r="F88" s="13">
        <v>7</v>
      </c>
      <c r="G88" s="13">
        <v>195.85</v>
      </c>
      <c r="H88" s="102">
        <f t="shared" ref="H88:H90" si="8">G88*F88/1000</f>
        <v>1.3709500000000001</v>
      </c>
      <c r="I88" s="13">
        <f>G88*2</f>
        <v>391.7</v>
      </c>
    </row>
    <row r="89" spans="1:9" ht="31.5" customHeight="1">
      <c r="A89" s="29">
        <v>21</v>
      </c>
      <c r="B89" s="105" t="s">
        <v>155</v>
      </c>
      <c r="C89" s="29" t="s">
        <v>142</v>
      </c>
      <c r="D89" s="51"/>
      <c r="E89" s="13"/>
      <c r="F89" s="13">
        <v>1</v>
      </c>
      <c r="G89" s="13">
        <v>403.69</v>
      </c>
      <c r="H89" s="102">
        <f t="shared" si="8"/>
        <v>0.40368999999999999</v>
      </c>
      <c r="I89" s="13">
        <f>G89</f>
        <v>403.69</v>
      </c>
    </row>
    <row r="90" spans="1:9" ht="15.75" customHeight="1">
      <c r="A90" s="29">
        <v>22</v>
      </c>
      <c r="B90" s="55" t="s">
        <v>156</v>
      </c>
      <c r="C90" s="65" t="s">
        <v>157</v>
      </c>
      <c r="D90" s="51"/>
      <c r="E90" s="13"/>
      <c r="F90" s="13">
        <v>1</v>
      </c>
      <c r="G90" s="13">
        <v>306.62</v>
      </c>
      <c r="H90" s="102">
        <f t="shared" si="8"/>
        <v>0.30662</v>
      </c>
      <c r="I90" s="13">
        <f>G90</f>
        <v>306.62</v>
      </c>
    </row>
    <row r="91" spans="1:9" ht="15.75" customHeight="1">
      <c r="A91" s="29"/>
      <c r="B91" s="45" t="s">
        <v>50</v>
      </c>
      <c r="C91" s="41"/>
      <c r="D91" s="53"/>
      <c r="E91" s="41">
        <v>1</v>
      </c>
      <c r="F91" s="41"/>
      <c r="G91" s="41"/>
      <c r="H91" s="41"/>
      <c r="I91" s="31">
        <f>SUM(I88:I90)</f>
        <v>1102.01</v>
      </c>
    </row>
    <row r="92" spans="1:9" ht="15.75" customHeight="1">
      <c r="A92" s="29"/>
      <c r="B92" s="51" t="s">
        <v>77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158</v>
      </c>
      <c r="C93" s="34"/>
      <c r="D93" s="34"/>
      <c r="E93" s="34"/>
      <c r="F93" s="34"/>
      <c r="G93" s="34"/>
      <c r="H93" s="34"/>
      <c r="I93" s="44">
        <f>I86+I91</f>
        <v>89659.880170599994</v>
      </c>
    </row>
    <row r="94" spans="1:9" ht="15.75">
      <c r="A94" s="125" t="s">
        <v>247</v>
      </c>
      <c r="B94" s="125"/>
      <c r="C94" s="125"/>
      <c r="D94" s="125"/>
      <c r="E94" s="125"/>
      <c r="F94" s="125"/>
      <c r="G94" s="125"/>
      <c r="H94" s="125"/>
      <c r="I94" s="125"/>
    </row>
    <row r="95" spans="1:9" ht="15.75">
      <c r="A95" s="61"/>
      <c r="B95" s="126" t="s">
        <v>248</v>
      </c>
      <c r="C95" s="126"/>
      <c r="D95" s="126"/>
      <c r="E95" s="126"/>
      <c r="F95" s="126"/>
      <c r="G95" s="126"/>
      <c r="H95" s="82"/>
      <c r="I95" s="3"/>
    </row>
    <row r="96" spans="1:9">
      <c r="A96" s="56"/>
      <c r="B96" s="124" t="s">
        <v>6</v>
      </c>
      <c r="C96" s="124"/>
      <c r="D96" s="124"/>
      <c r="E96" s="124"/>
      <c r="F96" s="124"/>
      <c r="G96" s="124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7" t="s">
        <v>7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127" t="s">
        <v>8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>
      <c r="A100" s="121" t="s">
        <v>59</v>
      </c>
      <c r="B100" s="121"/>
      <c r="C100" s="121"/>
      <c r="D100" s="121"/>
      <c r="E100" s="121"/>
      <c r="F100" s="121"/>
      <c r="G100" s="121"/>
      <c r="H100" s="121"/>
      <c r="I100" s="121"/>
    </row>
    <row r="101" spans="1:9" ht="15.75">
      <c r="A101" s="11"/>
    </row>
    <row r="102" spans="1:9" ht="15.75">
      <c r="A102" s="122" t="s">
        <v>9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4"/>
    </row>
    <row r="104" spans="1:9" ht="15.75">
      <c r="B104" s="59" t="s">
        <v>10</v>
      </c>
      <c r="C104" s="123" t="s">
        <v>86</v>
      </c>
      <c r="D104" s="123"/>
      <c r="E104" s="123"/>
      <c r="F104" s="80"/>
      <c r="I104" s="60"/>
    </row>
    <row r="105" spans="1:9">
      <c r="A105" s="56"/>
      <c r="C105" s="124" t="s">
        <v>11</v>
      </c>
      <c r="D105" s="124"/>
      <c r="E105" s="124"/>
      <c r="F105" s="24"/>
      <c r="I105" s="58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59" t="s">
        <v>13</v>
      </c>
      <c r="C107" s="118"/>
      <c r="D107" s="118"/>
      <c r="E107" s="118"/>
      <c r="F107" s="81"/>
      <c r="I107" s="60"/>
    </row>
    <row r="108" spans="1:9">
      <c r="A108" s="56"/>
      <c r="C108" s="119" t="s">
        <v>11</v>
      </c>
      <c r="D108" s="119"/>
      <c r="E108" s="119"/>
      <c r="F108" s="71"/>
      <c r="I108" s="58" t="s">
        <v>12</v>
      </c>
    </row>
    <row r="109" spans="1:9" ht="15.75">
      <c r="A109" s="4" t="s">
        <v>14</v>
      </c>
    </row>
    <row r="110" spans="1:9">
      <c r="A110" s="120" t="s">
        <v>15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45" customHeight="1">
      <c r="A111" s="117" t="s">
        <v>16</v>
      </c>
      <c r="B111" s="117"/>
      <c r="C111" s="117"/>
      <c r="D111" s="117"/>
      <c r="E111" s="117"/>
      <c r="F111" s="117"/>
      <c r="G111" s="117"/>
      <c r="H111" s="117"/>
      <c r="I111" s="117"/>
    </row>
    <row r="112" spans="1:9" ht="30" customHeight="1">
      <c r="A112" s="117" t="s">
        <v>17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30" customHeight="1">
      <c r="A113" s="117" t="s">
        <v>21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15" customHeight="1">
      <c r="A114" s="117" t="s">
        <v>20</v>
      </c>
      <c r="B114" s="117"/>
      <c r="C114" s="117"/>
      <c r="D114" s="117"/>
      <c r="E114" s="117"/>
      <c r="F114" s="117"/>
      <c r="G114" s="117"/>
      <c r="H114" s="117"/>
      <c r="I114" s="117"/>
    </row>
  </sheetData>
  <autoFilter ref="I12:I66"/>
  <mergeCells count="29">
    <mergeCell ref="A83:I83"/>
    <mergeCell ref="A87:I87"/>
    <mergeCell ref="R71:U71"/>
    <mergeCell ref="A3:I3"/>
    <mergeCell ref="A4:I4"/>
    <mergeCell ref="A8:I8"/>
    <mergeCell ref="A10:I10"/>
    <mergeCell ref="A5:I5"/>
    <mergeCell ref="A14:I14"/>
    <mergeCell ref="A15:I15"/>
    <mergeCell ref="A29:I29"/>
    <mergeCell ref="A46:I46"/>
    <mergeCell ref="A56:I5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A113:I113"/>
    <mergeCell ref="A114:I114"/>
    <mergeCell ref="C107:E107"/>
    <mergeCell ref="C108:E108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232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233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43039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9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13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customHeight="1">
      <c r="A52" s="40">
        <v>9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customHeight="1">
      <c r="A53" s="40">
        <v>10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customHeight="1">
      <c r="A54" s="40">
        <v>11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customHeight="1">
      <c r="A55" s="40">
        <v>12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13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14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G65*4</f>
        <v>889.6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16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15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16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SUM(I16+I17+I18+I27+I28+I31+I32+I34+I52+I53+I54+I55+I63+I65+I84+I85)</f>
        <v>77529.750311822223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31.5" customHeight="1">
      <c r="A88" s="29">
        <v>17</v>
      </c>
      <c r="B88" s="55" t="s">
        <v>164</v>
      </c>
      <c r="C88" s="65" t="s">
        <v>165</v>
      </c>
      <c r="D88" s="64"/>
      <c r="E88" s="36"/>
      <c r="F88" s="36">
        <v>6</v>
      </c>
      <c r="G88" s="36">
        <v>53.42</v>
      </c>
      <c r="H88" s="104">
        <f t="shared" ref="H88:H90" si="12">G88*F88/1000</f>
        <v>0.32051999999999997</v>
      </c>
      <c r="I88" s="13">
        <f>G88</f>
        <v>53.42</v>
      </c>
    </row>
    <row r="89" spans="1:9" ht="15.75" customHeight="1">
      <c r="A89" s="29">
        <v>18</v>
      </c>
      <c r="B89" s="68" t="s">
        <v>173</v>
      </c>
      <c r="C89" s="69" t="s">
        <v>87</v>
      </c>
      <c r="D89" s="64"/>
      <c r="E89" s="36"/>
      <c r="F89" s="36">
        <f>327/3</f>
        <v>109</v>
      </c>
      <c r="G89" s="36">
        <v>1120.8900000000001</v>
      </c>
      <c r="H89" s="104">
        <f t="shared" si="12"/>
        <v>122.17701000000001</v>
      </c>
      <c r="I89" s="13">
        <f>G89*((7+30)/3)</f>
        <v>13824.310000000001</v>
      </c>
    </row>
    <row r="90" spans="1:9" ht="31.5" customHeight="1">
      <c r="A90" s="29">
        <v>19</v>
      </c>
      <c r="B90" s="55" t="s">
        <v>140</v>
      </c>
      <c r="C90" s="65" t="s">
        <v>37</v>
      </c>
      <c r="D90" s="64"/>
      <c r="E90" s="36"/>
      <c r="F90" s="36">
        <v>0.13</v>
      </c>
      <c r="G90" s="36">
        <v>3581.13</v>
      </c>
      <c r="H90" s="104">
        <f t="shared" si="12"/>
        <v>0.46554690000000004</v>
      </c>
      <c r="I90" s="13">
        <f>G90*0.01</f>
        <v>35.811300000000003</v>
      </c>
    </row>
    <row r="91" spans="1:9" ht="15.75" customHeight="1">
      <c r="A91" s="29">
        <v>20</v>
      </c>
      <c r="B91" s="66" t="s">
        <v>234</v>
      </c>
      <c r="C91" s="67" t="s">
        <v>182</v>
      </c>
      <c r="D91" s="64"/>
      <c r="E91" s="36"/>
      <c r="F91" s="36">
        <v>1</v>
      </c>
      <c r="G91" s="36">
        <v>268.58999999999997</v>
      </c>
      <c r="H91" s="102">
        <f t="shared" ref="H91" si="13">G91*F91/1000</f>
        <v>0.26859</v>
      </c>
      <c r="I91" s="13">
        <f>G91</f>
        <v>268.58999999999997</v>
      </c>
    </row>
    <row r="92" spans="1:9" ht="15.75" customHeight="1">
      <c r="A92" s="29"/>
      <c r="B92" s="45" t="s">
        <v>50</v>
      </c>
      <c r="C92" s="41"/>
      <c r="D92" s="53"/>
      <c r="E92" s="41">
        <v>1</v>
      </c>
      <c r="F92" s="41"/>
      <c r="G92" s="41"/>
      <c r="H92" s="41"/>
      <c r="I92" s="31">
        <f>SUM(I88:I91)</f>
        <v>14182.131300000001</v>
      </c>
    </row>
    <row r="93" spans="1:9" ht="15.75" customHeight="1">
      <c r="A93" s="29"/>
      <c r="B93" s="51" t="s">
        <v>77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4"/>
      <c r="B94" s="46" t="s">
        <v>158</v>
      </c>
      <c r="C94" s="34"/>
      <c r="D94" s="34"/>
      <c r="E94" s="34"/>
      <c r="F94" s="34"/>
      <c r="G94" s="34"/>
      <c r="H94" s="34"/>
      <c r="I94" s="44">
        <f>I86+I92</f>
        <v>91711.881611822231</v>
      </c>
    </row>
    <row r="95" spans="1:9" ht="15.75">
      <c r="A95" s="125" t="s">
        <v>235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61"/>
      <c r="B96" s="126" t="s">
        <v>236</v>
      </c>
      <c r="C96" s="126"/>
      <c r="D96" s="126"/>
      <c r="E96" s="126"/>
      <c r="F96" s="126"/>
      <c r="G96" s="126"/>
      <c r="H96" s="82"/>
      <c r="I96" s="3"/>
    </row>
    <row r="97" spans="1:9">
      <c r="A97" s="76"/>
      <c r="B97" s="124" t="s">
        <v>6</v>
      </c>
      <c r="C97" s="124"/>
      <c r="D97" s="124"/>
      <c r="E97" s="124"/>
      <c r="F97" s="124"/>
      <c r="G97" s="12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7" t="s">
        <v>7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>
      <c r="A100" s="127" t="s">
        <v>8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>
      <c r="A101" s="121" t="s">
        <v>59</v>
      </c>
      <c r="B101" s="121"/>
      <c r="C101" s="121"/>
      <c r="D101" s="121"/>
      <c r="E101" s="121"/>
      <c r="F101" s="121"/>
      <c r="G101" s="121"/>
      <c r="H101" s="121"/>
      <c r="I101" s="121"/>
    </row>
    <row r="102" spans="1:9" ht="15.75">
      <c r="A102" s="11"/>
    </row>
    <row r="103" spans="1:9" ht="15.75">
      <c r="A103" s="122" t="s">
        <v>9</v>
      </c>
      <c r="B103" s="122"/>
      <c r="C103" s="122"/>
      <c r="D103" s="122"/>
      <c r="E103" s="122"/>
      <c r="F103" s="122"/>
      <c r="G103" s="122"/>
      <c r="H103" s="122"/>
      <c r="I103" s="122"/>
    </row>
    <row r="104" spans="1:9" ht="15.75">
      <c r="A104" s="4"/>
    </row>
    <row r="105" spans="1:9" ht="15.75">
      <c r="B105" s="74" t="s">
        <v>10</v>
      </c>
      <c r="C105" s="123" t="s">
        <v>86</v>
      </c>
      <c r="D105" s="123"/>
      <c r="E105" s="123"/>
      <c r="F105" s="80"/>
      <c r="I105" s="75"/>
    </row>
    <row r="106" spans="1:9">
      <c r="A106" s="76"/>
      <c r="C106" s="124" t="s">
        <v>11</v>
      </c>
      <c r="D106" s="124"/>
      <c r="E106" s="124"/>
      <c r="F106" s="24"/>
      <c r="I106" s="73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4" t="s">
        <v>13</v>
      </c>
      <c r="C108" s="118"/>
      <c r="D108" s="118"/>
      <c r="E108" s="118"/>
      <c r="F108" s="81"/>
      <c r="I108" s="75"/>
    </row>
    <row r="109" spans="1:9">
      <c r="A109" s="76"/>
      <c r="C109" s="119" t="s">
        <v>11</v>
      </c>
      <c r="D109" s="119"/>
      <c r="E109" s="119"/>
      <c r="F109" s="76"/>
      <c r="I109" s="73" t="s">
        <v>12</v>
      </c>
    </row>
    <row r="110" spans="1:9" ht="15.75">
      <c r="A110" s="4" t="s">
        <v>14</v>
      </c>
    </row>
    <row r="111" spans="1:9">
      <c r="A111" s="120" t="s">
        <v>15</v>
      </c>
      <c r="B111" s="120"/>
      <c r="C111" s="120"/>
      <c r="D111" s="120"/>
      <c r="E111" s="120"/>
      <c r="F111" s="120"/>
      <c r="G111" s="120"/>
      <c r="H111" s="120"/>
      <c r="I111" s="120"/>
    </row>
    <row r="112" spans="1:9" ht="45" customHeight="1">
      <c r="A112" s="117" t="s">
        <v>16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30" customHeight="1">
      <c r="A113" s="117" t="s">
        <v>17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30" customHeight="1">
      <c r="A114" s="117" t="s">
        <v>21</v>
      </c>
      <c r="B114" s="117"/>
      <c r="C114" s="117"/>
      <c r="D114" s="117"/>
      <c r="E114" s="117"/>
      <c r="F114" s="117"/>
      <c r="G114" s="117"/>
      <c r="H114" s="117"/>
      <c r="I114" s="117"/>
    </row>
    <row r="115" spans="1:9" ht="15" customHeight="1">
      <c r="A115" s="117" t="s">
        <v>20</v>
      </c>
      <c r="B115" s="117"/>
      <c r="C115" s="117"/>
      <c r="D115" s="117"/>
      <c r="E115" s="117"/>
      <c r="F115" s="117"/>
      <c r="G115" s="117"/>
      <c r="H115" s="117"/>
      <c r="I115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237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238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113"/>
      <c r="C6" s="113"/>
      <c r="D6" s="113"/>
      <c r="E6" s="113"/>
      <c r="F6" s="113"/>
      <c r="G6" s="113"/>
      <c r="H6" s="113"/>
      <c r="I6" s="30">
        <v>43069</v>
      </c>
      <c r="J6" s="2"/>
      <c r="K6" s="2"/>
      <c r="L6" s="2"/>
      <c r="M6" s="2"/>
    </row>
    <row r="7" spans="1:13" ht="15.75" customHeight="1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customHeight="1">
      <c r="A45" s="33">
        <v>11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9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13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9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171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115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12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13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114" t="s">
        <v>43</v>
      </c>
      <c r="C61" s="114"/>
      <c r="D61" s="114"/>
      <c r="E61" s="114"/>
      <c r="F61" s="114"/>
      <c r="G61" s="114"/>
      <c r="H61" s="114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14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114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15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G65*2</f>
        <v>444.8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16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115"/>
      <c r="B73" s="114" t="s">
        <v>124</v>
      </c>
      <c r="C73" s="114"/>
      <c r="D73" s="114"/>
      <c r="E73" s="114"/>
      <c r="F73" s="114"/>
      <c r="G73" s="114"/>
      <c r="H73" s="114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172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16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17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115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SUM(I16+I17+I18+I27+I28+I38+I39+I40+I42+I43+I45+I58+I59+I63+I65+I84+I85)</f>
        <v>71513.36715559999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18</v>
      </c>
      <c r="B88" s="66" t="s">
        <v>154</v>
      </c>
      <c r="C88" s="67" t="s">
        <v>81</v>
      </c>
      <c r="D88" s="64"/>
      <c r="E88" s="36"/>
      <c r="F88" s="36">
        <v>12</v>
      </c>
      <c r="G88" s="36">
        <v>195.85</v>
      </c>
      <c r="H88" s="104">
        <f t="shared" ref="H88:H93" si="12">G88*F88/1000</f>
        <v>2.3501999999999996</v>
      </c>
      <c r="I88" s="13">
        <f>G88*2</f>
        <v>391.7</v>
      </c>
    </row>
    <row r="89" spans="1:9" ht="31.5" customHeight="1">
      <c r="A89" s="29">
        <v>19</v>
      </c>
      <c r="B89" s="55" t="s">
        <v>164</v>
      </c>
      <c r="C89" s="65" t="s">
        <v>165</v>
      </c>
      <c r="D89" s="64"/>
      <c r="E89" s="36"/>
      <c r="F89" s="36">
        <v>6</v>
      </c>
      <c r="G89" s="36">
        <v>53.42</v>
      </c>
      <c r="H89" s="104">
        <f t="shared" si="12"/>
        <v>0.32051999999999997</v>
      </c>
      <c r="I89" s="13">
        <f>G89</f>
        <v>53.42</v>
      </c>
    </row>
    <row r="90" spans="1:9" ht="31.5" customHeight="1">
      <c r="A90" s="29">
        <v>20</v>
      </c>
      <c r="B90" s="55" t="s">
        <v>78</v>
      </c>
      <c r="C90" s="65" t="s">
        <v>117</v>
      </c>
      <c r="D90" s="51"/>
      <c r="E90" s="36"/>
      <c r="F90" s="36">
        <v>9</v>
      </c>
      <c r="G90" s="36">
        <v>83.36</v>
      </c>
      <c r="H90" s="104">
        <f t="shared" si="12"/>
        <v>0.75024000000000002</v>
      </c>
      <c r="I90" s="13">
        <f>G90</f>
        <v>83.36</v>
      </c>
    </row>
    <row r="91" spans="1:9" ht="15.75" customHeight="1">
      <c r="A91" s="29">
        <v>21</v>
      </c>
      <c r="B91" s="68" t="s">
        <v>173</v>
      </c>
      <c r="C91" s="69" t="s">
        <v>87</v>
      </c>
      <c r="D91" s="64"/>
      <c r="E91" s="36"/>
      <c r="F91" s="36">
        <f>327/3</f>
        <v>109</v>
      </c>
      <c r="G91" s="36">
        <v>1120.8900000000001</v>
      </c>
      <c r="H91" s="104">
        <f t="shared" si="12"/>
        <v>122.17701000000001</v>
      </c>
      <c r="I91" s="13">
        <f>G91*((10+15+15+20)/3)</f>
        <v>22417.800000000003</v>
      </c>
    </row>
    <row r="92" spans="1:9" ht="15.75" customHeight="1">
      <c r="A92" s="29">
        <v>22</v>
      </c>
      <c r="B92" s="55" t="s">
        <v>202</v>
      </c>
      <c r="C92" s="65" t="s">
        <v>117</v>
      </c>
      <c r="D92" s="37"/>
      <c r="E92" s="17"/>
      <c r="F92" s="36">
        <v>6</v>
      </c>
      <c r="G92" s="36">
        <v>140</v>
      </c>
      <c r="H92" s="104">
        <f t="shared" si="12"/>
        <v>0.84</v>
      </c>
      <c r="I92" s="13">
        <f>G92</f>
        <v>140</v>
      </c>
    </row>
    <row r="93" spans="1:9" ht="15.75" customHeight="1">
      <c r="A93" s="29">
        <v>23</v>
      </c>
      <c r="B93" s="55" t="s">
        <v>203</v>
      </c>
      <c r="C93" s="65" t="s">
        <v>117</v>
      </c>
      <c r="D93" s="64"/>
      <c r="E93" s="36"/>
      <c r="F93" s="36">
        <v>3</v>
      </c>
      <c r="G93" s="36">
        <v>40</v>
      </c>
      <c r="H93" s="104">
        <f t="shared" si="12"/>
        <v>0.12</v>
      </c>
      <c r="I93" s="13">
        <f>G93</f>
        <v>40</v>
      </c>
    </row>
    <row r="94" spans="1:9" ht="15.75" customHeight="1">
      <c r="A94" s="29">
        <v>24</v>
      </c>
      <c r="B94" s="55" t="s">
        <v>221</v>
      </c>
      <c r="C94" s="65" t="s">
        <v>117</v>
      </c>
      <c r="D94" s="64"/>
      <c r="E94" s="36"/>
      <c r="F94" s="36">
        <v>4</v>
      </c>
      <c r="G94" s="36">
        <v>82</v>
      </c>
      <c r="H94" s="104">
        <f>G94*F94/1000</f>
        <v>0.32800000000000001</v>
      </c>
      <c r="I94" s="13">
        <f>G94</f>
        <v>82</v>
      </c>
    </row>
    <row r="95" spans="1:9" ht="15.75" customHeight="1">
      <c r="A95" s="29">
        <v>25</v>
      </c>
      <c r="B95" s="55" t="s">
        <v>214</v>
      </c>
      <c r="C95" s="106" t="s">
        <v>215</v>
      </c>
      <c r="D95" s="64"/>
      <c r="E95" s="36"/>
      <c r="F95" s="36">
        <v>3</v>
      </c>
      <c r="G95" s="36">
        <v>294.45</v>
      </c>
      <c r="H95" s="104">
        <f>G95*F95/1000</f>
        <v>0.88334999999999986</v>
      </c>
      <c r="I95" s="13">
        <f>G95*2</f>
        <v>588.9</v>
      </c>
    </row>
    <row r="96" spans="1:9" ht="15.75" customHeight="1">
      <c r="A96" s="29">
        <v>26</v>
      </c>
      <c r="B96" s="55" t="s">
        <v>216</v>
      </c>
      <c r="C96" s="65" t="s">
        <v>117</v>
      </c>
      <c r="D96" s="64"/>
      <c r="E96" s="36"/>
      <c r="F96" s="36">
        <v>5</v>
      </c>
      <c r="G96" s="36">
        <v>189.88</v>
      </c>
      <c r="H96" s="104">
        <f t="shared" ref="H96:H97" si="13">G96*F96/1000</f>
        <v>0.94940000000000002</v>
      </c>
      <c r="I96" s="13">
        <f>G96</f>
        <v>189.88</v>
      </c>
    </row>
    <row r="97" spans="1:9" ht="15.75" customHeight="1">
      <c r="A97" s="29">
        <v>27</v>
      </c>
      <c r="B97" s="66" t="s">
        <v>239</v>
      </c>
      <c r="C97" s="67" t="s">
        <v>117</v>
      </c>
      <c r="D97" s="64"/>
      <c r="E97" s="36"/>
      <c r="F97" s="36">
        <v>1</v>
      </c>
      <c r="G97" s="36">
        <v>50</v>
      </c>
      <c r="H97" s="102">
        <f t="shared" si="13"/>
        <v>0.05</v>
      </c>
      <c r="I97" s="13">
        <f>G97</f>
        <v>50</v>
      </c>
    </row>
    <row r="98" spans="1:9" ht="15.75" customHeight="1">
      <c r="A98" s="29">
        <v>28</v>
      </c>
      <c r="B98" s="66" t="s">
        <v>166</v>
      </c>
      <c r="C98" s="67" t="s">
        <v>117</v>
      </c>
      <c r="D98" s="64"/>
      <c r="E98" s="36"/>
      <c r="F98" s="36">
        <v>3</v>
      </c>
      <c r="G98" s="36">
        <v>1202.53</v>
      </c>
      <c r="H98" s="36">
        <f>G98*F98/1000</f>
        <v>3.6075900000000001</v>
      </c>
      <c r="I98" s="13">
        <f>G98*(1+1+1)</f>
        <v>3607.59</v>
      </c>
    </row>
    <row r="99" spans="1:9" ht="15.75" customHeight="1">
      <c r="A99" s="29"/>
      <c r="B99" s="45" t="s">
        <v>50</v>
      </c>
      <c r="C99" s="41"/>
      <c r="D99" s="53"/>
      <c r="E99" s="41">
        <v>1</v>
      </c>
      <c r="F99" s="41"/>
      <c r="G99" s="41"/>
      <c r="H99" s="41"/>
      <c r="I99" s="31">
        <f>SUM(I88:I98)</f>
        <v>27644.650000000005</v>
      </c>
    </row>
    <row r="100" spans="1:9" ht="15.75" customHeight="1">
      <c r="A100" s="29"/>
      <c r="B100" s="51" t="s">
        <v>77</v>
      </c>
      <c r="C100" s="15"/>
      <c r="D100" s="15"/>
      <c r="E100" s="42"/>
      <c r="F100" s="42"/>
      <c r="G100" s="43"/>
      <c r="H100" s="43"/>
      <c r="I100" s="17">
        <v>0</v>
      </c>
    </row>
    <row r="101" spans="1:9" ht="15.75" customHeight="1">
      <c r="A101" s="54"/>
      <c r="B101" s="46" t="s">
        <v>158</v>
      </c>
      <c r="C101" s="34"/>
      <c r="D101" s="34"/>
      <c r="E101" s="34"/>
      <c r="F101" s="34"/>
      <c r="G101" s="34"/>
      <c r="H101" s="34"/>
      <c r="I101" s="44">
        <f>I86+I99</f>
        <v>99158.017155599999</v>
      </c>
    </row>
    <row r="102" spans="1:9" ht="15.75">
      <c r="A102" s="125" t="s">
        <v>254</v>
      </c>
      <c r="B102" s="125"/>
      <c r="C102" s="125"/>
      <c r="D102" s="125"/>
      <c r="E102" s="125"/>
      <c r="F102" s="125"/>
      <c r="G102" s="125"/>
      <c r="H102" s="125"/>
      <c r="I102" s="125"/>
    </row>
    <row r="103" spans="1:9" ht="15.75">
      <c r="A103" s="61"/>
      <c r="B103" s="126" t="s">
        <v>255</v>
      </c>
      <c r="C103" s="126"/>
      <c r="D103" s="126"/>
      <c r="E103" s="126"/>
      <c r="F103" s="126"/>
      <c r="G103" s="126"/>
      <c r="H103" s="82"/>
      <c r="I103" s="3"/>
    </row>
    <row r="104" spans="1:9">
      <c r="A104" s="110"/>
      <c r="B104" s="124" t="s">
        <v>6</v>
      </c>
      <c r="C104" s="124"/>
      <c r="D104" s="124"/>
      <c r="E104" s="124"/>
      <c r="F104" s="124"/>
      <c r="G104" s="124"/>
      <c r="H104" s="24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7" t="s">
        <v>7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15.75">
      <c r="A107" s="127" t="s">
        <v>8</v>
      </c>
      <c r="B107" s="127"/>
      <c r="C107" s="127"/>
      <c r="D107" s="127"/>
      <c r="E107" s="127"/>
      <c r="F107" s="127"/>
      <c r="G107" s="127"/>
      <c r="H107" s="127"/>
      <c r="I107" s="127"/>
    </row>
    <row r="108" spans="1:9" ht="15.75">
      <c r="A108" s="121" t="s">
        <v>59</v>
      </c>
      <c r="B108" s="121"/>
      <c r="C108" s="121"/>
      <c r="D108" s="121"/>
      <c r="E108" s="121"/>
      <c r="F108" s="121"/>
      <c r="G108" s="121"/>
      <c r="H108" s="121"/>
      <c r="I108" s="121"/>
    </row>
    <row r="109" spans="1:9" ht="15.75">
      <c r="A109" s="11"/>
    </row>
    <row r="110" spans="1:9" ht="15.75">
      <c r="A110" s="122" t="s">
        <v>9</v>
      </c>
      <c r="B110" s="122"/>
      <c r="C110" s="122"/>
      <c r="D110" s="122"/>
      <c r="E110" s="122"/>
      <c r="F110" s="122"/>
      <c r="G110" s="122"/>
      <c r="H110" s="122"/>
      <c r="I110" s="122"/>
    </row>
    <row r="111" spans="1:9" ht="15.75">
      <c r="A111" s="4"/>
    </row>
    <row r="112" spans="1:9" ht="15.75">
      <c r="B112" s="111" t="s">
        <v>10</v>
      </c>
      <c r="C112" s="123" t="s">
        <v>86</v>
      </c>
      <c r="D112" s="123"/>
      <c r="E112" s="123"/>
      <c r="F112" s="80"/>
      <c r="I112" s="109"/>
    </row>
    <row r="113" spans="1:9">
      <c r="A113" s="110"/>
      <c r="C113" s="124" t="s">
        <v>11</v>
      </c>
      <c r="D113" s="124"/>
      <c r="E113" s="124"/>
      <c r="F113" s="24"/>
      <c r="I113" s="112" t="s">
        <v>12</v>
      </c>
    </row>
    <row r="114" spans="1:9" ht="15.75">
      <c r="A114" s="25"/>
      <c r="C114" s="12"/>
      <c r="D114" s="12"/>
      <c r="G114" s="12"/>
      <c r="H114" s="12"/>
    </row>
    <row r="115" spans="1:9" ht="15.75">
      <c r="B115" s="111" t="s">
        <v>13</v>
      </c>
      <c r="C115" s="118"/>
      <c r="D115" s="118"/>
      <c r="E115" s="118"/>
      <c r="F115" s="81"/>
      <c r="I115" s="109"/>
    </row>
    <row r="116" spans="1:9">
      <c r="A116" s="110"/>
      <c r="C116" s="119" t="s">
        <v>11</v>
      </c>
      <c r="D116" s="119"/>
      <c r="E116" s="119"/>
      <c r="F116" s="110"/>
      <c r="I116" s="112" t="s">
        <v>12</v>
      </c>
    </row>
    <row r="117" spans="1:9" ht="15.75">
      <c r="A117" s="4" t="s">
        <v>14</v>
      </c>
    </row>
    <row r="118" spans="1:9">
      <c r="A118" s="120" t="s">
        <v>15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45" customHeight="1">
      <c r="A119" s="117" t="s">
        <v>16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30" customHeight="1">
      <c r="A120" s="117" t="s">
        <v>17</v>
      </c>
      <c r="B120" s="117"/>
      <c r="C120" s="117"/>
      <c r="D120" s="117"/>
      <c r="E120" s="117"/>
      <c r="F120" s="117"/>
      <c r="G120" s="117"/>
      <c r="H120" s="117"/>
      <c r="I120" s="117"/>
    </row>
    <row r="121" spans="1:9" ht="30" customHeight="1">
      <c r="A121" s="117" t="s">
        <v>21</v>
      </c>
      <c r="B121" s="117"/>
      <c r="C121" s="117"/>
      <c r="D121" s="117"/>
      <c r="E121" s="117"/>
      <c r="F121" s="117"/>
      <c r="G121" s="117"/>
      <c r="H121" s="117"/>
      <c r="I121" s="117"/>
    </row>
    <row r="122" spans="1:9" ht="15" customHeight="1">
      <c r="A122" s="117" t="s">
        <v>20</v>
      </c>
      <c r="B122" s="117"/>
      <c r="C122" s="117"/>
      <c r="D122" s="117"/>
      <c r="E122" s="117"/>
      <c r="F122" s="117"/>
      <c r="G122" s="117"/>
      <c r="H122" s="117"/>
      <c r="I122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3:I83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5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240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241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113"/>
      <c r="C6" s="113"/>
      <c r="D6" s="113"/>
      <c r="E6" s="113"/>
      <c r="F6" s="113"/>
      <c r="G6" s="113"/>
      <c r="H6" s="113"/>
      <c r="I6" s="30">
        <v>43100</v>
      </c>
      <c r="J6" s="2"/>
      <c r="K6" s="2"/>
      <c r="L6" s="2"/>
      <c r="M6" s="2"/>
    </row>
    <row r="7" spans="1:13" ht="15.75" customHeight="1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customHeight="1">
      <c r="A45" s="33">
        <v>11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9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9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115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13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14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114" t="s">
        <v>43</v>
      </c>
      <c r="C61" s="114"/>
      <c r="D61" s="114"/>
      <c r="E61" s="114"/>
      <c r="F61" s="114"/>
      <c r="G61" s="114"/>
      <c r="H61" s="114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15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114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16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G65*10</f>
        <v>2224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16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115"/>
      <c r="B73" s="114" t="s">
        <v>124</v>
      </c>
      <c r="C73" s="114"/>
      <c r="D73" s="114"/>
      <c r="E73" s="114"/>
      <c r="F73" s="114"/>
      <c r="G73" s="114"/>
      <c r="H73" s="114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17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18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115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SUM(I16+I17+I18+I27+I28+I38+I39+I40+I42+I43+I45+I51+I58+I59+I63+I65+I84+I85)</f>
        <v>74930.010170599984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19</v>
      </c>
      <c r="B88" s="66" t="s">
        <v>154</v>
      </c>
      <c r="C88" s="67" t="s">
        <v>81</v>
      </c>
      <c r="D88" s="64"/>
      <c r="E88" s="36"/>
      <c r="F88" s="36">
        <v>12</v>
      </c>
      <c r="G88" s="36">
        <v>195.85</v>
      </c>
      <c r="H88" s="104">
        <f t="shared" ref="H88:H97" si="12">G88*F88/1000</f>
        <v>2.3501999999999996</v>
      </c>
      <c r="I88" s="13">
        <f>G88*3</f>
        <v>587.54999999999995</v>
      </c>
    </row>
    <row r="89" spans="1:9" ht="31.5" customHeight="1">
      <c r="A89" s="29">
        <v>20</v>
      </c>
      <c r="B89" s="55" t="s">
        <v>164</v>
      </c>
      <c r="C89" s="65" t="s">
        <v>165</v>
      </c>
      <c r="D89" s="64"/>
      <c r="E89" s="36"/>
      <c r="F89" s="36">
        <v>6</v>
      </c>
      <c r="G89" s="36">
        <v>53.42</v>
      </c>
      <c r="H89" s="104">
        <f t="shared" si="12"/>
        <v>0.32051999999999997</v>
      </c>
      <c r="I89" s="13">
        <f>G89*2</f>
        <v>106.84</v>
      </c>
    </row>
    <row r="90" spans="1:9" ht="31.5" customHeight="1">
      <c r="A90" s="29">
        <v>21</v>
      </c>
      <c r="B90" s="55" t="s">
        <v>78</v>
      </c>
      <c r="C90" s="65" t="s">
        <v>117</v>
      </c>
      <c r="D90" s="51"/>
      <c r="E90" s="36"/>
      <c r="F90" s="36">
        <v>9</v>
      </c>
      <c r="G90" s="36">
        <v>83.36</v>
      </c>
      <c r="H90" s="104">
        <f t="shared" si="12"/>
        <v>0.75024000000000002</v>
      </c>
      <c r="I90" s="13">
        <f>G90</f>
        <v>83.36</v>
      </c>
    </row>
    <row r="91" spans="1:9" ht="15.75" customHeight="1">
      <c r="A91" s="29">
        <v>22</v>
      </c>
      <c r="B91" s="68" t="s">
        <v>173</v>
      </c>
      <c r="C91" s="69" t="s">
        <v>87</v>
      </c>
      <c r="D91" s="64"/>
      <c r="E91" s="36"/>
      <c r="F91" s="36">
        <f>327/3</f>
        <v>109</v>
      </c>
      <c r="G91" s="36">
        <v>1120.8900000000001</v>
      </c>
      <c r="H91" s="104">
        <f t="shared" si="12"/>
        <v>122.17701000000001</v>
      </c>
      <c r="I91" s="13">
        <f>G91*((10+10+50)/3)</f>
        <v>26154.100000000002</v>
      </c>
    </row>
    <row r="92" spans="1:9" ht="15.75" customHeight="1">
      <c r="A92" s="29">
        <v>23</v>
      </c>
      <c r="B92" s="105" t="s">
        <v>176</v>
      </c>
      <c r="C92" s="29" t="s">
        <v>117</v>
      </c>
      <c r="D92" s="51"/>
      <c r="E92" s="13"/>
      <c r="F92" s="13">
        <v>3</v>
      </c>
      <c r="G92" s="13">
        <v>470</v>
      </c>
      <c r="H92" s="104">
        <f t="shared" si="12"/>
        <v>1.41</v>
      </c>
      <c r="I92" s="13">
        <f>G92</f>
        <v>470</v>
      </c>
    </row>
    <row r="93" spans="1:9" ht="31.5" customHeight="1">
      <c r="A93" s="29">
        <v>24</v>
      </c>
      <c r="B93" s="55" t="s">
        <v>181</v>
      </c>
      <c r="C93" s="65" t="s">
        <v>182</v>
      </c>
      <c r="D93" s="64"/>
      <c r="E93" s="36"/>
      <c r="F93" s="36">
        <v>11</v>
      </c>
      <c r="G93" s="36">
        <v>589.84</v>
      </c>
      <c r="H93" s="104">
        <f t="shared" si="12"/>
        <v>6.4882400000000011</v>
      </c>
      <c r="I93" s="13">
        <f>G93*2</f>
        <v>1179.68</v>
      </c>
    </row>
    <row r="94" spans="1:9" ht="31.5" customHeight="1">
      <c r="A94" s="29">
        <v>25</v>
      </c>
      <c r="B94" s="55" t="s">
        <v>140</v>
      </c>
      <c r="C94" s="65" t="s">
        <v>37</v>
      </c>
      <c r="D94" s="64"/>
      <c r="E94" s="36"/>
      <c r="F94" s="36">
        <v>0.13</v>
      </c>
      <c r="G94" s="36">
        <v>3581.13</v>
      </c>
      <c r="H94" s="104">
        <f t="shared" si="12"/>
        <v>0.46554690000000004</v>
      </c>
      <c r="I94" s="13">
        <f>G94*0.01</f>
        <v>35.811300000000003</v>
      </c>
    </row>
    <row r="95" spans="1:9" ht="31.5" customHeight="1">
      <c r="A95" s="29">
        <v>26</v>
      </c>
      <c r="B95" s="55" t="s">
        <v>198</v>
      </c>
      <c r="C95" s="65" t="s">
        <v>163</v>
      </c>
      <c r="D95" s="51"/>
      <c r="E95" s="36"/>
      <c r="F95" s="36">
        <v>19</v>
      </c>
      <c r="G95" s="36">
        <v>1272</v>
      </c>
      <c r="H95" s="104">
        <f t="shared" si="12"/>
        <v>24.167999999999999</v>
      </c>
      <c r="I95" s="13">
        <f>G95*4</f>
        <v>5088</v>
      </c>
    </row>
    <row r="96" spans="1:9" ht="15.75" customHeight="1">
      <c r="A96" s="29">
        <v>27</v>
      </c>
      <c r="B96" s="66" t="s">
        <v>204</v>
      </c>
      <c r="C96" s="67" t="s">
        <v>117</v>
      </c>
      <c r="D96" s="51"/>
      <c r="E96" s="36"/>
      <c r="F96" s="36">
        <v>2</v>
      </c>
      <c r="G96" s="36">
        <v>510.84</v>
      </c>
      <c r="H96" s="104">
        <f t="shared" si="12"/>
        <v>1.0216799999999999</v>
      </c>
      <c r="I96" s="13">
        <f>G96</f>
        <v>510.84</v>
      </c>
    </row>
    <row r="97" spans="1:9" ht="31.5" customHeight="1">
      <c r="A97" s="29">
        <v>28</v>
      </c>
      <c r="B97" s="55" t="s">
        <v>210</v>
      </c>
      <c r="C97" s="65" t="s">
        <v>182</v>
      </c>
      <c r="D97" s="64"/>
      <c r="E97" s="36"/>
      <c r="F97" s="36">
        <v>4</v>
      </c>
      <c r="G97" s="36">
        <v>803.54</v>
      </c>
      <c r="H97" s="104">
        <f t="shared" si="12"/>
        <v>3.2141599999999997</v>
      </c>
      <c r="I97" s="13">
        <f>G97*(1+1)</f>
        <v>1607.08</v>
      </c>
    </row>
    <row r="98" spans="1:9" ht="15.75" customHeight="1">
      <c r="A98" s="33">
        <v>29</v>
      </c>
      <c r="B98" s="55" t="s">
        <v>216</v>
      </c>
      <c r="C98" s="65" t="s">
        <v>117</v>
      </c>
      <c r="D98" s="64"/>
      <c r="E98" s="36"/>
      <c r="F98" s="36">
        <v>5</v>
      </c>
      <c r="G98" s="36">
        <v>189.88</v>
      </c>
      <c r="H98" s="104">
        <f t="shared" ref="H98:H101" si="13">G98*F98/1000</f>
        <v>0.94940000000000002</v>
      </c>
      <c r="I98" s="13">
        <f>G98*3</f>
        <v>569.64</v>
      </c>
    </row>
    <row r="99" spans="1:9" ht="31.5" customHeight="1">
      <c r="A99" s="33">
        <v>30</v>
      </c>
      <c r="B99" s="55" t="s">
        <v>242</v>
      </c>
      <c r="C99" s="65" t="s">
        <v>243</v>
      </c>
      <c r="D99" s="64"/>
      <c r="E99" s="36"/>
      <c r="F99" s="36">
        <v>0.5</v>
      </c>
      <c r="G99" s="36">
        <v>1365</v>
      </c>
      <c r="H99" s="36">
        <f t="shared" si="13"/>
        <v>0.6825</v>
      </c>
      <c r="I99" s="13">
        <f>G99*0.5</f>
        <v>682.5</v>
      </c>
    </row>
    <row r="100" spans="1:9" ht="15.75" customHeight="1">
      <c r="A100" s="33">
        <v>31</v>
      </c>
      <c r="B100" s="55" t="s">
        <v>246</v>
      </c>
      <c r="C100" s="106" t="s">
        <v>163</v>
      </c>
      <c r="D100" s="64"/>
      <c r="E100" s="36"/>
      <c r="F100" s="36">
        <v>1</v>
      </c>
      <c r="G100" s="36">
        <v>18.97</v>
      </c>
      <c r="H100" s="104">
        <f t="shared" si="13"/>
        <v>1.8969999999999997E-2</v>
      </c>
      <c r="I100" s="13">
        <f>G100</f>
        <v>18.97</v>
      </c>
    </row>
    <row r="101" spans="1:9" ht="15.75" customHeight="1">
      <c r="A101" s="33">
        <v>32</v>
      </c>
      <c r="B101" s="55" t="s">
        <v>244</v>
      </c>
      <c r="C101" s="106" t="s">
        <v>245</v>
      </c>
      <c r="D101" s="64"/>
      <c r="E101" s="36"/>
      <c r="F101" s="36">
        <v>1</v>
      </c>
      <c r="G101" s="13">
        <v>17131</v>
      </c>
      <c r="H101" s="104">
        <f t="shared" si="13"/>
        <v>17.131</v>
      </c>
      <c r="I101" s="13">
        <f>G101</f>
        <v>17131</v>
      </c>
    </row>
    <row r="102" spans="1:9" ht="15.75" customHeight="1">
      <c r="A102" s="29"/>
      <c r="B102" s="45" t="s">
        <v>50</v>
      </c>
      <c r="C102" s="41"/>
      <c r="D102" s="53"/>
      <c r="E102" s="41">
        <v>1</v>
      </c>
      <c r="F102" s="41"/>
      <c r="G102" s="41"/>
      <c r="H102" s="41"/>
      <c r="I102" s="31">
        <f>SUM(I88:I101)</f>
        <v>54225.371299999999</v>
      </c>
    </row>
    <row r="103" spans="1:9" ht="15.75" customHeight="1">
      <c r="A103" s="29"/>
      <c r="B103" s="51" t="s">
        <v>77</v>
      </c>
      <c r="C103" s="15"/>
      <c r="D103" s="15"/>
      <c r="E103" s="42"/>
      <c r="F103" s="42"/>
      <c r="G103" s="43"/>
      <c r="H103" s="43"/>
      <c r="I103" s="17">
        <v>0</v>
      </c>
    </row>
    <row r="104" spans="1:9" ht="15.75" customHeight="1">
      <c r="A104" s="54"/>
      <c r="B104" s="46" t="s">
        <v>158</v>
      </c>
      <c r="C104" s="34"/>
      <c r="D104" s="34"/>
      <c r="E104" s="34"/>
      <c r="F104" s="34"/>
      <c r="G104" s="34"/>
      <c r="H104" s="34"/>
      <c r="I104" s="44">
        <f>I86+I102</f>
        <v>129155.38147059998</v>
      </c>
    </row>
    <row r="105" spans="1:9" ht="15.75">
      <c r="A105" s="125" t="s">
        <v>256</v>
      </c>
      <c r="B105" s="125"/>
      <c r="C105" s="125"/>
      <c r="D105" s="125"/>
      <c r="E105" s="125"/>
      <c r="F105" s="125"/>
      <c r="G105" s="125"/>
      <c r="H105" s="125"/>
      <c r="I105" s="125"/>
    </row>
    <row r="106" spans="1:9" ht="15.75">
      <c r="A106" s="61"/>
      <c r="B106" s="126" t="s">
        <v>257</v>
      </c>
      <c r="C106" s="126"/>
      <c r="D106" s="126"/>
      <c r="E106" s="126"/>
      <c r="F106" s="126"/>
      <c r="G106" s="126"/>
      <c r="H106" s="82"/>
      <c r="I106" s="3"/>
    </row>
    <row r="107" spans="1:9">
      <c r="A107" s="110"/>
      <c r="B107" s="124" t="s">
        <v>6</v>
      </c>
      <c r="C107" s="124"/>
      <c r="D107" s="124"/>
      <c r="E107" s="124"/>
      <c r="F107" s="124"/>
      <c r="G107" s="124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27" t="s">
        <v>7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15.75">
      <c r="A110" s="127" t="s">
        <v>8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5.75">
      <c r="A111" s="121" t="s">
        <v>59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.75">
      <c r="A112" s="11"/>
    </row>
    <row r="113" spans="1:9" ht="15.75">
      <c r="A113" s="122" t="s">
        <v>9</v>
      </c>
      <c r="B113" s="122"/>
      <c r="C113" s="122"/>
      <c r="D113" s="122"/>
      <c r="E113" s="122"/>
      <c r="F113" s="122"/>
      <c r="G113" s="122"/>
      <c r="H113" s="122"/>
      <c r="I113" s="122"/>
    </row>
    <row r="114" spans="1:9" ht="15.75">
      <c r="A114" s="4"/>
    </row>
    <row r="115" spans="1:9" ht="15.75">
      <c r="B115" s="111" t="s">
        <v>10</v>
      </c>
      <c r="C115" s="123" t="s">
        <v>86</v>
      </c>
      <c r="D115" s="123"/>
      <c r="E115" s="123"/>
      <c r="F115" s="80"/>
      <c r="I115" s="109"/>
    </row>
    <row r="116" spans="1:9">
      <c r="A116" s="110"/>
      <c r="C116" s="124" t="s">
        <v>11</v>
      </c>
      <c r="D116" s="124"/>
      <c r="E116" s="124"/>
      <c r="F116" s="24"/>
      <c r="I116" s="112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111" t="s">
        <v>13</v>
      </c>
      <c r="C118" s="118"/>
      <c r="D118" s="118"/>
      <c r="E118" s="118"/>
      <c r="F118" s="81"/>
      <c r="I118" s="109"/>
    </row>
    <row r="119" spans="1:9">
      <c r="A119" s="110"/>
      <c r="C119" s="119" t="s">
        <v>11</v>
      </c>
      <c r="D119" s="119"/>
      <c r="E119" s="119"/>
      <c r="F119" s="110"/>
      <c r="I119" s="112" t="s">
        <v>12</v>
      </c>
    </row>
    <row r="120" spans="1:9" ht="15.75">
      <c r="A120" s="4" t="s">
        <v>14</v>
      </c>
    </row>
    <row r="121" spans="1:9">
      <c r="A121" s="120" t="s">
        <v>15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45" customHeight="1">
      <c r="A122" s="117" t="s">
        <v>16</v>
      </c>
      <c r="B122" s="117"/>
      <c r="C122" s="117"/>
      <c r="D122" s="117"/>
      <c r="E122" s="117"/>
      <c r="F122" s="117"/>
      <c r="G122" s="117"/>
      <c r="H122" s="117"/>
      <c r="I122" s="117"/>
    </row>
    <row r="123" spans="1:9" ht="30" customHeight="1">
      <c r="A123" s="117" t="s">
        <v>17</v>
      </c>
      <c r="B123" s="117"/>
      <c r="C123" s="117"/>
      <c r="D123" s="117"/>
      <c r="E123" s="117"/>
      <c r="F123" s="117"/>
      <c r="G123" s="117"/>
      <c r="H123" s="117"/>
      <c r="I123" s="117"/>
    </row>
    <row r="124" spans="1:9" ht="30" customHeight="1">
      <c r="A124" s="117" t="s">
        <v>21</v>
      </c>
      <c r="B124" s="117"/>
      <c r="C124" s="117"/>
      <c r="D124" s="117"/>
      <c r="E124" s="117"/>
      <c r="F124" s="117"/>
      <c r="G124" s="117"/>
      <c r="H124" s="117"/>
      <c r="I124" s="117"/>
    </row>
    <row r="125" spans="1:9" ht="15" customHeight="1">
      <c r="A125" s="117" t="s">
        <v>20</v>
      </c>
      <c r="B125" s="117"/>
      <c r="C125" s="117"/>
      <c r="D125" s="117"/>
      <c r="E125" s="117"/>
      <c r="F125" s="117"/>
      <c r="G125" s="117"/>
      <c r="H125" s="117"/>
      <c r="I125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9:E119"/>
    <mergeCell ref="A87:I87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3:I83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159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160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42794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22.5" customHeight="1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3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customHeight="1">
      <c r="A45" s="33">
        <v>11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3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15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4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4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4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4"/>
        <v>3.0022979600000004</v>
      </c>
      <c r="I50" s="13">
        <v>0</v>
      </c>
      <c r="J50" s="23"/>
      <c r="L50" s="19"/>
      <c r="M50" s="20"/>
      <c r="N50" s="21"/>
    </row>
    <row r="51" spans="1:14" ht="15.75" customHeight="1">
      <c r="A51" s="40">
        <v>12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4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4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4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4"/>
        <v>0.11304260000000001</v>
      </c>
      <c r="I54" s="13">
        <v>0</v>
      </c>
      <c r="J54" s="23"/>
      <c r="L54" s="19"/>
      <c r="M54" s="20"/>
      <c r="N54" s="21"/>
    </row>
    <row r="55" spans="1:14" ht="15.75" hidden="1" customHeight="1">
      <c r="A55" s="40">
        <v>14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4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13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14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15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16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5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5"/>
        <v>1.5249999999999999</v>
      </c>
      <c r="I66" s="13">
        <v>0</v>
      </c>
    </row>
    <row r="67" spans="1:22" ht="15.75" hidden="1" customHeight="1">
      <c r="A67" s="29">
        <v>8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5"/>
        <v>40.075135000000003</v>
      </c>
      <c r="I67" s="13">
        <v>0</v>
      </c>
    </row>
    <row r="68" spans="1:22" ht="15.75" hidden="1" customHeight="1">
      <c r="A68" s="29">
        <v>9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5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5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5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5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5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19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0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customHeight="1">
      <c r="A76" s="29">
        <v>17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6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customHeight="1">
      <c r="A79" s="29">
        <v>18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6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7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19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20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SUM(I16+I17+I18+I27+I28+I38+I39+I40+I42+I43+I45+I51+I58+I59+I63+I65+I76+I79+I84+I85)</f>
        <v>74276.362170599983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21</v>
      </c>
      <c r="B88" s="68" t="s">
        <v>161</v>
      </c>
      <c r="C88" s="69" t="s">
        <v>87</v>
      </c>
      <c r="D88" s="51"/>
      <c r="E88" s="13"/>
      <c r="F88" s="13">
        <v>5</v>
      </c>
      <c r="G88" s="13">
        <v>1120.8900000000001</v>
      </c>
      <c r="H88" s="102">
        <f t="shared" ref="H88:H93" si="8">G88*F88/1000</f>
        <v>5.6044500000000008</v>
      </c>
      <c r="I88" s="13">
        <f>G88*5</f>
        <v>5604.4500000000007</v>
      </c>
    </row>
    <row r="89" spans="1:9" ht="31.5" customHeight="1">
      <c r="A89" s="29">
        <v>22</v>
      </c>
      <c r="B89" s="55" t="s">
        <v>162</v>
      </c>
      <c r="C89" s="65" t="s">
        <v>163</v>
      </c>
      <c r="D89" s="51"/>
      <c r="E89" s="13"/>
      <c r="F89" s="13">
        <v>35</v>
      </c>
      <c r="G89" s="13">
        <v>1187</v>
      </c>
      <c r="H89" s="102">
        <f t="shared" si="8"/>
        <v>41.545000000000002</v>
      </c>
      <c r="I89" s="13">
        <f>G89*(3+6)</f>
        <v>10683</v>
      </c>
    </row>
    <row r="90" spans="1:9" ht="31.5" customHeight="1">
      <c r="A90" s="29">
        <v>23</v>
      </c>
      <c r="B90" s="55" t="s">
        <v>164</v>
      </c>
      <c r="C90" s="65" t="s">
        <v>165</v>
      </c>
      <c r="D90" s="51"/>
      <c r="E90" s="13"/>
      <c r="F90" s="13">
        <v>2</v>
      </c>
      <c r="G90" s="13">
        <v>53.42</v>
      </c>
      <c r="H90" s="102">
        <f t="shared" si="8"/>
        <v>0.10684</v>
      </c>
      <c r="I90" s="13">
        <f>G90*2</f>
        <v>106.84</v>
      </c>
    </row>
    <row r="91" spans="1:9" ht="31.5" customHeight="1">
      <c r="A91" s="29">
        <v>24</v>
      </c>
      <c r="B91" s="55" t="s">
        <v>78</v>
      </c>
      <c r="C91" s="65" t="s">
        <v>117</v>
      </c>
      <c r="D91" s="51"/>
      <c r="E91" s="13"/>
      <c r="F91" s="13">
        <v>7</v>
      </c>
      <c r="G91" s="13">
        <v>83.36</v>
      </c>
      <c r="H91" s="102">
        <f t="shared" si="8"/>
        <v>0.58351999999999993</v>
      </c>
      <c r="I91" s="13">
        <f>G91</f>
        <v>83.36</v>
      </c>
    </row>
    <row r="92" spans="1:9" ht="15.75" customHeight="1">
      <c r="A92" s="29">
        <v>25</v>
      </c>
      <c r="B92" s="55" t="s">
        <v>166</v>
      </c>
      <c r="C92" s="65" t="s">
        <v>117</v>
      </c>
      <c r="D92" s="51"/>
      <c r="E92" s="13"/>
      <c r="F92" s="13">
        <v>1</v>
      </c>
      <c r="G92" s="13">
        <v>1241.75</v>
      </c>
      <c r="H92" s="102">
        <f t="shared" si="8"/>
        <v>1.2417499999999999</v>
      </c>
      <c r="I92" s="13">
        <f t="shared" ref="I92" si="9">G92</f>
        <v>1241.75</v>
      </c>
    </row>
    <row r="93" spans="1:9" ht="15.75" customHeight="1">
      <c r="A93" s="29">
        <v>26</v>
      </c>
      <c r="B93" s="55" t="s">
        <v>167</v>
      </c>
      <c r="C93" s="65" t="s">
        <v>168</v>
      </c>
      <c r="D93" s="51"/>
      <c r="E93" s="13"/>
      <c r="F93" s="13">
        <v>1</v>
      </c>
      <c r="G93" s="13">
        <v>1582</v>
      </c>
      <c r="H93" s="102">
        <f t="shared" si="8"/>
        <v>1.5820000000000001</v>
      </c>
      <c r="I93" s="13">
        <f>G93*0.5</f>
        <v>791</v>
      </c>
    </row>
    <row r="94" spans="1:9" ht="15.75" customHeight="1">
      <c r="A94" s="29"/>
      <c r="B94" s="45" t="s">
        <v>50</v>
      </c>
      <c r="C94" s="41"/>
      <c r="D94" s="53"/>
      <c r="E94" s="41">
        <v>1</v>
      </c>
      <c r="F94" s="41"/>
      <c r="G94" s="41"/>
      <c r="H94" s="41"/>
      <c r="I94" s="31">
        <f>SUM(I88:I93)</f>
        <v>18510.400000000001</v>
      </c>
    </row>
    <row r="95" spans="1:9" ht="15.75" customHeight="1">
      <c r="A95" s="29"/>
      <c r="B95" s="51" t="s">
        <v>77</v>
      </c>
      <c r="C95" s="15"/>
      <c r="D95" s="15"/>
      <c r="E95" s="42"/>
      <c r="F95" s="42"/>
      <c r="G95" s="43"/>
      <c r="H95" s="43"/>
      <c r="I95" s="17">
        <v>0</v>
      </c>
    </row>
    <row r="96" spans="1:9" ht="15.75" customHeight="1">
      <c r="A96" s="54"/>
      <c r="B96" s="46" t="s">
        <v>158</v>
      </c>
      <c r="C96" s="34"/>
      <c r="D96" s="34"/>
      <c r="E96" s="34"/>
      <c r="F96" s="34"/>
      <c r="G96" s="34"/>
      <c r="H96" s="34"/>
      <c r="I96" s="44">
        <f>I86+I94</f>
        <v>92786.762170599977</v>
      </c>
    </row>
    <row r="97" spans="1:9" ht="15.75">
      <c r="A97" s="125" t="s">
        <v>258</v>
      </c>
      <c r="B97" s="125"/>
      <c r="C97" s="125"/>
      <c r="D97" s="125"/>
      <c r="E97" s="125"/>
      <c r="F97" s="125"/>
      <c r="G97" s="125"/>
      <c r="H97" s="125"/>
      <c r="I97" s="125"/>
    </row>
    <row r="98" spans="1:9" ht="15.75">
      <c r="A98" s="61"/>
      <c r="B98" s="126" t="s">
        <v>259</v>
      </c>
      <c r="C98" s="126"/>
      <c r="D98" s="126"/>
      <c r="E98" s="126"/>
      <c r="F98" s="126"/>
      <c r="G98" s="126"/>
      <c r="H98" s="82"/>
      <c r="I98" s="3"/>
    </row>
    <row r="99" spans="1:9">
      <c r="A99" s="76"/>
      <c r="B99" s="124" t="s">
        <v>6</v>
      </c>
      <c r="C99" s="124"/>
      <c r="D99" s="124"/>
      <c r="E99" s="124"/>
      <c r="F99" s="124"/>
      <c r="G99" s="124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7" t="s">
        <v>7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5.75">
      <c r="A102" s="127" t="s">
        <v>8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5.75">
      <c r="A103" s="121" t="s">
        <v>59</v>
      </c>
      <c r="B103" s="121"/>
      <c r="C103" s="121"/>
      <c r="D103" s="121"/>
      <c r="E103" s="121"/>
      <c r="F103" s="121"/>
      <c r="G103" s="121"/>
      <c r="H103" s="121"/>
      <c r="I103" s="121"/>
    </row>
    <row r="104" spans="1:9" ht="22.5" customHeight="1">
      <c r="A104" s="11"/>
    </row>
    <row r="105" spans="1:9" ht="15.75">
      <c r="A105" s="122" t="s">
        <v>9</v>
      </c>
      <c r="B105" s="122"/>
      <c r="C105" s="122"/>
      <c r="D105" s="122"/>
      <c r="E105" s="122"/>
      <c r="F105" s="122"/>
      <c r="G105" s="122"/>
      <c r="H105" s="122"/>
      <c r="I105" s="122"/>
    </row>
    <row r="106" spans="1:9" ht="15.75">
      <c r="A106" s="4"/>
    </row>
    <row r="107" spans="1:9" ht="15.75">
      <c r="B107" s="74" t="s">
        <v>10</v>
      </c>
      <c r="C107" s="123" t="s">
        <v>86</v>
      </c>
      <c r="D107" s="123"/>
      <c r="E107" s="123"/>
      <c r="F107" s="80"/>
      <c r="I107" s="75"/>
    </row>
    <row r="108" spans="1:9">
      <c r="A108" s="76"/>
      <c r="C108" s="124" t="s">
        <v>11</v>
      </c>
      <c r="D108" s="124"/>
      <c r="E108" s="124"/>
      <c r="F108" s="24"/>
      <c r="I108" s="73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74" t="s">
        <v>13</v>
      </c>
      <c r="C110" s="118"/>
      <c r="D110" s="118"/>
      <c r="E110" s="118"/>
      <c r="F110" s="81"/>
      <c r="I110" s="75"/>
    </row>
    <row r="111" spans="1:9">
      <c r="A111" s="76"/>
      <c r="C111" s="119" t="s">
        <v>11</v>
      </c>
      <c r="D111" s="119"/>
      <c r="E111" s="119"/>
      <c r="F111" s="76"/>
      <c r="I111" s="73" t="s">
        <v>12</v>
      </c>
    </row>
    <row r="112" spans="1:9" ht="15.75">
      <c r="A112" s="4" t="s">
        <v>14</v>
      </c>
    </row>
    <row r="113" spans="1:9">
      <c r="A113" s="120" t="s">
        <v>15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45" customHeight="1">
      <c r="A114" s="117" t="s">
        <v>16</v>
      </c>
      <c r="B114" s="117"/>
      <c r="C114" s="117"/>
      <c r="D114" s="117"/>
      <c r="E114" s="117"/>
      <c r="F114" s="117"/>
      <c r="G114" s="117"/>
      <c r="H114" s="117"/>
      <c r="I114" s="117"/>
    </row>
    <row r="115" spans="1:9" ht="30" customHeight="1">
      <c r="A115" s="117" t="s">
        <v>17</v>
      </c>
      <c r="B115" s="117"/>
      <c r="C115" s="117"/>
      <c r="D115" s="117"/>
      <c r="E115" s="117"/>
      <c r="F115" s="117"/>
      <c r="G115" s="117"/>
      <c r="H115" s="117"/>
      <c r="I115" s="117"/>
    </row>
    <row r="116" spans="1:9" ht="30" customHeight="1">
      <c r="A116" s="117" t="s">
        <v>21</v>
      </c>
      <c r="B116" s="117"/>
      <c r="C116" s="117"/>
      <c r="D116" s="117"/>
      <c r="E116" s="117"/>
      <c r="F116" s="117"/>
      <c r="G116" s="117"/>
      <c r="H116" s="117"/>
      <c r="I116" s="117"/>
    </row>
    <row r="117" spans="1:9" ht="15" customHeight="1">
      <c r="A117" s="117" t="s">
        <v>20</v>
      </c>
      <c r="B117" s="117"/>
      <c r="C117" s="117"/>
      <c r="D117" s="117"/>
      <c r="E117" s="117"/>
      <c r="F117" s="117"/>
      <c r="G117" s="117"/>
      <c r="H117" s="117"/>
      <c r="I117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1:E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3:I83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169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170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42825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4" t="s">
        <v>114</v>
      </c>
      <c r="C44" s="85" t="s">
        <v>108</v>
      </c>
      <c r="D44" s="37" t="s">
        <v>249</v>
      </c>
      <c r="E44" s="36">
        <v>130.08000000000001</v>
      </c>
      <c r="F44" s="116">
        <f>SUM(E44*15/1000)</f>
        <v>1.9512000000000003</v>
      </c>
      <c r="G44" s="36">
        <v>428.7</v>
      </c>
      <c r="H44" s="36">
        <f t="shared" ref="H44" si="4">SUM(F44*G44/1000)</f>
        <v>0.83647944000000007</v>
      </c>
      <c r="I44" s="13">
        <f>F44/2*G44</f>
        <v>418.23972000000003</v>
      </c>
      <c r="J44" s="23"/>
      <c r="L44" s="19"/>
      <c r="M44" s="20"/>
      <c r="N44" s="21"/>
    </row>
    <row r="45" spans="1:14" ht="15.75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3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15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v>0</v>
      </c>
      <c r="J50" s="23"/>
      <c r="L50" s="19"/>
      <c r="M50" s="20"/>
      <c r="N50" s="21"/>
    </row>
    <row r="51" spans="1:14" ht="15.75" hidden="1" customHeight="1">
      <c r="A51" s="40">
        <v>13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v>0</v>
      </c>
      <c r="J54" s="23"/>
      <c r="L54" s="19"/>
      <c r="M54" s="20"/>
      <c r="N54" s="21"/>
    </row>
    <row r="55" spans="1:14" ht="15.75" hidden="1" customHeight="1">
      <c r="A55" s="40">
        <v>14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171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13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14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15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hidden="1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17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6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6"/>
        <v>1.5249999999999999</v>
      </c>
      <c r="I66" s="13">
        <v>0</v>
      </c>
    </row>
    <row r="67" spans="1:22" ht="15.75" hidden="1" customHeight="1">
      <c r="A67" s="29">
        <v>8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6"/>
        <v>40.075135000000003</v>
      </c>
      <c r="I67" s="13">
        <v>0</v>
      </c>
    </row>
    <row r="68" spans="1:22" ht="15.75" hidden="1" customHeight="1">
      <c r="A68" s="29">
        <v>9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6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6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6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6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6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19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7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7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8">SUM(F82*G82/1000)</f>
        <v>3.725244</v>
      </c>
      <c r="I82" s="13">
        <v>0</v>
      </c>
    </row>
    <row r="83" spans="1:9" ht="15.75" customHeight="1">
      <c r="A83" s="128" t="s">
        <v>172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16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17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SUM(I16+I17+I18+I27+I28+I38+I39+I40+I42+I43+I44+I45+I58+I59+I63+I84+I85)</f>
        <v>71486.806875599985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18</v>
      </c>
      <c r="B88" s="68" t="s">
        <v>173</v>
      </c>
      <c r="C88" s="69" t="s">
        <v>87</v>
      </c>
      <c r="D88" s="64"/>
      <c r="E88" s="36"/>
      <c r="F88" s="36">
        <f>160/3</f>
        <v>53.333333333333336</v>
      </c>
      <c r="G88" s="36">
        <v>1120.8900000000001</v>
      </c>
      <c r="H88" s="104">
        <f t="shared" ref="H88:H90" si="9">G88*F88/1000</f>
        <v>59.780800000000013</v>
      </c>
      <c r="I88" s="13">
        <f>G88*((10+25+15)/3)</f>
        <v>18681.500000000004</v>
      </c>
    </row>
    <row r="89" spans="1:9" ht="31.5" customHeight="1">
      <c r="A89" s="29">
        <v>19</v>
      </c>
      <c r="B89" s="55" t="s">
        <v>174</v>
      </c>
      <c r="C89" s="106" t="s">
        <v>175</v>
      </c>
      <c r="D89" s="51"/>
      <c r="E89" s="36"/>
      <c r="F89" s="36">
        <v>1</v>
      </c>
      <c r="G89" s="36">
        <v>855.05</v>
      </c>
      <c r="H89" s="104">
        <f t="shared" si="9"/>
        <v>0.85504999999999998</v>
      </c>
      <c r="I89" s="13">
        <f>G89</f>
        <v>855.05</v>
      </c>
    </row>
    <row r="90" spans="1:9" ht="15.75" customHeight="1">
      <c r="A90" s="29">
        <v>20</v>
      </c>
      <c r="B90" s="105" t="s">
        <v>176</v>
      </c>
      <c r="C90" s="29" t="s">
        <v>117</v>
      </c>
      <c r="D90" s="51"/>
      <c r="E90" s="13"/>
      <c r="F90" s="13">
        <v>2</v>
      </c>
      <c r="G90" s="13">
        <v>470</v>
      </c>
      <c r="H90" s="104">
        <f t="shared" si="9"/>
        <v>0.94</v>
      </c>
      <c r="I90" s="13">
        <f>G90</f>
        <v>470</v>
      </c>
    </row>
    <row r="91" spans="1:9" ht="15.75" customHeight="1">
      <c r="A91" s="29"/>
      <c r="B91" s="45" t="s">
        <v>50</v>
      </c>
      <c r="C91" s="41"/>
      <c r="D91" s="53"/>
      <c r="E91" s="41">
        <v>1</v>
      </c>
      <c r="F91" s="41"/>
      <c r="G91" s="41"/>
      <c r="H91" s="41"/>
      <c r="I91" s="31">
        <f>SUM(I88:I90)</f>
        <v>20006.550000000003</v>
      </c>
    </row>
    <row r="92" spans="1:9" ht="15.75" customHeight="1">
      <c r="A92" s="29"/>
      <c r="B92" s="51" t="s">
        <v>77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158</v>
      </c>
      <c r="C93" s="34"/>
      <c r="D93" s="34"/>
      <c r="E93" s="34"/>
      <c r="F93" s="34"/>
      <c r="G93" s="34"/>
      <c r="H93" s="34"/>
      <c r="I93" s="44">
        <f>I86+I91</f>
        <v>91493.356875599988</v>
      </c>
    </row>
    <row r="94" spans="1:9" ht="15.75">
      <c r="A94" s="125" t="s">
        <v>177</v>
      </c>
      <c r="B94" s="125"/>
      <c r="C94" s="125"/>
      <c r="D94" s="125"/>
      <c r="E94" s="125"/>
      <c r="F94" s="125"/>
      <c r="G94" s="125"/>
      <c r="H94" s="125"/>
      <c r="I94" s="125"/>
    </row>
    <row r="95" spans="1:9" ht="15.75">
      <c r="A95" s="61"/>
      <c r="B95" s="126" t="s">
        <v>178</v>
      </c>
      <c r="C95" s="126"/>
      <c r="D95" s="126"/>
      <c r="E95" s="126"/>
      <c r="F95" s="126"/>
      <c r="G95" s="126"/>
      <c r="H95" s="82"/>
      <c r="I95" s="3"/>
    </row>
    <row r="96" spans="1:9">
      <c r="A96" s="76"/>
      <c r="B96" s="124" t="s">
        <v>6</v>
      </c>
      <c r="C96" s="124"/>
      <c r="D96" s="124"/>
      <c r="E96" s="124"/>
      <c r="F96" s="124"/>
      <c r="G96" s="124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7" t="s">
        <v>7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127" t="s">
        <v>8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>
      <c r="A100" s="121" t="s">
        <v>59</v>
      </c>
      <c r="B100" s="121"/>
      <c r="C100" s="121"/>
      <c r="D100" s="121"/>
      <c r="E100" s="121"/>
      <c r="F100" s="121"/>
      <c r="G100" s="121"/>
      <c r="H100" s="121"/>
      <c r="I100" s="121"/>
    </row>
    <row r="101" spans="1:9" ht="15.75">
      <c r="A101" s="11"/>
    </row>
    <row r="102" spans="1:9" ht="15.75">
      <c r="A102" s="122" t="s">
        <v>9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4"/>
    </row>
    <row r="104" spans="1:9" ht="15.75">
      <c r="B104" s="74" t="s">
        <v>10</v>
      </c>
      <c r="C104" s="123" t="s">
        <v>86</v>
      </c>
      <c r="D104" s="123"/>
      <c r="E104" s="123"/>
      <c r="F104" s="80"/>
      <c r="I104" s="75"/>
    </row>
    <row r="105" spans="1:9">
      <c r="A105" s="76"/>
      <c r="C105" s="124" t="s">
        <v>11</v>
      </c>
      <c r="D105" s="124"/>
      <c r="E105" s="124"/>
      <c r="F105" s="24"/>
      <c r="I105" s="73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74" t="s">
        <v>13</v>
      </c>
      <c r="C107" s="118"/>
      <c r="D107" s="118"/>
      <c r="E107" s="118"/>
      <c r="F107" s="81"/>
      <c r="I107" s="75"/>
    </row>
    <row r="108" spans="1:9">
      <c r="A108" s="76"/>
      <c r="C108" s="119" t="s">
        <v>11</v>
      </c>
      <c r="D108" s="119"/>
      <c r="E108" s="119"/>
      <c r="F108" s="76"/>
      <c r="I108" s="73" t="s">
        <v>12</v>
      </c>
    </row>
    <row r="109" spans="1:9" ht="15.75">
      <c r="A109" s="4" t="s">
        <v>14</v>
      </c>
    </row>
    <row r="110" spans="1:9">
      <c r="A110" s="120" t="s">
        <v>15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45" customHeight="1">
      <c r="A111" s="117" t="s">
        <v>16</v>
      </c>
      <c r="B111" s="117"/>
      <c r="C111" s="117"/>
      <c r="D111" s="117"/>
      <c r="E111" s="117"/>
      <c r="F111" s="117"/>
      <c r="G111" s="117"/>
      <c r="H111" s="117"/>
      <c r="I111" s="117"/>
    </row>
    <row r="112" spans="1:9" ht="30" customHeight="1">
      <c r="A112" s="117" t="s">
        <v>17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30" customHeight="1">
      <c r="A113" s="117" t="s">
        <v>21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15" customHeight="1">
      <c r="A114" s="117" t="s">
        <v>20</v>
      </c>
      <c r="B114" s="117"/>
      <c r="C114" s="117"/>
      <c r="D114" s="117"/>
      <c r="E114" s="117"/>
      <c r="F114" s="117"/>
      <c r="G114" s="117"/>
      <c r="H114" s="117"/>
      <c r="I114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179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180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42855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4" t="s">
        <v>114</v>
      </c>
      <c r="C44" s="85" t="s">
        <v>108</v>
      </c>
      <c r="D44" s="37" t="s">
        <v>249</v>
      </c>
      <c r="E44" s="36">
        <v>130.08000000000001</v>
      </c>
      <c r="F44" s="116">
        <f>SUM(E44*15/1000)</f>
        <v>1.9512000000000003</v>
      </c>
      <c r="G44" s="36">
        <v>428.7</v>
      </c>
      <c r="H44" s="36">
        <f t="shared" ref="H44" si="4">SUM(F44*G44/1000)</f>
        <v>0.83647944000000007</v>
      </c>
      <c r="I44" s="13">
        <f>F44/2*G44</f>
        <v>418.23972000000003</v>
      </c>
      <c r="J44" s="23"/>
      <c r="L44" s="19"/>
      <c r="M44" s="20"/>
      <c r="N44" s="21"/>
    </row>
    <row r="45" spans="1:14" ht="15.75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3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15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v>0</v>
      </c>
      <c r="J50" s="23"/>
      <c r="L50" s="19"/>
      <c r="M50" s="20"/>
      <c r="N50" s="21"/>
    </row>
    <row r="51" spans="1:14" ht="15.75" hidden="1" customHeight="1">
      <c r="A51" s="40">
        <v>13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6">F53/2*G53</f>
        <v>1092.1959999999999</v>
      </c>
      <c r="J53" s="23"/>
      <c r="L53" s="19"/>
      <c r="M53" s="20"/>
      <c r="N53" s="21"/>
    </row>
    <row r="54" spans="1:14" ht="15.75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6"/>
        <v>56.521300000000004</v>
      </c>
      <c r="J54" s="23"/>
      <c r="L54" s="19"/>
      <c r="M54" s="20"/>
      <c r="N54" s="21"/>
    </row>
    <row r="55" spans="1:14" ht="15.75" hidden="1" customHeight="1">
      <c r="A55" s="40">
        <v>14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18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19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7">SUM(F65*G65/1000)</f>
        <v>8.8960000000000008</v>
      </c>
      <c r="I65" s="13">
        <f>G65*4</f>
        <v>889.6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7"/>
        <v>1.5249999999999999</v>
      </c>
      <c r="I66" s="13">
        <v>0</v>
      </c>
    </row>
    <row r="67" spans="1:22" ht="15.75" hidden="1" customHeight="1">
      <c r="A67" s="29">
        <v>8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7"/>
        <v>40.075135000000003</v>
      </c>
      <c r="I67" s="13">
        <v>0</v>
      </c>
    </row>
    <row r="68" spans="1:22" ht="15.75" hidden="1" customHeight="1">
      <c r="A68" s="29">
        <v>9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7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7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7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7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7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19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8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8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9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20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21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SUM(I16+I17+I18+I27+I28+I38+I39+I40+I42+I43+I44+I45+I52+I53+I54+I58+I59+I63+I65+I84+I85)</f>
        <v>75162.567190599977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31.5" customHeight="1">
      <c r="A88" s="29">
        <v>22</v>
      </c>
      <c r="B88" s="55" t="s">
        <v>162</v>
      </c>
      <c r="C88" s="65" t="s">
        <v>163</v>
      </c>
      <c r="D88" s="51"/>
      <c r="E88" s="13"/>
      <c r="F88" s="13">
        <v>35</v>
      </c>
      <c r="G88" s="13">
        <v>1187</v>
      </c>
      <c r="H88" s="102">
        <f t="shared" ref="H88:H92" si="10">G88*F88/1000</f>
        <v>41.545000000000002</v>
      </c>
      <c r="I88" s="13">
        <f>G88*4</f>
        <v>4748</v>
      </c>
    </row>
    <row r="89" spans="1:9" ht="31.5" customHeight="1">
      <c r="A89" s="29">
        <v>23</v>
      </c>
      <c r="B89" s="55" t="s">
        <v>78</v>
      </c>
      <c r="C89" s="65" t="s">
        <v>117</v>
      </c>
      <c r="D89" s="51"/>
      <c r="E89" s="36"/>
      <c r="F89" s="36">
        <v>7</v>
      </c>
      <c r="G89" s="36">
        <v>83.36</v>
      </c>
      <c r="H89" s="104">
        <f t="shared" si="10"/>
        <v>0.58351999999999993</v>
      </c>
      <c r="I89" s="13">
        <f>G89</f>
        <v>83.36</v>
      </c>
    </row>
    <row r="90" spans="1:9" ht="15.75" customHeight="1">
      <c r="A90" s="29">
        <v>24</v>
      </c>
      <c r="B90" s="55" t="s">
        <v>167</v>
      </c>
      <c r="C90" s="65" t="s">
        <v>168</v>
      </c>
      <c r="D90" s="51"/>
      <c r="E90" s="13"/>
      <c r="F90" s="13">
        <v>1</v>
      </c>
      <c r="G90" s="13">
        <v>1582</v>
      </c>
      <c r="H90" s="102">
        <f t="shared" si="10"/>
        <v>1.5820000000000001</v>
      </c>
      <c r="I90" s="13">
        <f>G90*0.5</f>
        <v>791</v>
      </c>
    </row>
    <row r="91" spans="1:9" ht="15.75" customHeight="1">
      <c r="A91" s="29">
        <v>25</v>
      </c>
      <c r="B91" s="55" t="s">
        <v>173</v>
      </c>
      <c r="C91" s="69" t="s">
        <v>87</v>
      </c>
      <c r="D91" s="51"/>
      <c r="E91" s="13"/>
      <c r="F91" s="13">
        <f>160/3</f>
        <v>53.333333333333336</v>
      </c>
      <c r="G91" s="13">
        <v>1120.8900000000001</v>
      </c>
      <c r="H91" s="102">
        <f t="shared" si="10"/>
        <v>59.780800000000013</v>
      </c>
      <c r="I91" s="13">
        <f>G91*((3+5+3+20)/3)</f>
        <v>11582.530000000002</v>
      </c>
    </row>
    <row r="92" spans="1:9" ht="15.75" customHeight="1">
      <c r="A92" s="29">
        <v>26</v>
      </c>
      <c r="B92" s="105" t="s">
        <v>176</v>
      </c>
      <c r="C92" s="29" t="s">
        <v>117</v>
      </c>
      <c r="D92" s="51"/>
      <c r="E92" s="13"/>
      <c r="F92" s="13">
        <v>2</v>
      </c>
      <c r="G92" s="13">
        <v>470</v>
      </c>
      <c r="H92" s="102">
        <f t="shared" si="10"/>
        <v>0.94</v>
      </c>
      <c r="I92" s="13">
        <f>G92</f>
        <v>470</v>
      </c>
    </row>
    <row r="93" spans="1:9" ht="31.5" customHeight="1">
      <c r="A93" s="29">
        <v>27</v>
      </c>
      <c r="B93" s="105" t="s">
        <v>141</v>
      </c>
      <c r="C93" s="29" t="s">
        <v>142</v>
      </c>
      <c r="D93" s="51"/>
      <c r="E93" s="13"/>
      <c r="F93" s="13">
        <v>1</v>
      </c>
      <c r="G93" s="13">
        <v>1934.94</v>
      </c>
      <c r="H93" s="102">
        <f>G93*F93/1000</f>
        <v>1.9349400000000001</v>
      </c>
      <c r="I93" s="13">
        <f t="shared" ref="I93:I95" si="11">G93</f>
        <v>1934.94</v>
      </c>
    </row>
    <row r="94" spans="1:9" ht="31.5" customHeight="1">
      <c r="A94" s="29">
        <v>28</v>
      </c>
      <c r="B94" s="55" t="s">
        <v>181</v>
      </c>
      <c r="C94" s="65" t="s">
        <v>182</v>
      </c>
      <c r="D94" s="51"/>
      <c r="E94" s="13"/>
      <c r="F94" s="13">
        <v>9</v>
      </c>
      <c r="G94" s="13">
        <v>589.84</v>
      </c>
      <c r="H94" s="102">
        <f>G94*F94/1000</f>
        <v>5.3085600000000008</v>
      </c>
      <c r="I94" s="13">
        <f>G94*2</f>
        <v>1179.68</v>
      </c>
    </row>
    <row r="95" spans="1:9" ht="15.75" customHeight="1">
      <c r="A95" s="29">
        <v>29</v>
      </c>
      <c r="B95" s="55" t="s">
        <v>183</v>
      </c>
      <c r="C95" s="65" t="s">
        <v>81</v>
      </c>
      <c r="D95" s="51"/>
      <c r="E95" s="13"/>
      <c r="F95" s="13">
        <v>1</v>
      </c>
      <c r="G95" s="13">
        <v>237.44</v>
      </c>
      <c r="H95" s="102">
        <f>G95*F95/1000</f>
        <v>0.23743999999999998</v>
      </c>
      <c r="I95" s="13">
        <f t="shared" si="11"/>
        <v>237.44</v>
      </c>
    </row>
    <row r="96" spans="1:9" ht="31.5" customHeight="1">
      <c r="A96" s="29">
        <v>30</v>
      </c>
      <c r="B96" s="55" t="s">
        <v>140</v>
      </c>
      <c r="C96" s="65" t="s">
        <v>37</v>
      </c>
      <c r="D96" s="51"/>
      <c r="E96" s="13"/>
      <c r="F96" s="13">
        <v>0.11</v>
      </c>
      <c r="G96" s="13">
        <v>3581.13</v>
      </c>
      <c r="H96" s="102">
        <f>G96*F96/1000</f>
        <v>0.39392430000000001</v>
      </c>
      <c r="I96" s="13">
        <f>G96*0.01</f>
        <v>35.811300000000003</v>
      </c>
    </row>
    <row r="97" spans="1:9" ht="31.5" customHeight="1">
      <c r="A97" s="29">
        <v>31</v>
      </c>
      <c r="B97" s="55" t="s">
        <v>184</v>
      </c>
      <c r="C97" s="65" t="s">
        <v>185</v>
      </c>
      <c r="D97" s="51"/>
      <c r="E97" s="13"/>
      <c r="F97" s="13">
        <f>0.5/100</f>
        <v>5.0000000000000001E-3</v>
      </c>
      <c r="G97" s="13">
        <v>17204.77</v>
      </c>
      <c r="H97" s="102">
        <f>G97*F97/1000</f>
        <v>8.6023850000000013E-2</v>
      </c>
      <c r="I97" s="13">
        <f>G97*(0.5/100)</f>
        <v>86.02385000000001</v>
      </c>
    </row>
    <row r="98" spans="1:9" ht="15.75" customHeight="1">
      <c r="A98" s="29"/>
      <c r="B98" s="45" t="s">
        <v>50</v>
      </c>
      <c r="C98" s="41"/>
      <c r="D98" s="53"/>
      <c r="E98" s="41">
        <v>1</v>
      </c>
      <c r="F98" s="41"/>
      <c r="G98" s="41"/>
      <c r="H98" s="41"/>
      <c r="I98" s="31">
        <f>SUM(I88:I97)</f>
        <v>21148.785150000003</v>
      </c>
    </row>
    <row r="99" spans="1:9" ht="15.75" customHeight="1">
      <c r="A99" s="29"/>
      <c r="B99" s="51" t="s">
        <v>77</v>
      </c>
      <c r="C99" s="15"/>
      <c r="D99" s="15"/>
      <c r="E99" s="42"/>
      <c r="F99" s="42"/>
      <c r="G99" s="43"/>
      <c r="H99" s="43"/>
      <c r="I99" s="17">
        <v>0</v>
      </c>
    </row>
    <row r="100" spans="1:9" ht="15.75" customHeight="1">
      <c r="A100" s="54"/>
      <c r="B100" s="46" t="s">
        <v>158</v>
      </c>
      <c r="C100" s="34"/>
      <c r="D100" s="34"/>
      <c r="E100" s="34"/>
      <c r="F100" s="34"/>
      <c r="G100" s="34"/>
      <c r="H100" s="34"/>
      <c r="I100" s="44">
        <f>I86+I98</f>
        <v>96311.352340599988</v>
      </c>
    </row>
    <row r="101" spans="1:9" ht="15.75">
      <c r="A101" s="125" t="s">
        <v>186</v>
      </c>
      <c r="B101" s="125"/>
      <c r="C101" s="125"/>
      <c r="D101" s="125"/>
      <c r="E101" s="125"/>
      <c r="F101" s="125"/>
      <c r="G101" s="125"/>
      <c r="H101" s="125"/>
      <c r="I101" s="125"/>
    </row>
    <row r="102" spans="1:9" ht="15.75">
      <c r="A102" s="61"/>
      <c r="B102" s="126" t="s">
        <v>187</v>
      </c>
      <c r="C102" s="126"/>
      <c r="D102" s="126"/>
      <c r="E102" s="126"/>
      <c r="F102" s="126"/>
      <c r="G102" s="126"/>
      <c r="H102" s="82"/>
      <c r="I102" s="3"/>
    </row>
    <row r="103" spans="1:9">
      <c r="A103" s="76"/>
      <c r="B103" s="124" t="s">
        <v>6</v>
      </c>
      <c r="C103" s="124"/>
      <c r="D103" s="124"/>
      <c r="E103" s="124"/>
      <c r="F103" s="124"/>
      <c r="G103" s="124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27" t="s">
        <v>7</v>
      </c>
      <c r="B105" s="127"/>
      <c r="C105" s="127"/>
      <c r="D105" s="127"/>
      <c r="E105" s="127"/>
      <c r="F105" s="127"/>
      <c r="G105" s="127"/>
      <c r="H105" s="127"/>
      <c r="I105" s="127"/>
    </row>
    <row r="106" spans="1:9" ht="15.75">
      <c r="A106" s="127" t="s">
        <v>8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15.75">
      <c r="A107" s="121" t="s">
        <v>59</v>
      </c>
      <c r="B107" s="121"/>
      <c r="C107" s="121"/>
      <c r="D107" s="121"/>
      <c r="E107" s="121"/>
      <c r="F107" s="121"/>
      <c r="G107" s="121"/>
      <c r="H107" s="121"/>
      <c r="I107" s="121"/>
    </row>
    <row r="108" spans="1:9" ht="15.75">
      <c r="A108" s="11"/>
    </row>
    <row r="109" spans="1:9" ht="15.75">
      <c r="A109" s="122" t="s">
        <v>9</v>
      </c>
      <c r="B109" s="122"/>
      <c r="C109" s="122"/>
      <c r="D109" s="122"/>
      <c r="E109" s="122"/>
      <c r="F109" s="122"/>
      <c r="G109" s="122"/>
      <c r="H109" s="122"/>
      <c r="I109" s="122"/>
    </row>
    <row r="110" spans="1:9" ht="15.75">
      <c r="A110" s="4"/>
    </row>
    <row r="111" spans="1:9" ht="15.75">
      <c r="B111" s="74" t="s">
        <v>10</v>
      </c>
      <c r="C111" s="123" t="s">
        <v>86</v>
      </c>
      <c r="D111" s="123"/>
      <c r="E111" s="123"/>
      <c r="F111" s="80"/>
      <c r="I111" s="75"/>
    </row>
    <row r="112" spans="1:9">
      <c r="A112" s="76"/>
      <c r="C112" s="124" t="s">
        <v>11</v>
      </c>
      <c r="D112" s="124"/>
      <c r="E112" s="124"/>
      <c r="F112" s="24"/>
      <c r="I112" s="73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74" t="s">
        <v>13</v>
      </c>
      <c r="C114" s="118"/>
      <c r="D114" s="118"/>
      <c r="E114" s="118"/>
      <c r="F114" s="81"/>
      <c r="I114" s="75"/>
    </row>
    <row r="115" spans="1:9">
      <c r="A115" s="76"/>
      <c r="C115" s="119" t="s">
        <v>11</v>
      </c>
      <c r="D115" s="119"/>
      <c r="E115" s="119"/>
      <c r="F115" s="76"/>
      <c r="I115" s="73" t="s">
        <v>12</v>
      </c>
    </row>
    <row r="116" spans="1:9" ht="15.75">
      <c r="A116" s="4" t="s">
        <v>14</v>
      </c>
    </row>
    <row r="117" spans="1:9">
      <c r="A117" s="120" t="s">
        <v>15</v>
      </c>
      <c r="B117" s="120"/>
      <c r="C117" s="120"/>
      <c r="D117" s="120"/>
      <c r="E117" s="120"/>
      <c r="F117" s="120"/>
      <c r="G117" s="120"/>
      <c r="H117" s="120"/>
      <c r="I117" s="120"/>
    </row>
    <row r="118" spans="1:9" ht="45" customHeight="1">
      <c r="A118" s="117" t="s">
        <v>16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30" customHeight="1">
      <c r="A119" s="117" t="s">
        <v>17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30" customHeight="1">
      <c r="A120" s="117" t="s">
        <v>21</v>
      </c>
      <c r="B120" s="117"/>
      <c r="C120" s="117"/>
      <c r="D120" s="117"/>
      <c r="E120" s="117"/>
      <c r="F120" s="117"/>
      <c r="G120" s="117"/>
      <c r="H120" s="117"/>
      <c r="I120" s="117"/>
    </row>
    <row r="121" spans="1:9" ht="15" customHeight="1">
      <c r="A121" s="117" t="s">
        <v>20</v>
      </c>
      <c r="B121" s="117"/>
      <c r="C121" s="117"/>
      <c r="D121" s="117"/>
      <c r="E121" s="117"/>
      <c r="F121" s="117"/>
      <c r="G121" s="117"/>
      <c r="H121" s="117"/>
      <c r="I121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5:E115"/>
    <mergeCell ref="A87:I87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3:I83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188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189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42886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12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13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14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15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17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customHeight="1">
      <c r="A47" s="40">
        <v>18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customHeight="1">
      <c r="A48" s="40">
        <v>19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customHeight="1">
      <c r="A49" s="40">
        <v>20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customHeight="1">
      <c r="A50" s="40">
        <v>21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22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14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23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24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</f>
        <v>222.4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19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30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31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SUM(I16+I17+I18+I19+I20+I21+I22+I23+I24+I25+I26+I27+I28+I31+I32+I33+I34+I47+I48+I49+I50+I51+I63+I65+I67+I68+I69+I70+I71+I84+I85)</f>
        <v>181011.01039812219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32</v>
      </c>
      <c r="B88" s="68" t="s">
        <v>173</v>
      </c>
      <c r="C88" s="69" t="s">
        <v>87</v>
      </c>
      <c r="D88" s="64"/>
      <c r="E88" s="36"/>
      <c r="F88" s="36">
        <f>160/3</f>
        <v>53.333333333333336</v>
      </c>
      <c r="G88" s="36">
        <v>1120.8900000000001</v>
      </c>
      <c r="H88" s="104">
        <f t="shared" ref="H88" si="12">G88*F88/1000</f>
        <v>59.780800000000013</v>
      </c>
      <c r="I88" s="13">
        <f>G88*((3+10)/3)</f>
        <v>4857.1900000000005</v>
      </c>
    </row>
    <row r="89" spans="1:9" ht="15.75" customHeight="1">
      <c r="A89" s="29"/>
      <c r="B89" s="45" t="s">
        <v>50</v>
      </c>
      <c r="C89" s="41"/>
      <c r="D89" s="53"/>
      <c r="E89" s="41">
        <v>1</v>
      </c>
      <c r="F89" s="41"/>
      <c r="G89" s="41"/>
      <c r="H89" s="41"/>
      <c r="I89" s="31">
        <f>SUM(I88:I88)</f>
        <v>4857.1900000000005</v>
      </c>
    </row>
    <row r="90" spans="1:9" ht="15.75" customHeight="1">
      <c r="A90" s="29"/>
      <c r="B90" s="51" t="s">
        <v>77</v>
      </c>
      <c r="C90" s="15"/>
      <c r="D90" s="15"/>
      <c r="E90" s="42"/>
      <c r="F90" s="42"/>
      <c r="G90" s="43"/>
      <c r="H90" s="43"/>
      <c r="I90" s="17">
        <v>0</v>
      </c>
    </row>
    <row r="91" spans="1:9" ht="15.75" customHeight="1">
      <c r="A91" s="54"/>
      <c r="B91" s="46" t="s">
        <v>158</v>
      </c>
      <c r="C91" s="34"/>
      <c r="D91" s="34"/>
      <c r="E91" s="34"/>
      <c r="F91" s="34"/>
      <c r="G91" s="34"/>
      <c r="H91" s="34"/>
      <c r="I91" s="44">
        <f>I86+I89</f>
        <v>185868.20039812219</v>
      </c>
    </row>
    <row r="92" spans="1:9" ht="15.75">
      <c r="A92" s="125" t="s">
        <v>190</v>
      </c>
      <c r="B92" s="125"/>
      <c r="C92" s="125"/>
      <c r="D92" s="125"/>
      <c r="E92" s="125"/>
      <c r="F92" s="125"/>
      <c r="G92" s="125"/>
      <c r="H92" s="125"/>
      <c r="I92" s="125"/>
    </row>
    <row r="93" spans="1:9" ht="15.75">
      <c r="A93" s="61"/>
      <c r="B93" s="126" t="s">
        <v>191</v>
      </c>
      <c r="C93" s="126"/>
      <c r="D93" s="126"/>
      <c r="E93" s="126"/>
      <c r="F93" s="126"/>
      <c r="G93" s="126"/>
      <c r="H93" s="82"/>
      <c r="I93" s="3"/>
    </row>
    <row r="94" spans="1:9">
      <c r="A94" s="76"/>
      <c r="B94" s="124" t="s">
        <v>6</v>
      </c>
      <c r="C94" s="124"/>
      <c r="D94" s="124"/>
      <c r="E94" s="124"/>
      <c r="F94" s="124"/>
      <c r="G94" s="124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27" t="s">
        <v>7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>
      <c r="A97" s="127" t="s">
        <v>8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>
      <c r="A98" s="121" t="s">
        <v>59</v>
      </c>
      <c r="B98" s="121"/>
      <c r="C98" s="121"/>
      <c r="D98" s="121"/>
      <c r="E98" s="121"/>
      <c r="F98" s="121"/>
      <c r="G98" s="121"/>
      <c r="H98" s="121"/>
      <c r="I98" s="121"/>
    </row>
    <row r="99" spans="1:9" ht="15.75">
      <c r="A99" s="11"/>
    </row>
    <row r="100" spans="1:9" ht="15.75">
      <c r="A100" s="122" t="s">
        <v>9</v>
      </c>
      <c r="B100" s="122"/>
      <c r="C100" s="122"/>
      <c r="D100" s="122"/>
      <c r="E100" s="122"/>
      <c r="F100" s="122"/>
      <c r="G100" s="122"/>
      <c r="H100" s="122"/>
      <c r="I100" s="122"/>
    </row>
    <row r="101" spans="1:9" ht="15.75">
      <c r="A101" s="4"/>
    </row>
    <row r="102" spans="1:9" ht="15.75">
      <c r="B102" s="74" t="s">
        <v>10</v>
      </c>
      <c r="C102" s="123" t="s">
        <v>86</v>
      </c>
      <c r="D102" s="123"/>
      <c r="E102" s="123"/>
      <c r="F102" s="80"/>
      <c r="I102" s="75"/>
    </row>
    <row r="103" spans="1:9">
      <c r="A103" s="76"/>
      <c r="C103" s="124" t="s">
        <v>11</v>
      </c>
      <c r="D103" s="124"/>
      <c r="E103" s="124"/>
      <c r="F103" s="24"/>
      <c r="I103" s="73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74" t="s">
        <v>13</v>
      </c>
      <c r="C105" s="118"/>
      <c r="D105" s="118"/>
      <c r="E105" s="118"/>
      <c r="F105" s="81"/>
      <c r="I105" s="75"/>
    </row>
    <row r="106" spans="1:9">
      <c r="A106" s="76"/>
      <c r="C106" s="119" t="s">
        <v>11</v>
      </c>
      <c r="D106" s="119"/>
      <c r="E106" s="119"/>
      <c r="F106" s="76"/>
      <c r="I106" s="73" t="s">
        <v>12</v>
      </c>
    </row>
    <row r="107" spans="1:9" ht="15.75">
      <c r="A107" s="4" t="s">
        <v>14</v>
      </c>
    </row>
    <row r="108" spans="1:9">
      <c r="A108" s="120" t="s">
        <v>15</v>
      </c>
      <c r="B108" s="120"/>
      <c r="C108" s="120"/>
      <c r="D108" s="120"/>
      <c r="E108" s="120"/>
      <c r="F108" s="120"/>
      <c r="G108" s="120"/>
      <c r="H108" s="120"/>
      <c r="I108" s="120"/>
    </row>
    <row r="109" spans="1:9" ht="45" customHeight="1">
      <c r="A109" s="117" t="s">
        <v>16</v>
      </c>
      <c r="B109" s="117"/>
      <c r="C109" s="117"/>
      <c r="D109" s="117"/>
      <c r="E109" s="117"/>
      <c r="F109" s="117"/>
      <c r="G109" s="117"/>
      <c r="H109" s="117"/>
      <c r="I109" s="117"/>
    </row>
    <row r="110" spans="1:9" ht="30" customHeight="1">
      <c r="A110" s="117" t="s">
        <v>17</v>
      </c>
      <c r="B110" s="117"/>
      <c r="C110" s="117"/>
      <c r="D110" s="117"/>
      <c r="E110" s="117"/>
      <c r="F110" s="117"/>
      <c r="G110" s="117"/>
      <c r="H110" s="117"/>
      <c r="I110" s="117"/>
    </row>
    <row r="111" spans="1:9" ht="30" customHeight="1">
      <c r="A111" s="117" t="s">
        <v>21</v>
      </c>
      <c r="B111" s="117"/>
      <c r="C111" s="117"/>
      <c r="D111" s="117"/>
      <c r="E111" s="117"/>
      <c r="F111" s="117"/>
      <c r="G111" s="117"/>
      <c r="H111" s="117"/>
      <c r="I111" s="117"/>
    </row>
    <row r="112" spans="1:9" ht="15" customHeight="1">
      <c r="A112" s="117" t="s">
        <v>20</v>
      </c>
      <c r="B112" s="117"/>
      <c r="C112" s="117"/>
      <c r="D112" s="117"/>
      <c r="E112" s="117"/>
      <c r="F112" s="117"/>
      <c r="G112" s="117"/>
      <c r="H112" s="117"/>
      <c r="I112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192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193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42916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18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customHeight="1">
      <c r="A55" s="40">
        <v>9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10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11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customHeight="1">
      <c r="A74" s="29">
        <v>12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v>8329.02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13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14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SUM(I16+I17+I18+I27+I28+I31+I32+I34+I55+I63+I65+I74+I84+I85)</f>
        <v>82850.209996822232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15</v>
      </c>
      <c r="B88" s="66" t="s">
        <v>154</v>
      </c>
      <c r="C88" s="67" t="s">
        <v>81</v>
      </c>
      <c r="D88" s="64"/>
      <c r="E88" s="36"/>
      <c r="F88" s="36">
        <v>7</v>
      </c>
      <c r="G88" s="36">
        <v>195.85</v>
      </c>
      <c r="H88" s="104">
        <f t="shared" ref="H88:H89" si="12">G88*F88/1000</f>
        <v>1.3709500000000001</v>
      </c>
      <c r="I88" s="13">
        <f>G88</f>
        <v>195.85</v>
      </c>
    </row>
    <row r="89" spans="1:9" ht="31.5" customHeight="1">
      <c r="A89" s="29">
        <v>16</v>
      </c>
      <c r="B89" s="55" t="s">
        <v>164</v>
      </c>
      <c r="C89" s="65" t="s">
        <v>165</v>
      </c>
      <c r="D89" s="64"/>
      <c r="E89" s="36"/>
      <c r="F89" s="36">
        <v>7</v>
      </c>
      <c r="G89" s="36">
        <v>53.42</v>
      </c>
      <c r="H89" s="36">
        <f t="shared" si="12"/>
        <v>0.37393999999999999</v>
      </c>
      <c r="I89" s="13">
        <f>G89</f>
        <v>53.42</v>
      </c>
    </row>
    <row r="90" spans="1:9" ht="31.5" customHeight="1">
      <c r="A90" s="29">
        <v>17</v>
      </c>
      <c r="B90" s="55" t="s">
        <v>140</v>
      </c>
      <c r="C90" s="65" t="s">
        <v>37</v>
      </c>
      <c r="D90" s="64"/>
      <c r="E90" s="36"/>
      <c r="F90" s="36">
        <v>0.11</v>
      </c>
      <c r="G90" s="36">
        <v>3581.13</v>
      </c>
      <c r="H90" s="104">
        <f>G90*F90/1000</f>
        <v>0.39392430000000001</v>
      </c>
      <c r="I90" s="13">
        <f>G90*0.03</f>
        <v>107.43389999999999</v>
      </c>
    </row>
    <row r="91" spans="1:9" ht="15.75" customHeight="1">
      <c r="A91" s="29">
        <v>18</v>
      </c>
      <c r="B91" s="66" t="s">
        <v>194</v>
      </c>
      <c r="C91" s="67" t="s">
        <v>117</v>
      </c>
      <c r="D91" s="51"/>
      <c r="E91" s="36"/>
      <c r="F91" s="36">
        <v>1</v>
      </c>
      <c r="G91" s="36">
        <v>190.86</v>
      </c>
      <c r="H91" s="104">
        <f>G91*F91/1000</f>
        <v>0.19086</v>
      </c>
      <c r="I91" s="13">
        <f>G91</f>
        <v>190.86</v>
      </c>
    </row>
    <row r="92" spans="1:9" ht="15.75" customHeight="1">
      <c r="A92" s="29">
        <v>19</v>
      </c>
      <c r="B92" s="107" t="s">
        <v>195</v>
      </c>
      <c r="C92" s="65" t="s">
        <v>117</v>
      </c>
      <c r="D92" s="64"/>
      <c r="E92" s="36"/>
      <c r="F92" s="36">
        <v>4</v>
      </c>
      <c r="G92" s="36">
        <v>189.67</v>
      </c>
      <c r="H92" s="104">
        <f>G92*F92/1000</f>
        <v>0.75867999999999991</v>
      </c>
      <c r="I92" s="13">
        <f>G92*2</f>
        <v>379.34</v>
      </c>
    </row>
    <row r="93" spans="1:9" ht="15.75" customHeight="1">
      <c r="A93" s="29"/>
      <c r="B93" s="45" t="s">
        <v>50</v>
      </c>
      <c r="C93" s="41"/>
      <c r="D93" s="53"/>
      <c r="E93" s="41">
        <v>1</v>
      </c>
      <c r="F93" s="41"/>
      <c r="G93" s="41"/>
      <c r="H93" s="41"/>
      <c r="I93" s="31">
        <f>SUM(I88:I92)</f>
        <v>926.90390000000002</v>
      </c>
    </row>
    <row r="94" spans="1:9" ht="15.75" customHeight="1">
      <c r="A94" s="29"/>
      <c r="B94" s="51" t="s">
        <v>77</v>
      </c>
      <c r="C94" s="15"/>
      <c r="D94" s="15"/>
      <c r="E94" s="42"/>
      <c r="F94" s="42"/>
      <c r="G94" s="43"/>
      <c r="H94" s="43"/>
      <c r="I94" s="17">
        <v>0</v>
      </c>
    </row>
    <row r="95" spans="1:9" ht="15.75" customHeight="1">
      <c r="A95" s="54"/>
      <c r="B95" s="46" t="s">
        <v>158</v>
      </c>
      <c r="C95" s="34"/>
      <c r="D95" s="34"/>
      <c r="E95" s="34"/>
      <c r="F95" s="34"/>
      <c r="G95" s="34"/>
      <c r="H95" s="34"/>
      <c r="I95" s="44">
        <f>I86+I93</f>
        <v>83777.113896822237</v>
      </c>
    </row>
    <row r="96" spans="1:9" ht="15.75">
      <c r="A96" s="125" t="s">
        <v>250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61"/>
      <c r="B97" s="126" t="s">
        <v>251</v>
      </c>
      <c r="C97" s="126"/>
      <c r="D97" s="126"/>
      <c r="E97" s="126"/>
      <c r="F97" s="126"/>
      <c r="G97" s="126"/>
      <c r="H97" s="82"/>
      <c r="I97" s="3"/>
    </row>
    <row r="98" spans="1:9">
      <c r="A98" s="76"/>
      <c r="B98" s="124" t="s">
        <v>6</v>
      </c>
      <c r="C98" s="124"/>
      <c r="D98" s="124"/>
      <c r="E98" s="124"/>
      <c r="F98" s="124"/>
      <c r="G98" s="12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7" t="s">
        <v>7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>
      <c r="A101" s="127" t="s">
        <v>8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5.75">
      <c r="A102" s="121" t="s">
        <v>59</v>
      </c>
      <c r="B102" s="121"/>
      <c r="C102" s="121"/>
      <c r="D102" s="121"/>
      <c r="E102" s="121"/>
      <c r="F102" s="121"/>
      <c r="G102" s="121"/>
      <c r="H102" s="121"/>
      <c r="I102" s="121"/>
    </row>
    <row r="103" spans="1:9" ht="15.75">
      <c r="A103" s="11"/>
    </row>
    <row r="104" spans="1:9" ht="15.75">
      <c r="A104" s="122" t="s">
        <v>9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15.75">
      <c r="A105" s="4"/>
    </row>
    <row r="106" spans="1:9" ht="15.75">
      <c r="B106" s="74" t="s">
        <v>10</v>
      </c>
      <c r="C106" s="123" t="s">
        <v>86</v>
      </c>
      <c r="D106" s="123"/>
      <c r="E106" s="123"/>
      <c r="F106" s="80"/>
      <c r="I106" s="75"/>
    </row>
    <row r="107" spans="1:9">
      <c r="A107" s="76"/>
      <c r="C107" s="124" t="s">
        <v>11</v>
      </c>
      <c r="D107" s="124"/>
      <c r="E107" s="124"/>
      <c r="F107" s="24"/>
      <c r="I107" s="73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4" t="s">
        <v>13</v>
      </c>
      <c r="C109" s="118"/>
      <c r="D109" s="118"/>
      <c r="E109" s="118"/>
      <c r="F109" s="81"/>
      <c r="I109" s="75"/>
    </row>
    <row r="110" spans="1:9">
      <c r="A110" s="76"/>
      <c r="C110" s="119" t="s">
        <v>11</v>
      </c>
      <c r="D110" s="119"/>
      <c r="E110" s="119"/>
      <c r="F110" s="76"/>
      <c r="I110" s="73" t="s">
        <v>12</v>
      </c>
    </row>
    <row r="111" spans="1:9" ht="15.75">
      <c r="A111" s="4" t="s">
        <v>14</v>
      </c>
    </row>
    <row r="112" spans="1:9">
      <c r="A112" s="120" t="s">
        <v>15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45" customHeight="1">
      <c r="A113" s="117" t="s">
        <v>16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30" customHeight="1">
      <c r="A114" s="117" t="s">
        <v>17</v>
      </c>
      <c r="B114" s="117"/>
      <c r="C114" s="117"/>
      <c r="D114" s="117"/>
      <c r="E114" s="117"/>
      <c r="F114" s="117"/>
      <c r="G114" s="117"/>
      <c r="H114" s="117"/>
      <c r="I114" s="117"/>
    </row>
    <row r="115" spans="1:9" ht="30" customHeight="1">
      <c r="A115" s="117" t="s">
        <v>21</v>
      </c>
      <c r="B115" s="117"/>
      <c r="C115" s="117"/>
      <c r="D115" s="117"/>
      <c r="E115" s="117"/>
      <c r="F115" s="117"/>
      <c r="G115" s="117"/>
      <c r="H115" s="117"/>
      <c r="I115" s="117"/>
    </row>
    <row r="116" spans="1:9" ht="15" customHeight="1">
      <c r="A116" s="117" t="s">
        <v>20</v>
      </c>
      <c r="B116" s="117"/>
      <c r="C116" s="117"/>
      <c r="D116" s="117"/>
      <c r="E116" s="117"/>
      <c r="F116" s="117"/>
      <c r="G116" s="117"/>
      <c r="H116" s="117"/>
      <c r="I116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0:E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196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197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42947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18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171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9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10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G65*9</f>
        <v>2001.6000000000001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172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11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12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SUM(I16+I17+I18+I27+I28+I31+I32+I34+I63+I65+I84+I85)</f>
        <v>60226.129996822223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15</v>
      </c>
      <c r="B88" s="66" t="s">
        <v>154</v>
      </c>
      <c r="C88" s="67" t="s">
        <v>81</v>
      </c>
      <c r="D88" s="64"/>
      <c r="E88" s="36"/>
      <c r="F88" s="36">
        <v>7</v>
      </c>
      <c r="G88" s="36">
        <v>195.85</v>
      </c>
      <c r="H88" s="104">
        <f t="shared" ref="H88:H90" si="12">G88*F88/1000</f>
        <v>1.3709500000000001</v>
      </c>
      <c r="I88" s="13">
        <f>G88</f>
        <v>195.85</v>
      </c>
    </row>
    <row r="89" spans="1:9" ht="31.5" customHeight="1">
      <c r="A89" s="29">
        <v>16</v>
      </c>
      <c r="B89" s="55" t="s">
        <v>78</v>
      </c>
      <c r="C89" s="65" t="s">
        <v>117</v>
      </c>
      <c r="D89" s="51"/>
      <c r="E89" s="13"/>
      <c r="F89" s="13">
        <v>7</v>
      </c>
      <c r="G89" s="13">
        <v>83.36</v>
      </c>
      <c r="H89" s="102">
        <f t="shared" si="12"/>
        <v>0.58351999999999993</v>
      </c>
      <c r="I89" s="13">
        <f>G89</f>
        <v>83.36</v>
      </c>
    </row>
    <row r="90" spans="1:9" ht="15.75" customHeight="1">
      <c r="A90" s="29">
        <v>17</v>
      </c>
      <c r="B90" s="68" t="s">
        <v>173</v>
      </c>
      <c r="C90" s="69" t="s">
        <v>87</v>
      </c>
      <c r="D90" s="51"/>
      <c r="E90" s="13"/>
      <c r="F90" s="13">
        <f>160/3</f>
        <v>53.333333333333336</v>
      </c>
      <c r="G90" s="13">
        <v>1120.8900000000001</v>
      </c>
      <c r="H90" s="102">
        <f t="shared" si="12"/>
        <v>59.780800000000013</v>
      </c>
      <c r="I90" s="13">
        <f>G90*((7+20+15+15)/3)</f>
        <v>21296.910000000003</v>
      </c>
    </row>
    <row r="91" spans="1:9" ht="31.5" customHeight="1">
      <c r="A91" s="29">
        <v>18</v>
      </c>
      <c r="B91" s="55" t="s">
        <v>140</v>
      </c>
      <c r="C91" s="65" t="s">
        <v>37</v>
      </c>
      <c r="D91" s="64"/>
      <c r="E91" s="36"/>
      <c r="F91" s="36">
        <v>0.11</v>
      </c>
      <c r="G91" s="36">
        <v>3581.13</v>
      </c>
      <c r="H91" s="104">
        <f>G91*F91/1000</f>
        <v>0.39392430000000001</v>
      </c>
      <c r="I91" s="13">
        <f>G91*0.02</f>
        <v>71.622600000000006</v>
      </c>
    </row>
    <row r="92" spans="1:9" ht="31.5" customHeight="1">
      <c r="A92" s="29">
        <v>19</v>
      </c>
      <c r="B92" s="55" t="s">
        <v>198</v>
      </c>
      <c r="C92" s="65" t="s">
        <v>163</v>
      </c>
      <c r="D92" s="51"/>
      <c r="E92" s="13"/>
      <c r="F92" s="13">
        <v>15</v>
      </c>
      <c r="G92" s="13">
        <v>1272</v>
      </c>
      <c r="H92" s="102">
        <f t="shared" ref="H92:H100" si="13">G92*F92/1000</f>
        <v>19.079999999999998</v>
      </c>
      <c r="I92" s="13">
        <f>G92*2</f>
        <v>2544</v>
      </c>
    </row>
    <row r="93" spans="1:9" ht="31.5" customHeight="1">
      <c r="A93" s="29">
        <v>20</v>
      </c>
      <c r="B93" s="55" t="s">
        <v>199</v>
      </c>
      <c r="C93" s="65" t="s">
        <v>163</v>
      </c>
      <c r="D93" s="51"/>
      <c r="E93" s="13"/>
      <c r="F93" s="13">
        <v>10</v>
      </c>
      <c r="G93" s="13">
        <v>1146</v>
      </c>
      <c r="H93" s="102">
        <f t="shared" si="13"/>
        <v>11.46</v>
      </c>
      <c r="I93" s="13">
        <f>G93*6</f>
        <v>6876</v>
      </c>
    </row>
    <row r="94" spans="1:9" ht="31.5" customHeight="1">
      <c r="A94" s="29">
        <v>21</v>
      </c>
      <c r="B94" s="55" t="s">
        <v>200</v>
      </c>
      <c r="C94" s="65" t="s">
        <v>182</v>
      </c>
      <c r="D94" s="51"/>
      <c r="E94" s="13"/>
      <c r="F94" s="13">
        <v>6</v>
      </c>
      <c r="G94" s="13">
        <v>1046.06</v>
      </c>
      <c r="H94" s="102">
        <f t="shared" si="13"/>
        <v>6.2763599999999995</v>
      </c>
      <c r="I94" s="13">
        <f>G94*(3+2)</f>
        <v>5230.2999999999993</v>
      </c>
    </row>
    <row r="95" spans="1:9" ht="15.75" customHeight="1">
      <c r="A95" s="29">
        <v>22</v>
      </c>
      <c r="B95" s="55" t="s">
        <v>201</v>
      </c>
      <c r="C95" s="65" t="s">
        <v>117</v>
      </c>
      <c r="D95" s="51"/>
      <c r="E95" s="13"/>
      <c r="F95" s="13">
        <v>1</v>
      </c>
      <c r="G95" s="13">
        <v>63</v>
      </c>
      <c r="H95" s="102">
        <f t="shared" si="13"/>
        <v>6.3E-2</v>
      </c>
      <c r="I95" s="13">
        <f>G95</f>
        <v>63</v>
      </c>
    </row>
    <row r="96" spans="1:9" ht="15.75" customHeight="1">
      <c r="A96" s="29">
        <v>23</v>
      </c>
      <c r="B96" s="55" t="s">
        <v>202</v>
      </c>
      <c r="C96" s="65" t="s">
        <v>117</v>
      </c>
      <c r="D96" s="101"/>
      <c r="E96" s="18"/>
      <c r="F96" s="13">
        <v>4</v>
      </c>
      <c r="G96" s="13">
        <v>140</v>
      </c>
      <c r="H96" s="102">
        <f t="shared" si="13"/>
        <v>0.56000000000000005</v>
      </c>
      <c r="I96" s="13">
        <f>G96*(2+1)</f>
        <v>420</v>
      </c>
    </row>
    <row r="97" spans="1:9" ht="15.75" customHeight="1">
      <c r="A97" s="29">
        <v>24</v>
      </c>
      <c r="B97" s="55" t="s">
        <v>203</v>
      </c>
      <c r="C97" s="65" t="s">
        <v>117</v>
      </c>
      <c r="D97" s="51"/>
      <c r="E97" s="13"/>
      <c r="F97" s="13">
        <v>1</v>
      </c>
      <c r="G97" s="13">
        <v>40</v>
      </c>
      <c r="H97" s="102">
        <f t="shared" si="13"/>
        <v>0.04</v>
      </c>
      <c r="I97" s="13">
        <f>G97*(1+1)</f>
        <v>80</v>
      </c>
    </row>
    <row r="98" spans="1:9" ht="15.75" customHeight="1">
      <c r="A98" s="29">
        <v>25</v>
      </c>
      <c r="B98" s="55" t="s">
        <v>206</v>
      </c>
      <c r="C98" s="65" t="s">
        <v>117</v>
      </c>
      <c r="D98" s="51"/>
      <c r="E98" s="13"/>
      <c r="F98" s="13">
        <v>2</v>
      </c>
      <c r="G98" s="13">
        <v>108</v>
      </c>
      <c r="H98" s="102">
        <f t="shared" si="13"/>
        <v>0.216</v>
      </c>
      <c r="I98" s="13">
        <f t="shared" ref="I98:I100" si="14">G98</f>
        <v>108</v>
      </c>
    </row>
    <row r="99" spans="1:9" ht="15.75" customHeight="1">
      <c r="A99" s="29">
        <v>26</v>
      </c>
      <c r="B99" s="55" t="s">
        <v>204</v>
      </c>
      <c r="C99" s="65" t="s">
        <v>117</v>
      </c>
      <c r="D99" s="51"/>
      <c r="E99" s="13"/>
      <c r="F99" s="13">
        <v>1</v>
      </c>
      <c r="G99" s="13">
        <v>510.84</v>
      </c>
      <c r="H99" s="102">
        <f t="shared" si="13"/>
        <v>0.51083999999999996</v>
      </c>
      <c r="I99" s="13">
        <f t="shared" si="14"/>
        <v>510.84</v>
      </c>
    </row>
    <row r="100" spans="1:9" ht="31.5" customHeight="1">
      <c r="A100" s="29">
        <v>27</v>
      </c>
      <c r="B100" s="55" t="s">
        <v>205</v>
      </c>
      <c r="C100" s="65" t="s">
        <v>53</v>
      </c>
      <c r="D100" s="51"/>
      <c r="E100" s="13"/>
      <c r="F100" s="13">
        <v>1</v>
      </c>
      <c r="G100" s="13">
        <v>1363.47</v>
      </c>
      <c r="H100" s="102">
        <f t="shared" si="13"/>
        <v>1.36347</v>
      </c>
      <c r="I100" s="13">
        <f t="shared" si="14"/>
        <v>1363.47</v>
      </c>
    </row>
    <row r="101" spans="1:9" ht="15.75" customHeight="1">
      <c r="A101" s="29">
        <v>28</v>
      </c>
      <c r="B101" s="55" t="s">
        <v>221</v>
      </c>
      <c r="C101" s="65" t="s">
        <v>117</v>
      </c>
      <c r="D101" s="64"/>
      <c r="E101" s="36"/>
      <c r="F101" s="36">
        <v>4</v>
      </c>
      <c r="G101" s="36">
        <v>82</v>
      </c>
      <c r="H101" s="36">
        <f>G101*F101/1000</f>
        <v>0.32800000000000001</v>
      </c>
      <c r="I101" s="13">
        <f>G101</f>
        <v>82</v>
      </c>
    </row>
    <row r="102" spans="1:9" ht="15.75" customHeight="1">
      <c r="A102" s="29"/>
      <c r="B102" s="45" t="s">
        <v>50</v>
      </c>
      <c r="C102" s="41"/>
      <c r="D102" s="53"/>
      <c r="E102" s="41">
        <v>1</v>
      </c>
      <c r="F102" s="41"/>
      <c r="G102" s="41"/>
      <c r="H102" s="41"/>
      <c r="I102" s="31">
        <f>SUM(I88:I101)</f>
        <v>38925.352599999998</v>
      </c>
    </row>
    <row r="103" spans="1:9" ht="15.75" customHeight="1">
      <c r="A103" s="29"/>
      <c r="B103" s="51" t="s">
        <v>77</v>
      </c>
      <c r="C103" s="15"/>
      <c r="D103" s="15"/>
      <c r="E103" s="42"/>
      <c r="F103" s="42"/>
      <c r="G103" s="43"/>
      <c r="H103" s="43"/>
      <c r="I103" s="17">
        <v>0</v>
      </c>
    </row>
    <row r="104" spans="1:9" ht="15.75" customHeight="1">
      <c r="A104" s="54"/>
      <c r="B104" s="46" t="s">
        <v>158</v>
      </c>
      <c r="C104" s="34"/>
      <c r="D104" s="34"/>
      <c r="E104" s="34"/>
      <c r="F104" s="34"/>
      <c r="G104" s="34"/>
      <c r="H104" s="34"/>
      <c r="I104" s="44">
        <f>I86+I102</f>
        <v>99151.482596822229</v>
      </c>
    </row>
    <row r="105" spans="1:9" ht="15.75">
      <c r="A105" s="125" t="s">
        <v>252</v>
      </c>
      <c r="B105" s="125"/>
      <c r="C105" s="125"/>
      <c r="D105" s="125"/>
      <c r="E105" s="125"/>
      <c r="F105" s="125"/>
      <c r="G105" s="125"/>
      <c r="H105" s="125"/>
      <c r="I105" s="125"/>
    </row>
    <row r="106" spans="1:9" ht="15.75">
      <c r="A106" s="61"/>
      <c r="B106" s="126" t="s">
        <v>253</v>
      </c>
      <c r="C106" s="126"/>
      <c r="D106" s="126"/>
      <c r="E106" s="126"/>
      <c r="F106" s="126"/>
      <c r="G106" s="126"/>
      <c r="H106" s="82"/>
      <c r="I106" s="3"/>
    </row>
    <row r="107" spans="1:9">
      <c r="A107" s="76"/>
      <c r="B107" s="124" t="s">
        <v>6</v>
      </c>
      <c r="C107" s="124"/>
      <c r="D107" s="124"/>
      <c r="E107" s="124"/>
      <c r="F107" s="124"/>
      <c r="G107" s="124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27" t="s">
        <v>7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15.75">
      <c r="A110" s="127" t="s">
        <v>8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5.75">
      <c r="A111" s="121" t="s">
        <v>59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.75">
      <c r="A112" s="11"/>
    </row>
    <row r="113" spans="1:9" ht="15.75">
      <c r="A113" s="122" t="s">
        <v>9</v>
      </c>
      <c r="B113" s="122"/>
      <c r="C113" s="122"/>
      <c r="D113" s="122"/>
      <c r="E113" s="122"/>
      <c r="F113" s="122"/>
      <c r="G113" s="122"/>
      <c r="H113" s="122"/>
      <c r="I113" s="122"/>
    </row>
    <row r="114" spans="1:9" ht="15.75">
      <c r="A114" s="4"/>
    </row>
    <row r="115" spans="1:9" ht="15.75">
      <c r="B115" s="74" t="s">
        <v>10</v>
      </c>
      <c r="C115" s="123" t="s">
        <v>86</v>
      </c>
      <c r="D115" s="123"/>
      <c r="E115" s="123"/>
      <c r="F115" s="80"/>
      <c r="I115" s="75"/>
    </row>
    <row r="116" spans="1:9">
      <c r="A116" s="76"/>
      <c r="C116" s="124" t="s">
        <v>11</v>
      </c>
      <c r="D116" s="124"/>
      <c r="E116" s="124"/>
      <c r="F116" s="24"/>
      <c r="I116" s="73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74" t="s">
        <v>13</v>
      </c>
      <c r="C118" s="118"/>
      <c r="D118" s="118"/>
      <c r="E118" s="118"/>
      <c r="F118" s="81"/>
      <c r="I118" s="75"/>
    </row>
    <row r="119" spans="1:9">
      <c r="A119" s="76"/>
      <c r="C119" s="119" t="s">
        <v>11</v>
      </c>
      <c r="D119" s="119"/>
      <c r="E119" s="119"/>
      <c r="F119" s="76"/>
      <c r="I119" s="73" t="s">
        <v>12</v>
      </c>
    </row>
    <row r="120" spans="1:9" ht="15.75">
      <c r="A120" s="4" t="s">
        <v>14</v>
      </c>
    </row>
    <row r="121" spans="1:9">
      <c r="A121" s="120" t="s">
        <v>15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45" customHeight="1">
      <c r="A122" s="117" t="s">
        <v>16</v>
      </c>
      <c r="B122" s="117"/>
      <c r="C122" s="117"/>
      <c r="D122" s="117"/>
      <c r="E122" s="117"/>
      <c r="F122" s="117"/>
      <c r="G122" s="117"/>
      <c r="H122" s="117"/>
      <c r="I122" s="117"/>
    </row>
    <row r="123" spans="1:9" ht="30" customHeight="1">
      <c r="A123" s="117" t="s">
        <v>17</v>
      </c>
      <c r="B123" s="117"/>
      <c r="C123" s="117"/>
      <c r="D123" s="117"/>
      <c r="E123" s="117"/>
      <c r="F123" s="117"/>
      <c r="G123" s="117"/>
      <c r="H123" s="117"/>
      <c r="I123" s="117"/>
    </row>
    <row r="124" spans="1:9" ht="30" customHeight="1">
      <c r="A124" s="117" t="s">
        <v>21</v>
      </c>
      <c r="B124" s="117"/>
      <c r="C124" s="117"/>
      <c r="D124" s="117"/>
      <c r="E124" s="117"/>
      <c r="F124" s="117"/>
      <c r="G124" s="117"/>
      <c r="H124" s="117"/>
      <c r="I124" s="117"/>
    </row>
    <row r="125" spans="1:9" ht="15" customHeight="1">
      <c r="A125" s="117" t="s">
        <v>20</v>
      </c>
      <c r="B125" s="117"/>
      <c r="C125" s="117"/>
      <c r="D125" s="117"/>
      <c r="E125" s="117"/>
      <c r="F125" s="117"/>
      <c r="G125" s="117"/>
      <c r="H125" s="117"/>
      <c r="I125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9:E119"/>
    <mergeCell ref="A87:I87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3:I83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3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207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208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42978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7.5" customHeight="1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hidden="1" customHeight="1">
      <c r="A47" s="40">
        <v>18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171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9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hidden="1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10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G65*9</f>
        <v>2001.6000000000001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hidden="1" customHeight="1">
      <c r="A72" s="29">
        <v>13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customHeight="1">
      <c r="A80" s="29">
        <v>10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172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11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12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SUM(I16+I17+I18+I27+I28+I31+I32+I34+I63+I80+I84+I85)</f>
        <v>58583.039996822226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13</v>
      </c>
      <c r="B88" s="66" t="s">
        <v>154</v>
      </c>
      <c r="C88" s="67" t="s">
        <v>81</v>
      </c>
      <c r="D88" s="64"/>
      <c r="E88" s="36"/>
      <c r="F88" s="36">
        <v>7</v>
      </c>
      <c r="G88" s="36">
        <v>195.85</v>
      </c>
      <c r="H88" s="104">
        <f t="shared" ref="H88:H91" si="12">G88*F88/1000</f>
        <v>1.3709500000000001</v>
      </c>
      <c r="I88" s="13">
        <f>G88</f>
        <v>195.85</v>
      </c>
    </row>
    <row r="89" spans="1:9" ht="31.5" customHeight="1">
      <c r="A89" s="29">
        <v>14</v>
      </c>
      <c r="B89" s="55" t="s">
        <v>162</v>
      </c>
      <c r="C89" s="65" t="s">
        <v>163</v>
      </c>
      <c r="D89" s="51"/>
      <c r="E89" s="13"/>
      <c r="F89" s="13">
        <v>35</v>
      </c>
      <c r="G89" s="13">
        <v>1187</v>
      </c>
      <c r="H89" s="102">
        <f t="shared" si="12"/>
        <v>41.545000000000002</v>
      </c>
      <c r="I89" s="13">
        <f>G89*(8+4)</f>
        <v>14244</v>
      </c>
    </row>
    <row r="90" spans="1:9" ht="31.5" customHeight="1">
      <c r="A90" s="29">
        <v>15</v>
      </c>
      <c r="B90" s="55" t="s">
        <v>78</v>
      </c>
      <c r="C90" s="65" t="s">
        <v>117</v>
      </c>
      <c r="D90" s="51"/>
      <c r="E90" s="13"/>
      <c r="F90" s="13">
        <v>7</v>
      </c>
      <c r="G90" s="13">
        <v>83.36</v>
      </c>
      <c r="H90" s="102">
        <f t="shared" si="12"/>
        <v>0.58351999999999993</v>
      </c>
      <c r="I90" s="13">
        <f>G90</f>
        <v>83.36</v>
      </c>
    </row>
    <row r="91" spans="1:9" ht="15.75" customHeight="1">
      <c r="A91" s="29">
        <v>16</v>
      </c>
      <c r="B91" s="68" t="s">
        <v>173</v>
      </c>
      <c r="C91" s="69" t="s">
        <v>87</v>
      </c>
      <c r="D91" s="64"/>
      <c r="E91" s="36"/>
      <c r="F91" s="36">
        <f>160/3</f>
        <v>53.333333333333336</v>
      </c>
      <c r="G91" s="36">
        <v>1120.8900000000001</v>
      </c>
      <c r="H91" s="104">
        <f t="shared" si="12"/>
        <v>59.780800000000013</v>
      </c>
      <c r="I91" s="13">
        <f>G91*(9/3)</f>
        <v>3362.67</v>
      </c>
    </row>
    <row r="92" spans="1:9" ht="31.5" customHeight="1">
      <c r="A92" s="29">
        <v>17</v>
      </c>
      <c r="B92" s="55" t="s">
        <v>181</v>
      </c>
      <c r="C92" s="65" t="s">
        <v>182</v>
      </c>
      <c r="D92" s="64"/>
      <c r="E92" s="36"/>
      <c r="F92" s="36">
        <v>9</v>
      </c>
      <c r="G92" s="36">
        <v>589.84</v>
      </c>
      <c r="H92" s="104">
        <f>G92*F92/1000</f>
        <v>5.3085600000000008</v>
      </c>
      <c r="I92" s="13">
        <f>G92*3</f>
        <v>1769.52</v>
      </c>
    </row>
    <row r="93" spans="1:9" ht="31.5" customHeight="1">
      <c r="A93" s="29">
        <v>18</v>
      </c>
      <c r="B93" s="55" t="s">
        <v>140</v>
      </c>
      <c r="C93" s="65" t="s">
        <v>37</v>
      </c>
      <c r="D93" s="51"/>
      <c r="E93" s="13"/>
      <c r="F93" s="13">
        <v>0.11</v>
      </c>
      <c r="G93" s="13">
        <v>3581.13</v>
      </c>
      <c r="H93" s="102">
        <f>G93*F93/1000</f>
        <v>0.39392430000000001</v>
      </c>
      <c r="I93" s="13">
        <f>G93*0.02</f>
        <v>71.622600000000006</v>
      </c>
    </row>
    <row r="94" spans="1:9" ht="15.75" customHeight="1">
      <c r="A94" s="29">
        <v>19</v>
      </c>
      <c r="B94" s="107" t="s">
        <v>195</v>
      </c>
      <c r="C94" s="65" t="s">
        <v>117</v>
      </c>
      <c r="D94" s="64"/>
      <c r="E94" s="36"/>
      <c r="F94" s="36">
        <v>4</v>
      </c>
      <c r="G94" s="36">
        <v>189.67</v>
      </c>
      <c r="H94" s="104">
        <f>G94*F94/1000</f>
        <v>0.75867999999999991</v>
      </c>
      <c r="I94" s="13">
        <f>G94*2</f>
        <v>379.34</v>
      </c>
    </row>
    <row r="95" spans="1:9" ht="31.5" customHeight="1">
      <c r="A95" s="29">
        <v>20</v>
      </c>
      <c r="B95" s="55" t="s">
        <v>198</v>
      </c>
      <c r="C95" s="65" t="s">
        <v>163</v>
      </c>
      <c r="D95" s="51"/>
      <c r="E95" s="36"/>
      <c r="F95" s="36">
        <v>15</v>
      </c>
      <c r="G95" s="36">
        <v>1272</v>
      </c>
      <c r="H95" s="104">
        <f t="shared" ref="H95:H99" si="13">G95*F95/1000</f>
        <v>19.079999999999998</v>
      </c>
      <c r="I95" s="13">
        <f>G95</f>
        <v>1272</v>
      </c>
    </row>
    <row r="96" spans="1:9" ht="31.5" customHeight="1">
      <c r="A96" s="29">
        <v>21</v>
      </c>
      <c r="B96" s="55" t="s">
        <v>199</v>
      </c>
      <c r="C96" s="65" t="s">
        <v>163</v>
      </c>
      <c r="D96" s="51"/>
      <c r="E96" s="36"/>
      <c r="F96" s="36">
        <v>10</v>
      </c>
      <c r="G96" s="36">
        <v>1146</v>
      </c>
      <c r="H96" s="104">
        <f t="shared" si="13"/>
        <v>11.46</v>
      </c>
      <c r="I96" s="13">
        <f>G96*4</f>
        <v>4584</v>
      </c>
    </row>
    <row r="97" spans="1:9" ht="31.5" customHeight="1">
      <c r="A97" s="29">
        <v>22</v>
      </c>
      <c r="B97" s="66" t="s">
        <v>200</v>
      </c>
      <c r="C97" s="67" t="s">
        <v>182</v>
      </c>
      <c r="D97" s="64"/>
      <c r="E97" s="36"/>
      <c r="F97" s="36">
        <v>6</v>
      </c>
      <c r="G97" s="36">
        <v>1046.06</v>
      </c>
      <c r="H97" s="104">
        <f t="shared" si="13"/>
        <v>6.2763599999999995</v>
      </c>
      <c r="I97" s="13">
        <f>G97*3</f>
        <v>3138.18</v>
      </c>
    </row>
    <row r="98" spans="1:9" ht="15.75" customHeight="1">
      <c r="A98" s="29">
        <v>23</v>
      </c>
      <c r="B98" s="55" t="s">
        <v>202</v>
      </c>
      <c r="C98" s="65" t="s">
        <v>117</v>
      </c>
      <c r="D98" s="37"/>
      <c r="E98" s="17"/>
      <c r="F98" s="36">
        <v>4</v>
      </c>
      <c r="G98" s="36">
        <v>140</v>
      </c>
      <c r="H98" s="104">
        <f t="shared" si="13"/>
        <v>0.56000000000000005</v>
      </c>
      <c r="I98" s="13">
        <f>G98*2</f>
        <v>280</v>
      </c>
    </row>
    <row r="99" spans="1:9" ht="15.75" customHeight="1">
      <c r="A99" s="29">
        <v>24</v>
      </c>
      <c r="B99" s="55" t="s">
        <v>206</v>
      </c>
      <c r="C99" s="65" t="s">
        <v>117</v>
      </c>
      <c r="D99" s="51"/>
      <c r="E99" s="13"/>
      <c r="F99" s="13">
        <v>2</v>
      </c>
      <c r="G99" s="13">
        <v>108</v>
      </c>
      <c r="H99" s="102">
        <f t="shared" si="13"/>
        <v>0.216</v>
      </c>
      <c r="I99" s="13">
        <f t="shared" ref="I99" si="14">G99</f>
        <v>108</v>
      </c>
    </row>
    <row r="100" spans="1:9" ht="31.5" customHeight="1">
      <c r="A100" s="29">
        <v>25</v>
      </c>
      <c r="B100" s="55" t="s">
        <v>209</v>
      </c>
      <c r="C100" s="65" t="s">
        <v>182</v>
      </c>
      <c r="D100" s="64"/>
      <c r="E100" s="36"/>
      <c r="F100" s="36">
        <v>4</v>
      </c>
      <c r="G100" s="36">
        <v>506.98</v>
      </c>
      <c r="H100" s="104">
        <f>G100*F100/1000</f>
        <v>2.0279199999999999</v>
      </c>
      <c r="I100" s="13">
        <f>G100</f>
        <v>506.98</v>
      </c>
    </row>
    <row r="101" spans="1:9" ht="31.5" customHeight="1">
      <c r="A101" s="29">
        <v>26</v>
      </c>
      <c r="B101" s="55" t="s">
        <v>210</v>
      </c>
      <c r="C101" s="65" t="s">
        <v>182</v>
      </c>
      <c r="D101" s="64"/>
      <c r="E101" s="36"/>
      <c r="F101" s="36">
        <v>2</v>
      </c>
      <c r="G101" s="36">
        <v>803.54</v>
      </c>
      <c r="H101" s="104">
        <f t="shared" ref="H101:H109" si="15">G101*F101/1000</f>
        <v>1.6070799999999998</v>
      </c>
      <c r="I101" s="13">
        <f>G101*2</f>
        <v>1607.08</v>
      </c>
    </row>
    <row r="102" spans="1:9" ht="15.75" customHeight="1">
      <c r="A102" s="29">
        <v>27</v>
      </c>
      <c r="B102" s="55" t="s">
        <v>211</v>
      </c>
      <c r="C102" s="65" t="s">
        <v>117</v>
      </c>
      <c r="D102" s="64"/>
      <c r="E102" s="36"/>
      <c r="F102" s="36">
        <v>4</v>
      </c>
      <c r="G102" s="36">
        <v>61</v>
      </c>
      <c r="H102" s="104">
        <f t="shared" si="15"/>
        <v>0.24399999999999999</v>
      </c>
      <c r="I102" s="13">
        <f>G102*4</f>
        <v>244</v>
      </c>
    </row>
    <row r="103" spans="1:9" ht="15.75" customHeight="1">
      <c r="A103" s="29">
        <v>28</v>
      </c>
      <c r="B103" s="55" t="s">
        <v>212</v>
      </c>
      <c r="C103" s="65" t="s">
        <v>117</v>
      </c>
      <c r="D103" s="64"/>
      <c r="E103" s="36"/>
      <c r="F103" s="36">
        <v>1</v>
      </c>
      <c r="G103" s="36">
        <v>118</v>
      </c>
      <c r="H103" s="104">
        <f>G103*F103/1000</f>
        <v>0.11799999999999999</v>
      </c>
      <c r="I103" s="13">
        <f>G103</f>
        <v>118</v>
      </c>
    </row>
    <row r="104" spans="1:9" ht="15.75" customHeight="1">
      <c r="A104" s="29">
        <v>29</v>
      </c>
      <c r="B104" s="55" t="s">
        <v>221</v>
      </c>
      <c r="C104" s="65" t="s">
        <v>117</v>
      </c>
      <c r="D104" s="64"/>
      <c r="E104" s="36"/>
      <c r="F104" s="36">
        <v>2</v>
      </c>
      <c r="G104" s="36">
        <v>82</v>
      </c>
      <c r="H104" s="104">
        <f>G104*F104/1000</f>
        <v>0.16400000000000001</v>
      </c>
      <c r="I104" s="13">
        <f>G104*2</f>
        <v>164</v>
      </c>
    </row>
    <row r="105" spans="1:9" ht="15.75" customHeight="1">
      <c r="A105" s="29">
        <v>30</v>
      </c>
      <c r="B105" s="55" t="s">
        <v>213</v>
      </c>
      <c r="C105" s="65" t="s">
        <v>117</v>
      </c>
      <c r="D105" s="64"/>
      <c r="E105" s="36"/>
      <c r="F105" s="36">
        <v>1</v>
      </c>
      <c r="G105" s="36">
        <v>70</v>
      </c>
      <c r="H105" s="104">
        <f>G105*F105/1000</f>
        <v>7.0000000000000007E-2</v>
      </c>
      <c r="I105" s="13">
        <f>G105</f>
        <v>70</v>
      </c>
    </row>
    <row r="106" spans="1:9" ht="15.75" customHeight="1">
      <c r="A106" s="29">
        <v>31</v>
      </c>
      <c r="B106" s="55" t="s">
        <v>214</v>
      </c>
      <c r="C106" s="106" t="s">
        <v>215</v>
      </c>
      <c r="D106" s="64"/>
      <c r="E106" s="36"/>
      <c r="F106" s="36">
        <v>1</v>
      </c>
      <c r="G106" s="36">
        <v>294.45</v>
      </c>
      <c r="H106" s="104">
        <f>G106*F106/1000</f>
        <v>0.29444999999999999</v>
      </c>
      <c r="I106" s="13">
        <f>G106</f>
        <v>294.45</v>
      </c>
    </row>
    <row r="107" spans="1:9" ht="15.75" customHeight="1">
      <c r="A107" s="29">
        <v>32</v>
      </c>
      <c r="B107" s="55" t="s">
        <v>216</v>
      </c>
      <c r="C107" s="65" t="s">
        <v>117</v>
      </c>
      <c r="D107" s="64"/>
      <c r="E107" s="36"/>
      <c r="F107" s="36">
        <v>1</v>
      </c>
      <c r="G107" s="36">
        <v>189.88</v>
      </c>
      <c r="H107" s="104">
        <f t="shared" si="15"/>
        <v>0.18987999999999999</v>
      </c>
      <c r="I107" s="13">
        <f>G107</f>
        <v>189.88</v>
      </c>
    </row>
    <row r="108" spans="1:9" ht="15.75" customHeight="1">
      <c r="A108" s="29">
        <v>33</v>
      </c>
      <c r="B108" s="55" t="s">
        <v>217</v>
      </c>
      <c r="C108" s="65" t="s">
        <v>218</v>
      </c>
      <c r="D108" s="64"/>
      <c r="E108" s="36"/>
      <c r="F108" s="36">
        <f>1/100</f>
        <v>0.01</v>
      </c>
      <c r="G108" s="36">
        <v>7412.92</v>
      </c>
      <c r="H108" s="104">
        <f t="shared" si="15"/>
        <v>7.4129199999999992E-2</v>
      </c>
      <c r="I108" s="13">
        <f>G108*0.01</f>
        <v>74.129199999999997</v>
      </c>
    </row>
    <row r="109" spans="1:9" ht="31.5" customHeight="1">
      <c r="A109" s="29">
        <v>34</v>
      </c>
      <c r="B109" s="55" t="s">
        <v>219</v>
      </c>
      <c r="C109" s="65" t="s">
        <v>220</v>
      </c>
      <c r="D109" s="64"/>
      <c r="E109" s="36"/>
      <c r="F109" s="36">
        <f>36/10</f>
        <v>3.6</v>
      </c>
      <c r="G109" s="36">
        <v>2064.25</v>
      </c>
      <c r="H109" s="102">
        <f t="shared" si="15"/>
        <v>7.4313000000000002</v>
      </c>
      <c r="I109" s="13">
        <f>G109*3.6</f>
        <v>7431.3</v>
      </c>
    </row>
    <row r="110" spans="1:9" ht="15.75" customHeight="1">
      <c r="A110" s="29"/>
      <c r="B110" s="45" t="s">
        <v>50</v>
      </c>
      <c r="C110" s="41"/>
      <c r="D110" s="53"/>
      <c r="E110" s="41">
        <v>1</v>
      </c>
      <c r="F110" s="41"/>
      <c r="G110" s="41"/>
      <c r="H110" s="41"/>
      <c r="I110" s="31">
        <f>SUM(I88:I109)</f>
        <v>40188.361799999999</v>
      </c>
    </row>
    <row r="111" spans="1:9" ht="15.75" customHeight="1">
      <c r="A111" s="29"/>
      <c r="B111" s="51" t="s">
        <v>77</v>
      </c>
      <c r="C111" s="15"/>
      <c r="D111" s="15"/>
      <c r="E111" s="42"/>
      <c r="F111" s="42"/>
      <c r="G111" s="43"/>
      <c r="H111" s="43"/>
      <c r="I111" s="17">
        <v>0</v>
      </c>
    </row>
    <row r="112" spans="1:9" ht="15.75" customHeight="1">
      <c r="A112" s="54"/>
      <c r="B112" s="46" t="s">
        <v>158</v>
      </c>
      <c r="C112" s="34"/>
      <c r="D112" s="34"/>
      <c r="E112" s="34"/>
      <c r="F112" s="34"/>
      <c r="G112" s="34"/>
      <c r="H112" s="34"/>
      <c r="I112" s="44">
        <f>I86+I110</f>
        <v>98771.401796822232</v>
      </c>
    </row>
    <row r="113" spans="1:9" ht="15.75">
      <c r="A113" s="125" t="s">
        <v>222</v>
      </c>
      <c r="B113" s="125"/>
      <c r="C113" s="125"/>
      <c r="D113" s="125"/>
      <c r="E113" s="125"/>
      <c r="F113" s="125"/>
      <c r="G113" s="125"/>
      <c r="H113" s="125"/>
      <c r="I113" s="125"/>
    </row>
    <row r="114" spans="1:9" ht="15.75">
      <c r="A114" s="61"/>
      <c r="B114" s="126" t="s">
        <v>223</v>
      </c>
      <c r="C114" s="126"/>
      <c r="D114" s="126"/>
      <c r="E114" s="126"/>
      <c r="F114" s="126"/>
      <c r="G114" s="126"/>
      <c r="H114" s="82"/>
      <c r="I114" s="3"/>
    </row>
    <row r="115" spans="1:9">
      <c r="A115" s="76"/>
      <c r="B115" s="124" t="s">
        <v>6</v>
      </c>
      <c r="C115" s="124"/>
      <c r="D115" s="124"/>
      <c r="E115" s="124"/>
      <c r="F115" s="124"/>
      <c r="G115" s="124"/>
      <c r="H115" s="24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>
      <c r="A117" s="127" t="s">
        <v>7</v>
      </c>
      <c r="B117" s="127"/>
      <c r="C117" s="127"/>
      <c r="D117" s="127"/>
      <c r="E117" s="127"/>
      <c r="F117" s="127"/>
      <c r="G117" s="127"/>
      <c r="H117" s="127"/>
      <c r="I117" s="127"/>
    </row>
    <row r="118" spans="1:9" ht="15.75">
      <c r="A118" s="127" t="s">
        <v>8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15.75">
      <c r="A119" s="121" t="s">
        <v>59</v>
      </c>
      <c r="B119" s="121"/>
      <c r="C119" s="121"/>
      <c r="D119" s="121"/>
      <c r="E119" s="121"/>
      <c r="F119" s="121"/>
      <c r="G119" s="121"/>
      <c r="H119" s="121"/>
      <c r="I119" s="121"/>
    </row>
    <row r="120" spans="1:9" ht="15.75">
      <c r="A120" s="11"/>
    </row>
    <row r="121" spans="1:9" ht="15.75">
      <c r="A121" s="122" t="s">
        <v>9</v>
      </c>
      <c r="B121" s="122"/>
      <c r="C121" s="122"/>
      <c r="D121" s="122"/>
      <c r="E121" s="122"/>
      <c r="F121" s="122"/>
      <c r="G121" s="122"/>
      <c r="H121" s="122"/>
      <c r="I121" s="122"/>
    </row>
    <row r="122" spans="1:9" ht="15.75">
      <c r="A122" s="4"/>
    </row>
    <row r="123" spans="1:9" ht="15.75">
      <c r="B123" s="74" t="s">
        <v>10</v>
      </c>
      <c r="C123" s="123" t="s">
        <v>86</v>
      </c>
      <c r="D123" s="123"/>
      <c r="E123" s="123"/>
      <c r="F123" s="80"/>
      <c r="I123" s="75"/>
    </row>
    <row r="124" spans="1:9">
      <c r="A124" s="76"/>
      <c r="C124" s="124" t="s">
        <v>11</v>
      </c>
      <c r="D124" s="124"/>
      <c r="E124" s="124"/>
      <c r="F124" s="24"/>
      <c r="I124" s="73" t="s">
        <v>12</v>
      </c>
    </row>
    <row r="125" spans="1:9" ht="15.75">
      <c r="A125" s="25"/>
      <c r="C125" s="12"/>
      <c r="D125" s="12"/>
      <c r="G125" s="12"/>
      <c r="H125" s="12"/>
    </row>
    <row r="126" spans="1:9" ht="15.75">
      <c r="B126" s="74" t="s">
        <v>13</v>
      </c>
      <c r="C126" s="118"/>
      <c r="D126" s="118"/>
      <c r="E126" s="118"/>
      <c r="F126" s="81"/>
      <c r="I126" s="75"/>
    </row>
    <row r="127" spans="1:9">
      <c r="A127" s="76"/>
      <c r="C127" s="119" t="s">
        <v>11</v>
      </c>
      <c r="D127" s="119"/>
      <c r="E127" s="119"/>
      <c r="F127" s="76"/>
      <c r="I127" s="73" t="s">
        <v>12</v>
      </c>
    </row>
    <row r="128" spans="1:9" ht="15.75">
      <c r="A128" s="4" t="s">
        <v>14</v>
      </c>
    </row>
    <row r="129" spans="1:9">
      <c r="A129" s="120" t="s">
        <v>15</v>
      </c>
      <c r="B129" s="120"/>
      <c r="C129" s="120"/>
      <c r="D129" s="120"/>
      <c r="E129" s="120"/>
      <c r="F129" s="120"/>
      <c r="G129" s="120"/>
      <c r="H129" s="120"/>
      <c r="I129" s="120"/>
    </row>
    <row r="130" spans="1:9" ht="45" customHeight="1">
      <c r="A130" s="117" t="s">
        <v>16</v>
      </c>
      <c r="B130" s="117"/>
      <c r="C130" s="117"/>
      <c r="D130" s="117"/>
      <c r="E130" s="117"/>
      <c r="F130" s="117"/>
      <c r="G130" s="117"/>
      <c r="H130" s="117"/>
      <c r="I130" s="117"/>
    </row>
    <row r="131" spans="1:9" ht="30" customHeight="1">
      <c r="A131" s="117" t="s">
        <v>17</v>
      </c>
      <c r="B131" s="117"/>
      <c r="C131" s="117"/>
      <c r="D131" s="117"/>
      <c r="E131" s="117"/>
      <c r="F131" s="117"/>
      <c r="G131" s="117"/>
      <c r="H131" s="117"/>
      <c r="I131" s="117"/>
    </row>
    <row r="132" spans="1:9" ht="30" customHeight="1">
      <c r="A132" s="117" t="s">
        <v>21</v>
      </c>
      <c r="B132" s="117"/>
      <c r="C132" s="117"/>
      <c r="D132" s="117"/>
      <c r="E132" s="117"/>
      <c r="F132" s="117"/>
      <c r="G132" s="117"/>
      <c r="H132" s="117"/>
      <c r="I132" s="117"/>
    </row>
    <row r="133" spans="1:9" ht="15" customHeight="1">
      <c r="A133" s="117" t="s">
        <v>20</v>
      </c>
      <c r="B133" s="117"/>
      <c r="C133" s="117"/>
      <c r="D133" s="117"/>
      <c r="E133" s="117"/>
      <c r="F133" s="117"/>
      <c r="G133" s="117"/>
      <c r="H133" s="117"/>
      <c r="I133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27:E127"/>
    <mergeCell ref="A87:I87"/>
    <mergeCell ref="A113:I113"/>
    <mergeCell ref="B114:G114"/>
    <mergeCell ref="B115:G115"/>
    <mergeCell ref="A117:I117"/>
    <mergeCell ref="A118:I118"/>
    <mergeCell ref="A119:I119"/>
    <mergeCell ref="A121:I121"/>
    <mergeCell ref="C123:E123"/>
    <mergeCell ref="C124:E124"/>
    <mergeCell ref="C126:E126"/>
    <mergeCell ref="A83:I83"/>
    <mergeCell ref="A129:I129"/>
    <mergeCell ref="A130:I130"/>
    <mergeCell ref="A131:I131"/>
    <mergeCell ref="A132:I132"/>
    <mergeCell ref="A133:I13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4" t="s">
        <v>231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224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0">
        <v>43008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145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146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57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29">
        <v>1</v>
      </c>
      <c r="B16" s="84" t="s">
        <v>84</v>
      </c>
      <c r="C16" s="85" t="s">
        <v>92</v>
      </c>
      <c r="D16" s="84" t="s">
        <v>93</v>
      </c>
      <c r="E16" s="86">
        <v>129.88</v>
      </c>
      <c r="F16" s="87">
        <f>SUM(E16*156/100)</f>
        <v>202.61279999999999</v>
      </c>
      <c r="G16" s="87">
        <v>175.38</v>
      </c>
      <c r="H16" s="88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4" t="s">
        <v>88</v>
      </c>
      <c r="C17" s="85" t="s">
        <v>92</v>
      </c>
      <c r="D17" s="84" t="s">
        <v>94</v>
      </c>
      <c r="E17" s="86">
        <v>519.52</v>
      </c>
      <c r="F17" s="87">
        <f>SUM(E17*104/100)</f>
        <v>540.30079999999998</v>
      </c>
      <c r="G17" s="87">
        <v>175.38</v>
      </c>
      <c r="H17" s="88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4" t="s">
        <v>89</v>
      </c>
      <c r="C18" s="85" t="s">
        <v>92</v>
      </c>
      <c r="D18" s="84" t="s">
        <v>95</v>
      </c>
      <c r="E18" s="86">
        <f>SUM(E16+E17)</f>
        <v>649.4</v>
      </c>
      <c r="F18" s="87">
        <f>SUM(E18*24/100)</f>
        <v>155.85599999999999</v>
      </c>
      <c r="G18" s="87">
        <v>504.5</v>
      </c>
      <c r="H18" s="88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4" t="s">
        <v>96</v>
      </c>
      <c r="C19" s="85" t="s">
        <v>97</v>
      </c>
      <c r="D19" s="84" t="s">
        <v>98</v>
      </c>
      <c r="E19" s="86">
        <v>124.8</v>
      </c>
      <c r="F19" s="87">
        <f>SUM(E19/10)</f>
        <v>12.48</v>
      </c>
      <c r="G19" s="87">
        <v>170.16</v>
      </c>
      <c r="H19" s="88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4" t="s">
        <v>101</v>
      </c>
      <c r="C20" s="85" t="s">
        <v>92</v>
      </c>
      <c r="D20" s="84" t="s">
        <v>52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4" t="s">
        <v>102</v>
      </c>
      <c r="C21" s="85" t="s">
        <v>92</v>
      </c>
      <c r="D21" s="84" t="s">
        <v>52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4" t="s">
        <v>103</v>
      </c>
      <c r="C22" s="85" t="s">
        <v>51</v>
      </c>
      <c r="D22" s="84" t="s">
        <v>98</v>
      </c>
      <c r="E22" s="86">
        <v>820.5</v>
      </c>
      <c r="F22" s="87">
        <f>SUM(E22/100)</f>
        <v>8.2050000000000001</v>
      </c>
      <c r="G22" s="87">
        <v>269.26</v>
      </c>
      <c r="H22" s="88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4" t="s">
        <v>104</v>
      </c>
      <c r="C23" s="85" t="s">
        <v>51</v>
      </c>
      <c r="D23" s="84" t="s">
        <v>98</v>
      </c>
      <c r="E23" s="89">
        <v>60.25</v>
      </c>
      <c r="F23" s="87">
        <f>SUM(E23/100)</f>
        <v>0.60250000000000004</v>
      </c>
      <c r="G23" s="87">
        <v>44.29</v>
      </c>
      <c r="H23" s="88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4" t="s">
        <v>99</v>
      </c>
      <c r="C24" s="85" t="s">
        <v>51</v>
      </c>
      <c r="D24" s="84" t="s">
        <v>100</v>
      </c>
      <c r="E24" s="86">
        <v>19.149999999999999</v>
      </c>
      <c r="F24" s="87">
        <f>E24/100</f>
        <v>0.19149999999999998</v>
      </c>
      <c r="G24" s="87">
        <v>389.72</v>
      </c>
      <c r="H24" s="88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4" t="s">
        <v>106</v>
      </c>
      <c r="C25" s="85" t="s">
        <v>51</v>
      </c>
      <c r="D25" s="84" t="s">
        <v>52</v>
      </c>
      <c r="E25" s="86">
        <v>31.5</v>
      </c>
      <c r="F25" s="87">
        <v>0.32</v>
      </c>
      <c r="G25" s="87">
        <v>216.12</v>
      </c>
      <c r="H25" s="88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4" t="s">
        <v>105</v>
      </c>
      <c r="C26" s="85" t="s">
        <v>51</v>
      </c>
      <c r="D26" s="84" t="s">
        <v>98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4" t="s">
        <v>62</v>
      </c>
      <c r="C27" s="85" t="s">
        <v>33</v>
      </c>
      <c r="D27" s="84" t="s">
        <v>25</v>
      </c>
      <c r="E27" s="86">
        <v>0.1</v>
      </c>
      <c r="F27" s="87">
        <f>SUM(E27*365)</f>
        <v>36.5</v>
      </c>
      <c r="G27" s="87">
        <v>147.03</v>
      </c>
      <c r="H27" s="88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90" t="s">
        <v>23</v>
      </c>
      <c r="C28" s="85" t="s">
        <v>24</v>
      </c>
      <c r="D28" s="84" t="s">
        <v>25</v>
      </c>
      <c r="E28" s="86">
        <v>5162.6000000000004</v>
      </c>
      <c r="F28" s="87">
        <f>SUM(E28*12)</f>
        <v>61951.200000000004</v>
      </c>
      <c r="G28" s="87">
        <v>3.33</v>
      </c>
      <c r="H28" s="88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40" t="s">
        <v>82</v>
      </c>
      <c r="B29" s="140"/>
      <c r="C29" s="140"/>
      <c r="D29" s="140"/>
      <c r="E29" s="140"/>
      <c r="F29" s="140"/>
      <c r="G29" s="140"/>
      <c r="H29" s="140"/>
      <c r="I29" s="140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4" t="s">
        <v>107</v>
      </c>
      <c r="C31" s="85" t="s">
        <v>108</v>
      </c>
      <c r="D31" s="84" t="s">
        <v>109</v>
      </c>
      <c r="E31" s="87">
        <v>1304.45</v>
      </c>
      <c r="F31" s="87">
        <f>SUM(E31*52/1000)</f>
        <v>67.831400000000002</v>
      </c>
      <c r="G31" s="87">
        <v>155.88999999999999</v>
      </c>
      <c r="H31" s="88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4" t="s">
        <v>150</v>
      </c>
      <c r="C32" s="85" t="s">
        <v>108</v>
      </c>
      <c r="D32" s="84" t="s">
        <v>110</v>
      </c>
      <c r="E32" s="87">
        <v>287.83999999999997</v>
      </c>
      <c r="F32" s="87">
        <f>SUM(E32*78/1000)</f>
        <v>22.451519999999995</v>
      </c>
      <c r="G32" s="87">
        <v>258.63</v>
      </c>
      <c r="H32" s="88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4" t="s">
        <v>28</v>
      </c>
      <c r="C33" s="85" t="s">
        <v>108</v>
      </c>
      <c r="D33" s="84" t="s">
        <v>52</v>
      </c>
      <c r="E33" s="87">
        <v>1304.45</v>
      </c>
      <c r="F33" s="87">
        <f>SUM(E33/1000)</f>
        <v>1.3044500000000001</v>
      </c>
      <c r="G33" s="87">
        <v>3020.33</v>
      </c>
      <c r="H33" s="88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4" t="s">
        <v>111</v>
      </c>
      <c r="C34" s="85" t="s">
        <v>31</v>
      </c>
      <c r="D34" s="84" t="s">
        <v>61</v>
      </c>
      <c r="E34" s="91">
        <v>0.33333333333333331</v>
      </c>
      <c r="F34" s="87">
        <f>155/3</f>
        <v>51.666666666666664</v>
      </c>
      <c r="G34" s="87">
        <v>56.69</v>
      </c>
      <c r="H34" s="88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4" t="s">
        <v>27</v>
      </c>
      <c r="C38" s="85" t="s">
        <v>32</v>
      </c>
      <c r="D38" s="84"/>
      <c r="E38" s="86"/>
      <c r="F38" s="87">
        <v>10</v>
      </c>
      <c r="G38" s="87">
        <v>1527.22</v>
      </c>
      <c r="H38" s="88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4" t="s">
        <v>129</v>
      </c>
      <c r="C39" s="85" t="s">
        <v>30</v>
      </c>
      <c r="D39" s="84" t="s">
        <v>130</v>
      </c>
      <c r="E39" s="87">
        <v>495</v>
      </c>
      <c r="F39" s="87">
        <f>SUM(E39*12/1000)</f>
        <v>5.94</v>
      </c>
      <c r="G39" s="87">
        <v>2102.71</v>
      </c>
      <c r="H39" s="88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4" t="s">
        <v>131</v>
      </c>
      <c r="C40" s="85" t="s">
        <v>30</v>
      </c>
      <c r="D40" s="84" t="s">
        <v>112</v>
      </c>
      <c r="E40" s="86">
        <v>287.83999999999997</v>
      </c>
      <c r="F40" s="87">
        <v>8.64</v>
      </c>
      <c r="G40" s="87">
        <v>2102.71</v>
      </c>
      <c r="H40" s="88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4" t="s">
        <v>90</v>
      </c>
      <c r="C41" s="85" t="s">
        <v>132</v>
      </c>
      <c r="D41" s="84" t="s">
        <v>65</v>
      </c>
      <c r="E41" s="86"/>
      <c r="F41" s="87">
        <v>80</v>
      </c>
      <c r="G41" s="87">
        <v>199.44</v>
      </c>
      <c r="H41" s="88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4" t="s">
        <v>66</v>
      </c>
      <c r="C42" s="85" t="s">
        <v>30</v>
      </c>
      <c r="D42" s="84" t="s">
        <v>113</v>
      </c>
      <c r="E42" s="87">
        <v>287.83999999999997</v>
      </c>
      <c r="F42" s="87">
        <f>SUM(E42*155/1000)</f>
        <v>44.615199999999994</v>
      </c>
      <c r="G42" s="87">
        <v>350.75</v>
      </c>
      <c r="H42" s="88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4" t="s">
        <v>80</v>
      </c>
      <c r="C43" s="85" t="s">
        <v>108</v>
      </c>
      <c r="D43" s="84" t="s">
        <v>133</v>
      </c>
      <c r="E43" s="87">
        <v>89.43</v>
      </c>
      <c r="F43" s="87">
        <f>SUM(E43*24/1000)</f>
        <v>2.1463200000000002</v>
      </c>
      <c r="G43" s="87">
        <v>5803.28</v>
      </c>
      <c r="H43" s="88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4" t="s">
        <v>114</v>
      </c>
      <c r="C44" s="85" t="s">
        <v>108</v>
      </c>
      <c r="D44" s="84" t="s">
        <v>67</v>
      </c>
      <c r="E44" s="87">
        <v>130.08000000000001</v>
      </c>
      <c r="F44" s="87">
        <f>SUM(E44*45/1000)</f>
        <v>5.8536000000000001</v>
      </c>
      <c r="G44" s="87">
        <v>428.7</v>
      </c>
      <c r="H44" s="88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4" t="s">
        <v>68</v>
      </c>
      <c r="C45" s="85" t="s">
        <v>33</v>
      </c>
      <c r="D45" s="84"/>
      <c r="E45" s="86"/>
      <c r="F45" s="87">
        <v>0.9</v>
      </c>
      <c r="G45" s="87">
        <v>798</v>
      </c>
      <c r="H45" s="88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41" t="s">
        <v>147</v>
      </c>
      <c r="B46" s="142"/>
      <c r="C46" s="142"/>
      <c r="D46" s="142"/>
      <c r="E46" s="142"/>
      <c r="F46" s="142"/>
      <c r="G46" s="142"/>
      <c r="H46" s="142"/>
      <c r="I46" s="143"/>
      <c r="J46" s="23"/>
      <c r="L46" s="19"/>
      <c r="M46" s="20"/>
      <c r="N46" s="21"/>
    </row>
    <row r="47" spans="1:14" ht="15.75" customHeight="1">
      <c r="A47" s="40">
        <v>9</v>
      </c>
      <c r="B47" s="84" t="s">
        <v>134</v>
      </c>
      <c r="C47" s="85" t="s">
        <v>108</v>
      </c>
      <c r="D47" s="84" t="s">
        <v>41</v>
      </c>
      <c r="E47" s="86">
        <v>1369</v>
      </c>
      <c r="F47" s="87">
        <f>SUM(E47*2/1000)</f>
        <v>2.738</v>
      </c>
      <c r="G47" s="13">
        <v>849.49</v>
      </c>
      <c r="H47" s="88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customHeight="1">
      <c r="A48" s="40">
        <v>10</v>
      </c>
      <c r="B48" s="84" t="s">
        <v>34</v>
      </c>
      <c r="C48" s="85" t="s">
        <v>108</v>
      </c>
      <c r="D48" s="84" t="s">
        <v>41</v>
      </c>
      <c r="E48" s="86">
        <v>1418</v>
      </c>
      <c r="F48" s="87">
        <f>SUM(E48*2/1000)</f>
        <v>2.8359999999999999</v>
      </c>
      <c r="G48" s="13">
        <v>579.48</v>
      </c>
      <c r="H48" s="88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customHeight="1">
      <c r="A49" s="40">
        <v>11</v>
      </c>
      <c r="B49" s="84" t="s">
        <v>35</v>
      </c>
      <c r="C49" s="85" t="s">
        <v>108</v>
      </c>
      <c r="D49" s="84" t="s">
        <v>41</v>
      </c>
      <c r="E49" s="86">
        <v>4985.21</v>
      </c>
      <c r="F49" s="87">
        <f>SUM(E49*2/1000)</f>
        <v>9.9704200000000007</v>
      </c>
      <c r="G49" s="13">
        <v>579.48</v>
      </c>
      <c r="H49" s="88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customHeight="1">
      <c r="A50" s="40">
        <v>12</v>
      </c>
      <c r="B50" s="84" t="s">
        <v>36</v>
      </c>
      <c r="C50" s="85" t="s">
        <v>108</v>
      </c>
      <c r="D50" s="84" t="s">
        <v>41</v>
      </c>
      <c r="E50" s="86">
        <v>2474</v>
      </c>
      <c r="F50" s="87">
        <f>SUM(E50*2/1000)</f>
        <v>4.9480000000000004</v>
      </c>
      <c r="G50" s="13">
        <v>606.77</v>
      </c>
      <c r="H50" s="88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13</v>
      </c>
      <c r="B51" s="84" t="s">
        <v>54</v>
      </c>
      <c r="C51" s="85" t="s">
        <v>108</v>
      </c>
      <c r="D51" s="84" t="s">
        <v>151</v>
      </c>
      <c r="E51" s="86">
        <v>1349.3</v>
      </c>
      <c r="F51" s="87">
        <f>SUM(E51*5/1000)</f>
        <v>6.7465000000000002</v>
      </c>
      <c r="G51" s="13">
        <v>1213.55</v>
      </c>
      <c r="H51" s="88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4" t="s">
        <v>115</v>
      </c>
      <c r="C52" s="85" t="s">
        <v>108</v>
      </c>
      <c r="D52" s="84" t="s">
        <v>41</v>
      </c>
      <c r="E52" s="86">
        <v>1349.3</v>
      </c>
      <c r="F52" s="87">
        <f>SUM(E52*2/1000)</f>
        <v>2.6985999999999999</v>
      </c>
      <c r="G52" s="13">
        <v>1213.55</v>
      </c>
      <c r="H52" s="88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4" t="s">
        <v>116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3">
        <v>2730.49</v>
      </c>
      <c r="H53" s="88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3">
        <v>5652.13</v>
      </c>
      <c r="H54" s="88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4" t="s">
        <v>40</v>
      </c>
      <c r="C55" s="85" t="s">
        <v>117</v>
      </c>
      <c r="D55" s="84" t="s">
        <v>69</v>
      </c>
      <c r="E55" s="86">
        <v>238</v>
      </c>
      <c r="F55" s="87">
        <f>SUM(E55)*3</f>
        <v>714</v>
      </c>
      <c r="G55" s="13">
        <v>65.67</v>
      </c>
      <c r="H55" s="88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41" t="s">
        <v>148</v>
      </c>
      <c r="B56" s="142"/>
      <c r="C56" s="142"/>
      <c r="D56" s="142"/>
      <c r="E56" s="142"/>
      <c r="F56" s="142"/>
      <c r="G56" s="142"/>
      <c r="H56" s="142"/>
      <c r="I56" s="143"/>
      <c r="J56" s="23"/>
      <c r="L56" s="19"/>
      <c r="M56" s="20"/>
      <c r="N56" s="21"/>
    </row>
    <row r="57" spans="1:14" ht="15.75" hidden="1" customHeight="1">
      <c r="A57" s="83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4" t="s">
        <v>118</v>
      </c>
      <c r="C58" s="85" t="s">
        <v>92</v>
      </c>
      <c r="D58" s="84" t="s">
        <v>119</v>
      </c>
      <c r="E58" s="86">
        <v>176.9</v>
      </c>
      <c r="F58" s="87">
        <f>SUM(E58*6/100)</f>
        <v>10.614000000000001</v>
      </c>
      <c r="G58" s="13">
        <v>1547.28</v>
      </c>
      <c r="H58" s="88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4" t="s">
        <v>135</v>
      </c>
      <c r="C59" s="85" t="s">
        <v>92</v>
      </c>
      <c r="D59" s="84" t="s">
        <v>119</v>
      </c>
      <c r="E59" s="79">
        <v>56</v>
      </c>
      <c r="F59" s="92">
        <v>3.36</v>
      </c>
      <c r="G59" s="87">
        <v>1547.28</v>
      </c>
      <c r="H59" s="88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4" t="s">
        <v>136</v>
      </c>
      <c r="C60" s="85" t="s">
        <v>137</v>
      </c>
      <c r="D60" s="84" t="s">
        <v>41</v>
      </c>
      <c r="E60" s="93">
        <v>8</v>
      </c>
      <c r="F60" s="13">
        <v>16</v>
      </c>
      <c r="G60" s="87">
        <v>180.78</v>
      </c>
      <c r="H60" s="88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8" t="s">
        <v>43</v>
      </c>
      <c r="C61" s="78"/>
      <c r="D61" s="78"/>
      <c r="E61" s="78"/>
      <c r="F61" s="78"/>
      <c r="G61" s="78"/>
      <c r="H61" s="78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4" t="s">
        <v>152</v>
      </c>
      <c r="C62" s="85"/>
      <c r="D62" s="84" t="s">
        <v>52</v>
      </c>
      <c r="E62" s="86">
        <v>1349.3</v>
      </c>
      <c r="F62" s="88">
        <v>13.493</v>
      </c>
      <c r="G62" s="13">
        <v>793.61</v>
      </c>
      <c r="H62" s="94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14</v>
      </c>
      <c r="B63" s="95" t="s">
        <v>91</v>
      </c>
      <c r="C63" s="96" t="s">
        <v>26</v>
      </c>
      <c r="D63" s="95"/>
      <c r="E63" s="97">
        <v>270</v>
      </c>
      <c r="F63" s="98">
        <f>E63*12</f>
        <v>3240</v>
      </c>
      <c r="G63" s="99">
        <v>2.5960000000000001</v>
      </c>
      <c r="H63" s="100">
        <f>F63*G63</f>
        <v>8411.0400000000009</v>
      </c>
      <c r="I63" s="13">
        <f>F63/12*G63</f>
        <v>700.92000000000007</v>
      </c>
      <c r="J63" s="23"/>
      <c r="L63" s="19"/>
      <c r="M63" s="20"/>
      <c r="N63" s="21"/>
    </row>
    <row r="64" spans="1:14" ht="15.75" customHeight="1">
      <c r="A64" s="40"/>
      <c r="B64" s="78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15</v>
      </c>
      <c r="B65" s="101" t="s">
        <v>45</v>
      </c>
      <c r="C65" s="16" t="s">
        <v>117</v>
      </c>
      <c r="D65" s="101" t="s">
        <v>65</v>
      </c>
      <c r="E65" s="18">
        <v>40</v>
      </c>
      <c r="F65" s="87">
        <v>40</v>
      </c>
      <c r="G65" s="13">
        <v>222.4</v>
      </c>
      <c r="H65" s="102">
        <f t="shared" ref="H65:H72" si="8">SUM(F65*G65/1000)</f>
        <v>8.8960000000000008</v>
      </c>
      <c r="I65" s="13">
        <f>G65*14</f>
        <v>3113.6</v>
      </c>
    </row>
    <row r="66" spans="1:22" ht="15.75" hidden="1" customHeight="1">
      <c r="A66" s="29">
        <v>29</v>
      </c>
      <c r="B66" s="101" t="s">
        <v>46</v>
      </c>
      <c r="C66" s="16" t="s">
        <v>117</v>
      </c>
      <c r="D66" s="101" t="s">
        <v>65</v>
      </c>
      <c r="E66" s="18">
        <v>20</v>
      </c>
      <c r="F66" s="87">
        <v>20</v>
      </c>
      <c r="G66" s="13">
        <v>76.25</v>
      </c>
      <c r="H66" s="102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101" t="s">
        <v>47</v>
      </c>
      <c r="C67" s="16" t="s">
        <v>120</v>
      </c>
      <c r="D67" s="101" t="s">
        <v>52</v>
      </c>
      <c r="E67" s="86">
        <v>18890</v>
      </c>
      <c r="F67" s="13">
        <f>SUM(E67/100)</f>
        <v>188.9</v>
      </c>
      <c r="G67" s="13">
        <v>212.15</v>
      </c>
      <c r="H67" s="102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101" t="s">
        <v>48</v>
      </c>
      <c r="C68" s="16" t="s">
        <v>121</v>
      </c>
      <c r="D68" s="101"/>
      <c r="E68" s="86">
        <v>18890</v>
      </c>
      <c r="F68" s="13">
        <f>SUM(E68/1000)</f>
        <v>18.89</v>
      </c>
      <c r="G68" s="13">
        <v>165.21</v>
      </c>
      <c r="H68" s="102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101" t="s">
        <v>49</v>
      </c>
      <c r="C69" s="16" t="s">
        <v>75</v>
      </c>
      <c r="D69" s="101" t="s">
        <v>52</v>
      </c>
      <c r="E69" s="86">
        <v>3004</v>
      </c>
      <c r="F69" s="13">
        <f>SUM(E69/100)</f>
        <v>30.04</v>
      </c>
      <c r="G69" s="13">
        <v>2074.63</v>
      </c>
      <c r="H69" s="102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3" t="s">
        <v>122</v>
      </c>
      <c r="C70" s="16" t="s">
        <v>33</v>
      </c>
      <c r="D70" s="101"/>
      <c r="E70" s="86">
        <v>15.8</v>
      </c>
      <c r="F70" s="13">
        <f>SUM(E70)</f>
        <v>15.8</v>
      </c>
      <c r="G70" s="13">
        <v>42.67</v>
      </c>
      <c r="H70" s="102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3" t="s">
        <v>123</v>
      </c>
      <c r="C71" s="16" t="s">
        <v>33</v>
      </c>
      <c r="D71" s="101"/>
      <c r="E71" s="86">
        <v>15.8</v>
      </c>
      <c r="F71" s="13">
        <f>SUM(E71)</f>
        <v>15.8</v>
      </c>
      <c r="G71" s="13">
        <v>39.81</v>
      </c>
      <c r="H71" s="102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19"/>
      <c r="S71" s="119"/>
      <c r="T71" s="119"/>
      <c r="U71" s="119"/>
    </row>
    <row r="72" spans="1:22" ht="15.75" customHeight="1">
      <c r="A72" s="29">
        <v>16</v>
      </c>
      <c r="B72" s="101" t="s">
        <v>55</v>
      </c>
      <c r="C72" s="16" t="s">
        <v>56</v>
      </c>
      <c r="D72" s="101" t="s">
        <v>52</v>
      </c>
      <c r="E72" s="18">
        <v>15</v>
      </c>
      <c r="F72" s="87">
        <v>15</v>
      </c>
      <c r="G72" s="13">
        <v>49.88</v>
      </c>
      <c r="H72" s="102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3"/>
      <c r="B73" s="78" t="s">
        <v>124</v>
      </c>
      <c r="C73" s="78"/>
      <c r="D73" s="78"/>
      <c r="E73" s="78"/>
      <c r="F73" s="78"/>
      <c r="G73" s="78"/>
      <c r="H73" s="78"/>
      <c r="I73" s="18"/>
    </row>
    <row r="74" spans="1:22" ht="15.75" hidden="1" customHeight="1">
      <c r="A74" s="29">
        <v>11</v>
      </c>
      <c r="B74" s="84" t="s">
        <v>125</v>
      </c>
      <c r="C74" s="16"/>
      <c r="D74" s="101"/>
      <c r="E74" s="79"/>
      <c r="F74" s="13">
        <v>1</v>
      </c>
      <c r="G74" s="13">
        <v>27865.200000000001</v>
      </c>
      <c r="H74" s="102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101" t="s">
        <v>71</v>
      </c>
      <c r="C76" s="16" t="s">
        <v>73</v>
      </c>
      <c r="D76" s="101"/>
      <c r="E76" s="18">
        <v>10</v>
      </c>
      <c r="F76" s="13">
        <v>1</v>
      </c>
      <c r="G76" s="13">
        <v>501.62</v>
      </c>
      <c r="H76" s="102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101" t="s">
        <v>138</v>
      </c>
      <c r="C77" s="16" t="s">
        <v>31</v>
      </c>
      <c r="D77" s="101"/>
      <c r="E77" s="18">
        <v>1</v>
      </c>
      <c r="F77" s="13">
        <v>1</v>
      </c>
      <c r="G77" s="13">
        <v>99.85</v>
      </c>
      <c r="H77" s="102">
        <f>F77*G77/1000</f>
        <v>9.9849999999999994E-2</v>
      </c>
      <c r="I77" s="13">
        <v>0</v>
      </c>
    </row>
    <row r="78" spans="1:22" ht="15.75" hidden="1" customHeight="1">
      <c r="A78" s="29"/>
      <c r="B78" s="101" t="s">
        <v>139</v>
      </c>
      <c r="C78" s="16" t="s">
        <v>31</v>
      </c>
      <c r="D78" s="101"/>
      <c r="E78" s="18">
        <v>1</v>
      </c>
      <c r="F78" s="13">
        <v>1</v>
      </c>
      <c r="G78" s="13">
        <v>120.26</v>
      </c>
      <c r="H78" s="102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101" t="s">
        <v>72</v>
      </c>
      <c r="C79" s="16" t="s">
        <v>31</v>
      </c>
      <c r="D79" s="101"/>
      <c r="E79" s="18">
        <v>2</v>
      </c>
      <c r="F79" s="99">
        <v>2</v>
      </c>
      <c r="G79" s="13">
        <v>852.99</v>
      </c>
      <c r="H79" s="102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101" t="s">
        <v>85</v>
      </c>
      <c r="C80" s="16" t="s">
        <v>117</v>
      </c>
      <c r="D80" s="101"/>
      <c r="E80" s="18">
        <v>1</v>
      </c>
      <c r="F80" s="87">
        <f>SUM(E80)</f>
        <v>1</v>
      </c>
      <c r="G80" s="13">
        <v>358.51</v>
      </c>
      <c r="H80" s="102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101"/>
      <c r="E82" s="18"/>
      <c r="F82" s="13">
        <v>1.35</v>
      </c>
      <c r="G82" s="13">
        <v>2759.44</v>
      </c>
      <c r="H82" s="102">
        <f t="shared" ref="H82" si="11">SUM(F82*G82/1000)</f>
        <v>3.725244</v>
      </c>
      <c r="I82" s="13">
        <v>0</v>
      </c>
    </row>
    <row r="83" spans="1:9" ht="15.75" customHeight="1">
      <c r="A83" s="128" t="s">
        <v>149</v>
      </c>
      <c r="B83" s="129"/>
      <c r="C83" s="129"/>
      <c r="D83" s="129"/>
      <c r="E83" s="129"/>
      <c r="F83" s="129"/>
      <c r="G83" s="129"/>
      <c r="H83" s="129"/>
      <c r="I83" s="130"/>
    </row>
    <row r="84" spans="1:9" ht="15.75" customHeight="1">
      <c r="A84" s="29">
        <v>17</v>
      </c>
      <c r="B84" s="32" t="s">
        <v>127</v>
      </c>
      <c r="C84" s="38" t="s">
        <v>53</v>
      </c>
      <c r="D84" s="63" t="s">
        <v>153</v>
      </c>
      <c r="E84" s="36">
        <v>5162.6000000000004</v>
      </c>
      <c r="F84" s="36">
        <f>SUM(E84*12)</f>
        <v>61951.200000000004</v>
      </c>
      <c r="G84" s="36">
        <v>2.1</v>
      </c>
      <c r="H84" s="104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18</v>
      </c>
      <c r="B85" s="101" t="s">
        <v>76</v>
      </c>
      <c r="C85" s="16"/>
      <c r="D85" s="63" t="s">
        <v>153</v>
      </c>
      <c r="E85" s="86">
        <v>5162.6000000000004</v>
      </c>
      <c r="F85" s="13">
        <f>E85*12</f>
        <v>61951.200000000004</v>
      </c>
      <c r="G85" s="13">
        <v>1.63</v>
      </c>
      <c r="H85" s="102">
        <f>F85*G85/1000</f>
        <v>100.980456</v>
      </c>
      <c r="I85" s="13">
        <f>F85/12*G85</f>
        <v>8415.0380000000005</v>
      </c>
    </row>
    <row r="86" spans="1:9" ht="15.75" customHeight="1">
      <c r="A86" s="83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SUM(I16+I17+I18+I27+I28+I31+I32+I34+I47+I48+I49+I50+I51+I63+I65+I72+I84+I85)</f>
        <v>70098.40593262222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29">
        <v>19</v>
      </c>
      <c r="B88" s="66" t="s">
        <v>154</v>
      </c>
      <c r="C88" s="67" t="s">
        <v>81</v>
      </c>
      <c r="D88" s="64"/>
      <c r="E88" s="36"/>
      <c r="F88" s="36">
        <v>7</v>
      </c>
      <c r="G88" s="36">
        <v>195.85</v>
      </c>
      <c r="H88" s="104">
        <f t="shared" ref="H88:H90" si="12">G88*F88/1000</f>
        <v>1.3709500000000001</v>
      </c>
      <c r="I88" s="13">
        <f>G88*2</f>
        <v>391.7</v>
      </c>
    </row>
    <row r="89" spans="1:9" ht="31.5" customHeight="1">
      <c r="A89" s="29">
        <v>20</v>
      </c>
      <c r="B89" s="55" t="s">
        <v>162</v>
      </c>
      <c r="C89" s="65" t="s">
        <v>163</v>
      </c>
      <c r="D89" s="51"/>
      <c r="E89" s="36"/>
      <c r="F89" s="36">
        <v>35</v>
      </c>
      <c r="G89" s="36">
        <v>1187</v>
      </c>
      <c r="H89" s="104">
        <f t="shared" si="12"/>
        <v>41.545000000000002</v>
      </c>
      <c r="I89" s="13">
        <f>G89*10</f>
        <v>11870</v>
      </c>
    </row>
    <row r="90" spans="1:9" ht="31.5" customHeight="1">
      <c r="A90" s="29">
        <v>21</v>
      </c>
      <c r="B90" s="55" t="s">
        <v>78</v>
      </c>
      <c r="C90" s="65" t="s">
        <v>117</v>
      </c>
      <c r="D90" s="51"/>
      <c r="E90" s="13"/>
      <c r="F90" s="13">
        <v>7</v>
      </c>
      <c r="G90" s="13">
        <v>83.36</v>
      </c>
      <c r="H90" s="102">
        <f t="shared" si="12"/>
        <v>0.58351999999999993</v>
      </c>
      <c r="I90" s="13">
        <f>G90*3</f>
        <v>250.07999999999998</v>
      </c>
    </row>
    <row r="91" spans="1:9" ht="31.5" customHeight="1">
      <c r="A91" s="29">
        <v>22</v>
      </c>
      <c r="B91" s="55" t="s">
        <v>181</v>
      </c>
      <c r="C91" s="65" t="s">
        <v>182</v>
      </c>
      <c r="D91" s="64"/>
      <c r="E91" s="36"/>
      <c r="F91" s="36">
        <v>9</v>
      </c>
      <c r="G91" s="36">
        <v>589.84</v>
      </c>
      <c r="H91" s="104">
        <f>G91*F91/1000</f>
        <v>5.3085600000000008</v>
      </c>
      <c r="I91" s="13">
        <f>G91*4</f>
        <v>2359.36</v>
      </c>
    </row>
    <row r="92" spans="1:9" ht="31.5" customHeight="1">
      <c r="A92" s="29">
        <v>23</v>
      </c>
      <c r="B92" s="55" t="s">
        <v>140</v>
      </c>
      <c r="C92" s="65" t="s">
        <v>37</v>
      </c>
      <c r="D92" s="51"/>
      <c r="E92" s="13"/>
      <c r="F92" s="13">
        <v>0.11</v>
      </c>
      <c r="G92" s="13">
        <v>3581.13</v>
      </c>
      <c r="H92" s="102">
        <f>G92*F92/1000</f>
        <v>0.39392430000000001</v>
      </c>
      <c r="I92" s="13">
        <f>G92*0.03</f>
        <v>107.43389999999999</v>
      </c>
    </row>
    <row r="93" spans="1:9" ht="31.5" customHeight="1">
      <c r="A93" s="29">
        <v>24</v>
      </c>
      <c r="B93" s="55" t="s">
        <v>198</v>
      </c>
      <c r="C93" s="65" t="s">
        <v>163</v>
      </c>
      <c r="D93" s="51"/>
      <c r="E93" s="36"/>
      <c r="F93" s="36">
        <v>15</v>
      </c>
      <c r="G93" s="36">
        <v>1272</v>
      </c>
      <c r="H93" s="104">
        <f t="shared" ref="H93" si="13">G93*F93/1000</f>
        <v>19.079999999999998</v>
      </c>
      <c r="I93" s="13">
        <f>G93*12</f>
        <v>15264</v>
      </c>
    </row>
    <row r="94" spans="1:9" ht="31.5" customHeight="1">
      <c r="A94" s="29">
        <v>25</v>
      </c>
      <c r="B94" s="55" t="s">
        <v>209</v>
      </c>
      <c r="C94" s="65" t="s">
        <v>182</v>
      </c>
      <c r="D94" s="64"/>
      <c r="E94" s="36"/>
      <c r="F94" s="36">
        <v>4</v>
      </c>
      <c r="G94" s="36">
        <v>506.98</v>
      </c>
      <c r="H94" s="104">
        <f>G94*F94/1000</f>
        <v>2.0279199999999999</v>
      </c>
      <c r="I94" s="13">
        <f>G94*3</f>
        <v>1520.94</v>
      </c>
    </row>
    <row r="95" spans="1:9" ht="15.75" customHeight="1">
      <c r="A95" s="29">
        <v>26</v>
      </c>
      <c r="B95" s="66" t="s">
        <v>225</v>
      </c>
      <c r="C95" s="67" t="s">
        <v>182</v>
      </c>
      <c r="D95" s="64"/>
      <c r="E95" s="36"/>
      <c r="F95" s="36">
        <v>1</v>
      </c>
      <c r="G95" s="36">
        <v>423.54</v>
      </c>
      <c r="H95" s="102">
        <f t="shared" ref="H95:H98" si="14">G95*F95/1000</f>
        <v>0.42354000000000003</v>
      </c>
      <c r="I95" s="13">
        <f>G95</f>
        <v>423.54</v>
      </c>
    </row>
    <row r="96" spans="1:9" ht="47.25" customHeight="1">
      <c r="A96" s="29">
        <v>27</v>
      </c>
      <c r="B96" s="66" t="s">
        <v>226</v>
      </c>
      <c r="C96" s="67" t="s">
        <v>220</v>
      </c>
      <c r="D96" s="64"/>
      <c r="E96" s="36"/>
      <c r="F96" s="36">
        <f>1.25/10</f>
        <v>0.125</v>
      </c>
      <c r="G96" s="36">
        <v>7680.4</v>
      </c>
      <c r="H96" s="102">
        <f t="shared" si="14"/>
        <v>0.96004999999999996</v>
      </c>
      <c r="I96" s="13">
        <f>G96*0.125</f>
        <v>960.05</v>
      </c>
    </row>
    <row r="97" spans="1:9" ht="47.25" customHeight="1">
      <c r="A97" s="29">
        <v>28</v>
      </c>
      <c r="B97" s="66" t="s">
        <v>227</v>
      </c>
      <c r="C97" s="108" t="s">
        <v>220</v>
      </c>
      <c r="D97" s="64"/>
      <c r="E97" s="36"/>
      <c r="F97" s="36">
        <f>3/10</f>
        <v>0.3</v>
      </c>
      <c r="G97" s="36">
        <v>1346.49</v>
      </c>
      <c r="H97" s="102">
        <f t="shared" si="14"/>
        <v>0.403947</v>
      </c>
      <c r="I97" s="13">
        <f>G97*0.3</f>
        <v>403.947</v>
      </c>
    </row>
    <row r="98" spans="1:9" ht="47.25" customHeight="1">
      <c r="A98" s="29">
        <v>29</v>
      </c>
      <c r="B98" s="66" t="s">
        <v>228</v>
      </c>
      <c r="C98" s="67" t="s">
        <v>220</v>
      </c>
      <c r="D98" s="64"/>
      <c r="E98" s="36"/>
      <c r="F98" s="36">
        <f>0.8/10</f>
        <v>0.08</v>
      </c>
      <c r="G98" s="36">
        <v>1612.51</v>
      </c>
      <c r="H98" s="102">
        <f t="shared" si="14"/>
        <v>0.1290008</v>
      </c>
      <c r="I98" s="13">
        <f>G98*0.08</f>
        <v>129.0008</v>
      </c>
    </row>
    <row r="99" spans="1:9" ht="15.75" customHeight="1">
      <c r="A99" s="29"/>
      <c r="B99" s="45" t="s">
        <v>50</v>
      </c>
      <c r="C99" s="41"/>
      <c r="D99" s="53"/>
      <c r="E99" s="41">
        <v>1</v>
      </c>
      <c r="F99" s="41"/>
      <c r="G99" s="41"/>
      <c r="H99" s="41"/>
      <c r="I99" s="31">
        <f>SUM(I88:I98)</f>
        <v>33680.051700000004</v>
      </c>
    </row>
    <row r="100" spans="1:9" ht="15.75" customHeight="1">
      <c r="A100" s="29"/>
      <c r="B100" s="51" t="s">
        <v>77</v>
      </c>
      <c r="C100" s="15"/>
      <c r="D100" s="15"/>
      <c r="E100" s="42"/>
      <c r="F100" s="42"/>
      <c r="G100" s="43"/>
      <c r="H100" s="43"/>
      <c r="I100" s="17">
        <v>0</v>
      </c>
    </row>
    <row r="101" spans="1:9" ht="15.75" customHeight="1">
      <c r="A101" s="54"/>
      <c r="B101" s="46" t="s">
        <v>158</v>
      </c>
      <c r="C101" s="34"/>
      <c r="D101" s="34"/>
      <c r="E101" s="34"/>
      <c r="F101" s="34"/>
      <c r="G101" s="34"/>
      <c r="H101" s="34"/>
      <c r="I101" s="44">
        <f>I86+I99</f>
        <v>103778.45763262222</v>
      </c>
    </row>
    <row r="102" spans="1:9" ht="15.75">
      <c r="A102" s="125" t="s">
        <v>229</v>
      </c>
      <c r="B102" s="125"/>
      <c r="C102" s="125"/>
      <c r="D102" s="125"/>
      <c r="E102" s="125"/>
      <c r="F102" s="125"/>
      <c r="G102" s="125"/>
      <c r="H102" s="125"/>
      <c r="I102" s="125"/>
    </row>
    <row r="103" spans="1:9" ht="15.75">
      <c r="A103" s="61"/>
      <c r="B103" s="126" t="s">
        <v>230</v>
      </c>
      <c r="C103" s="126"/>
      <c r="D103" s="126"/>
      <c r="E103" s="126"/>
      <c r="F103" s="126"/>
      <c r="G103" s="126"/>
      <c r="H103" s="82"/>
      <c r="I103" s="3"/>
    </row>
    <row r="104" spans="1:9">
      <c r="A104" s="76"/>
      <c r="B104" s="124" t="s">
        <v>6</v>
      </c>
      <c r="C104" s="124"/>
      <c r="D104" s="124"/>
      <c r="E104" s="124"/>
      <c r="F104" s="124"/>
      <c r="G104" s="124"/>
      <c r="H104" s="24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7" t="s">
        <v>7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15.75">
      <c r="A107" s="127" t="s">
        <v>8</v>
      </c>
      <c r="B107" s="127"/>
      <c r="C107" s="127"/>
      <c r="D107" s="127"/>
      <c r="E107" s="127"/>
      <c r="F107" s="127"/>
      <c r="G107" s="127"/>
      <c r="H107" s="127"/>
      <c r="I107" s="127"/>
    </row>
    <row r="108" spans="1:9" ht="15.75">
      <c r="A108" s="121" t="s">
        <v>59</v>
      </c>
      <c r="B108" s="121"/>
      <c r="C108" s="121"/>
      <c r="D108" s="121"/>
      <c r="E108" s="121"/>
      <c r="F108" s="121"/>
      <c r="G108" s="121"/>
      <c r="H108" s="121"/>
      <c r="I108" s="121"/>
    </row>
    <row r="109" spans="1:9" ht="15.75">
      <c r="A109" s="11"/>
    </row>
    <row r="110" spans="1:9" ht="15.75">
      <c r="A110" s="122" t="s">
        <v>9</v>
      </c>
      <c r="B110" s="122"/>
      <c r="C110" s="122"/>
      <c r="D110" s="122"/>
      <c r="E110" s="122"/>
      <c r="F110" s="122"/>
      <c r="G110" s="122"/>
      <c r="H110" s="122"/>
      <c r="I110" s="122"/>
    </row>
    <row r="111" spans="1:9" ht="15.75">
      <c r="A111" s="4"/>
    </row>
    <row r="112" spans="1:9" ht="15.75">
      <c r="B112" s="74" t="s">
        <v>10</v>
      </c>
      <c r="C112" s="123" t="s">
        <v>86</v>
      </c>
      <c r="D112" s="123"/>
      <c r="E112" s="123"/>
      <c r="F112" s="80"/>
      <c r="I112" s="75"/>
    </row>
    <row r="113" spans="1:9">
      <c r="A113" s="76"/>
      <c r="C113" s="124" t="s">
        <v>11</v>
      </c>
      <c r="D113" s="124"/>
      <c r="E113" s="124"/>
      <c r="F113" s="24"/>
      <c r="I113" s="73" t="s">
        <v>12</v>
      </c>
    </row>
    <row r="114" spans="1:9" ht="15.75">
      <c r="A114" s="25"/>
      <c r="C114" s="12"/>
      <c r="D114" s="12"/>
      <c r="G114" s="12"/>
      <c r="H114" s="12"/>
    </row>
    <row r="115" spans="1:9" ht="15.75">
      <c r="B115" s="74" t="s">
        <v>13</v>
      </c>
      <c r="C115" s="118"/>
      <c r="D115" s="118"/>
      <c r="E115" s="118"/>
      <c r="F115" s="81"/>
      <c r="I115" s="75"/>
    </row>
    <row r="116" spans="1:9">
      <c r="A116" s="76"/>
      <c r="C116" s="119" t="s">
        <v>11</v>
      </c>
      <c r="D116" s="119"/>
      <c r="E116" s="119"/>
      <c r="F116" s="76"/>
      <c r="I116" s="73" t="s">
        <v>12</v>
      </c>
    </row>
    <row r="117" spans="1:9" ht="15.75">
      <c r="A117" s="4" t="s">
        <v>14</v>
      </c>
    </row>
    <row r="118" spans="1:9">
      <c r="A118" s="120" t="s">
        <v>15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45" customHeight="1">
      <c r="A119" s="117" t="s">
        <v>16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30" customHeight="1">
      <c r="A120" s="117" t="s">
        <v>17</v>
      </c>
      <c r="B120" s="117"/>
      <c r="C120" s="117"/>
      <c r="D120" s="117"/>
      <c r="E120" s="117"/>
      <c r="F120" s="117"/>
      <c r="G120" s="117"/>
      <c r="H120" s="117"/>
      <c r="I120" s="117"/>
    </row>
    <row r="121" spans="1:9" ht="30" customHeight="1">
      <c r="A121" s="117" t="s">
        <v>21</v>
      </c>
      <c r="B121" s="117"/>
      <c r="C121" s="117"/>
      <c r="D121" s="117"/>
      <c r="E121" s="117"/>
      <c r="F121" s="117"/>
      <c r="G121" s="117"/>
      <c r="H121" s="117"/>
      <c r="I121" s="117"/>
    </row>
    <row r="122" spans="1:9" ht="15" customHeight="1">
      <c r="A122" s="117" t="s">
        <v>20</v>
      </c>
      <c r="B122" s="117"/>
      <c r="C122" s="117"/>
      <c r="D122" s="117"/>
      <c r="E122" s="117"/>
      <c r="F122" s="117"/>
      <c r="G122" s="117"/>
      <c r="H122" s="117"/>
      <c r="I122" s="117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3:I83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2018-04-27T11:51:35Z</cp:lastPrinted>
  <dcterms:created xsi:type="dcterms:W3CDTF">2016-03-25T08:33:47Z</dcterms:created>
  <dcterms:modified xsi:type="dcterms:W3CDTF">2018-04-27T11:51:51Z</dcterms:modified>
</cp:coreProperties>
</file>